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d.docs.live.net/2ac385686f0d07d2/Documents/CATALYST Consulting/Clients/South KY/2023 Rate Case No. 2024-00xxx/COSS and Rates/"/>
    </mc:Choice>
  </mc:AlternateContent>
  <xr:revisionPtr revIDLastSave="413" documentId="8_{582C8086-9C8B-47FC-917F-9E1091080E2C}" xr6:coauthVersionLast="47" xr6:coauthVersionMax="47" xr10:uidLastSave="{C8DAC149-0C74-4504-90CB-C6F90ABEC239}"/>
  <bookViews>
    <workbookView xWindow="-120" yWindow="-120" windowWidth="29040" windowHeight="15720" tabRatio="885" xr2:uid="{00000000-000D-0000-FFFF-FFFF00000000}"/>
  </bookViews>
  <sheets>
    <sheet name="RevReq" sheetId="64" r:id="rId1"/>
    <sheet name="Adj List" sheetId="48" r:id="rId2"/>
    <sheet name="Adj BS" sheetId="65" r:id="rId3"/>
    <sheet name="Adj IS" sheetId="36" r:id="rId4"/>
    <sheet name="1.01 FAC" sheetId="76" r:id="rId5"/>
    <sheet name="1.02 ES" sheetId="77" r:id="rId6"/>
    <sheet name="1.03 RC" sheetId="78" r:id="rId7"/>
    <sheet name="1.04 CUST" sheetId="79" r:id="rId8"/>
    <sheet name="1.05 Depr" sheetId="80" r:id="rId9"/>
    <sheet name="1.06 Donat&amp;Promo" sheetId="93" r:id="rId10"/>
    <sheet name="1.07 FEMA" sheetId="94" r:id="rId11"/>
    <sheet name="1.08 Dir" sheetId="83" r:id="rId12"/>
    <sheet name=" 1.09 RS401k" sheetId="84" r:id="rId13"/>
    <sheet name="1.10 Wages" sheetId="85" r:id="rId14"/>
    <sheet name="1.11 Prof" sheetId="86" r:id="rId15"/>
    <sheet name="1.12 GTCC" sheetId="87" r:id="rId16"/>
    <sheet name="1.13PayrTx" sheetId="88" r:id="rId17"/>
    <sheet name="1.14 Int" sheetId="89" r:id="rId18"/>
    <sheet name="1.15 Life Ins" sheetId="90" r:id="rId19"/>
    <sheet name="1.16 Health" sheetId="91" r:id="rId20"/>
    <sheet name="1.17 Meter Test" sheetId="96" r:id="rId21"/>
    <sheet name="1.18 Trip Charge" sheetId="97" r:id="rId22"/>
    <sheet name="1.19 Remote Reconnect&lt;60" sheetId="98" r:id="rId23"/>
    <sheet name="1.20 Remote Reconnect 61-365" sheetId="99" r:id="rId24"/>
    <sheet name="1.21 Returned Check" sheetId="100" r:id="rId25"/>
  </sheets>
  <definedNames>
    <definedName name="_xlnm.Print_Area" localSheetId="12">' 1.09 RS401k'!$A$1:$M$213</definedName>
    <definedName name="_xlnm.Print_Area" localSheetId="4">'1.01 FAC'!$A$1:$H$34</definedName>
    <definedName name="_xlnm.Print_Area" localSheetId="5">'1.02 ES'!$A$1:$H$34</definedName>
    <definedName name="_xlnm.Print_Area" localSheetId="6">'1.03 RC'!$A$1:$F$31</definedName>
    <definedName name="_xlnm.Print_Area" localSheetId="7">'1.04 CUST'!$A$1:$K$60</definedName>
    <definedName name="_xlnm.Print_Area" localSheetId="8">'1.05 Depr'!$A$1:$I$63</definedName>
    <definedName name="_xlnm.Print_Area" localSheetId="10">'1.07 FEMA'!$A$1:$C$16</definedName>
    <definedName name="_xlnm.Print_Area" localSheetId="11">'1.08 Dir'!$A$1:$L$43</definedName>
    <definedName name="_xlnm.Print_Area" localSheetId="13">'1.10 Wages'!$A$1:$Z$204</definedName>
    <definedName name="_xlnm.Print_Area" localSheetId="14">'1.11 Prof'!$A$1:$K$363</definedName>
    <definedName name="_xlnm.Print_Area" localSheetId="15">'1.12 GTCC'!$A$1:$F$21</definedName>
    <definedName name="_xlnm.Print_Area" localSheetId="16">'1.13PayrTx'!$A$1:$O$211</definedName>
    <definedName name="_xlnm.Print_Area" localSheetId="17">'1.14 Int'!$A$1:$K$81</definedName>
    <definedName name="_xlnm.Print_Area" localSheetId="18">'1.15 Life Ins'!$A$1:$J$209</definedName>
    <definedName name="_xlnm.Print_Area" localSheetId="20">'1.17 Meter Test'!$A$1:$O$18</definedName>
    <definedName name="_xlnm.Print_Area" localSheetId="21">'1.18 Trip Charge'!$A$1:$L$26</definedName>
    <definedName name="_xlnm.Print_Area" localSheetId="2">'Adj BS'!$A$1:$F$66</definedName>
    <definedName name="_xlnm.Print_Area" localSheetId="3">'Adj IS'!$A$1:$X$42</definedName>
    <definedName name="_xlnm.Print_Area" localSheetId="1">'Adj List'!$A$1:$G$28</definedName>
    <definedName name="_xlnm.Print_Area" localSheetId="0">RevReq!$A$1:$F$51</definedName>
    <definedName name="_xlnm.Print_Titles" localSheetId="12">' 1.09 RS401k'!$1:$13</definedName>
    <definedName name="_xlnm.Print_Titles" localSheetId="7">'1.04 CUST'!$1:$12</definedName>
    <definedName name="_xlnm.Print_Titles" localSheetId="8">'1.05 Depr'!$4:$7</definedName>
    <definedName name="_xlnm.Print_Titles" localSheetId="9">'1.06 Donat&amp;Promo'!$1:$8</definedName>
    <definedName name="_xlnm.Print_Titles" localSheetId="13">'1.10 Wages'!$1:$11</definedName>
    <definedName name="_xlnm.Print_Titles" localSheetId="14">'1.11 Prof'!$1:$10</definedName>
    <definedName name="_xlnm.Print_Titles" localSheetId="16">'1.13PayrTx'!$1:$12</definedName>
    <definedName name="_xlnm.Print_Titles" localSheetId="17">'1.14 Int'!$1:$10</definedName>
    <definedName name="_xlnm.Print_Titles" localSheetId="18">'1.15 Life Ins'!$1:$12</definedName>
    <definedName name="_xlnm.Print_Titles" localSheetId="19">'1.16 Health'!$1:$6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5" i="64" l="1"/>
  <c r="D27" i="48"/>
  <c r="J19" i="100"/>
  <c r="A10" i="100"/>
  <c r="A11" i="100" s="1"/>
  <c r="A12" i="100" s="1"/>
  <c r="A13" i="100" s="1"/>
  <c r="A14" i="100" s="1"/>
  <c r="A15" i="100" s="1"/>
  <c r="A16" i="100" s="1"/>
  <c r="A17" i="100" s="1"/>
  <c r="A18" i="100" s="1"/>
  <c r="A19" i="100" s="1"/>
  <c r="A9" i="100"/>
  <c r="C4" i="100"/>
  <c r="C3" i="100"/>
  <c r="A10" i="99"/>
  <c r="A11" i="99" s="1"/>
  <c r="A12" i="99" s="1"/>
  <c r="A13" i="99" s="1"/>
  <c r="A14" i="99" s="1"/>
  <c r="A15" i="99" s="1"/>
  <c r="A16" i="99" s="1"/>
  <c r="A17" i="99" s="1"/>
  <c r="A18" i="99" s="1"/>
  <c r="A19" i="99" s="1"/>
  <c r="A20" i="99" s="1"/>
  <c r="A9" i="99"/>
  <c r="B4" i="99"/>
  <c r="B3" i="99"/>
  <c r="A10" i="98"/>
  <c r="A11" i="98" s="1"/>
  <c r="A9" i="98"/>
  <c r="B4" i="98"/>
  <c r="B3" i="98"/>
  <c r="A15" i="97"/>
  <c r="A9" i="97"/>
  <c r="A10" i="97" s="1"/>
  <c r="A11" i="97" s="1"/>
  <c r="A12" i="97" s="1"/>
  <c r="A13" i="97" s="1"/>
  <c r="A14" i="97" s="1"/>
  <c r="B4" i="97"/>
  <c r="B3" i="97"/>
  <c r="A9" i="96"/>
  <c r="A10" i="96" s="1"/>
  <c r="A11" i="96" s="1"/>
  <c r="A12" i="96" s="1"/>
  <c r="A13" i="96" s="1"/>
  <c r="A14" i="96" s="1"/>
  <c r="A15" i="96" s="1"/>
  <c r="A16" i="96" s="1"/>
  <c r="A17" i="96" s="1"/>
  <c r="A18" i="96" s="1"/>
  <c r="B4" i="96"/>
  <c r="B3" i="96"/>
  <c r="L11" i="83"/>
  <c r="L12" i="83"/>
  <c r="L13" i="83"/>
  <c r="L14" i="83"/>
  <c r="L15" i="83"/>
  <c r="L16" i="83"/>
  <c r="L17" i="83"/>
  <c r="L18" i="83"/>
  <c r="L19" i="83"/>
  <c r="L20" i="83"/>
  <c r="L21" i="83"/>
  <c r="L22" i="83"/>
  <c r="L23" i="83"/>
  <c r="L24" i="83"/>
  <c r="L25" i="83"/>
  <c r="L10" i="83"/>
  <c r="F9" i="65"/>
  <c r="F10" i="65"/>
  <c r="F11" i="65"/>
  <c r="F12" i="65"/>
  <c r="F13" i="65"/>
  <c r="F14" i="65"/>
  <c r="F15" i="65"/>
  <c r="F16" i="65"/>
  <c r="F17" i="65"/>
  <c r="F18" i="65"/>
  <c r="F19" i="65"/>
  <c r="F20" i="65"/>
  <c r="F21" i="65"/>
  <c r="F22" i="65"/>
  <c r="F23" i="65"/>
  <c r="F24" i="65"/>
  <c r="F25" i="65"/>
  <c r="F26" i="65"/>
  <c r="F27" i="65"/>
  <c r="F28" i="65"/>
  <c r="F29" i="65"/>
  <c r="F30" i="65"/>
  <c r="F31" i="65"/>
  <c r="F32" i="65"/>
  <c r="F33" i="65"/>
  <c r="F34" i="65"/>
  <c r="F35" i="65"/>
  <c r="F36" i="65"/>
  <c r="F37" i="65"/>
  <c r="F38" i="65"/>
  <c r="F39" i="65"/>
  <c r="F40" i="65"/>
  <c r="F41" i="65"/>
  <c r="F42" i="65"/>
  <c r="F43" i="65"/>
  <c r="F44" i="65"/>
  <c r="F45" i="65"/>
  <c r="F46" i="65"/>
  <c r="F47" i="65"/>
  <c r="F48" i="65"/>
  <c r="F49" i="65"/>
  <c r="F50" i="65"/>
  <c r="F51" i="65"/>
  <c r="F52" i="65"/>
  <c r="F53" i="65"/>
  <c r="F54" i="65"/>
  <c r="F55" i="65"/>
  <c r="F56" i="65"/>
  <c r="F57" i="65"/>
  <c r="F58" i="65"/>
  <c r="F59" i="65"/>
  <c r="F60" i="65"/>
  <c r="F61" i="65"/>
  <c r="F62" i="65"/>
  <c r="F63" i="65"/>
  <c r="F64" i="65"/>
  <c r="F65" i="65"/>
  <c r="F66" i="65"/>
  <c r="D18" i="65"/>
  <c r="A12" i="98" l="1"/>
  <c r="A13" i="98" s="1"/>
  <c r="A14" i="98" s="1"/>
  <c r="A15" i="98" s="1"/>
  <c r="A16" i="98" s="1"/>
  <c r="A17" i="98" s="1"/>
  <c r="A18" i="98" s="1"/>
  <c r="A19" i="98" s="1"/>
  <c r="A20" i="98" s="1"/>
  <c r="A21" i="98" s="1"/>
  <c r="A16" i="97"/>
  <c r="A17" i="97" s="1"/>
  <c r="A18" i="97" s="1"/>
  <c r="A19" i="97" s="1"/>
  <c r="A20" i="97" s="1"/>
  <c r="A21" i="97" s="1"/>
  <c r="A22" i="97" s="1"/>
  <c r="A23" i="97" s="1"/>
  <c r="A24" i="97" s="1"/>
  <c r="A25" i="97" s="1"/>
  <c r="A26" i="97" s="1"/>
  <c r="L43" i="84" l="1"/>
  <c r="L20" i="84"/>
  <c r="L19" i="84"/>
  <c r="L18" i="84"/>
  <c r="L17" i="84"/>
  <c r="M17" i="84" s="1"/>
  <c r="W6" i="36"/>
  <c r="W4" i="36"/>
  <c r="V6" i="36"/>
  <c r="U6" i="36"/>
  <c r="T6" i="36"/>
  <c r="S6" i="36"/>
  <c r="V4" i="36"/>
  <c r="U4" i="36"/>
  <c r="T4" i="36"/>
  <c r="S4" i="36"/>
  <c r="U40" i="36"/>
  <c r="T40" i="36"/>
  <c r="U24" i="36"/>
  <c r="U31" i="36" s="1"/>
  <c r="T24" i="36"/>
  <c r="T31" i="36" s="1"/>
  <c r="A5" i="94"/>
  <c r="A4" i="94"/>
  <c r="D18" i="98" l="1"/>
  <c r="E18" i="98" s="1"/>
  <c r="F18" i="98" s="1"/>
  <c r="G19" i="97"/>
  <c r="D21" i="97"/>
  <c r="D20" i="97"/>
  <c r="F16" i="96"/>
  <c r="J16" i="96" s="1"/>
  <c r="C16" i="100"/>
  <c r="E16" i="100" s="1"/>
  <c r="F16" i="100" s="1"/>
  <c r="H16" i="100" s="1"/>
  <c r="I16" i="100" s="1"/>
  <c r="J16" i="100" s="1"/>
  <c r="W11" i="36" s="1"/>
  <c r="W12" i="36" s="1"/>
  <c r="F352" i="86" l="1"/>
  <c r="U39" i="85"/>
  <c r="J34" i="83"/>
  <c r="C31" i="83"/>
  <c r="G14" i="80"/>
  <c r="C21" i="97"/>
  <c r="C20" i="97"/>
  <c r="H16" i="96"/>
  <c r="D17" i="99"/>
  <c r="G18" i="98"/>
  <c r="H18" i="98" s="1"/>
  <c r="E23" i="91"/>
  <c r="E24" i="91"/>
  <c r="E25" i="91"/>
  <c r="E22" i="91"/>
  <c r="I22" i="91"/>
  <c r="E17" i="99" l="1"/>
  <c r="F17" i="99" s="1"/>
  <c r="H21" i="98"/>
  <c r="D25" i="48" s="1"/>
  <c r="E21" i="97"/>
  <c r="G21" i="97"/>
  <c r="E20" i="97"/>
  <c r="G20" i="97"/>
  <c r="E13" i="91"/>
  <c r="L41" i="88"/>
  <c r="J41" i="88"/>
  <c r="I41" i="88"/>
  <c r="H15" i="88"/>
  <c r="J15" i="88"/>
  <c r="L15" i="88"/>
  <c r="E13" i="48"/>
  <c r="D15" i="64" s="1"/>
  <c r="J206" i="93"/>
  <c r="J205" i="93"/>
  <c r="C13" i="97"/>
  <c r="E19" i="97"/>
  <c r="H19" i="97" s="1"/>
  <c r="J19" i="97" s="1"/>
  <c r="B16" i="96"/>
  <c r="D16" i="96" s="1"/>
  <c r="C12" i="96"/>
  <c r="I161" i="86"/>
  <c r="I162" i="86"/>
  <c r="I163" i="86"/>
  <c r="I164" i="86"/>
  <c r="I165" i="86"/>
  <c r="I166" i="86"/>
  <c r="I160" i="86"/>
  <c r="I38" i="86"/>
  <c r="J222" i="93"/>
  <c r="J220" i="93"/>
  <c r="M8" i="84"/>
  <c r="F20" i="99" l="1"/>
  <c r="D26" i="48" s="1"/>
  <c r="H21" i="97"/>
  <c r="G25" i="48"/>
  <c r="U11" i="36"/>
  <c r="U12" i="36" s="1"/>
  <c r="K19" i="97"/>
  <c r="L19" i="97" s="1"/>
  <c r="H20" i="97"/>
  <c r="K16" i="96"/>
  <c r="L16" i="96" s="1"/>
  <c r="E16" i="96"/>
  <c r="J184" i="90"/>
  <c r="J178" i="90"/>
  <c r="G178" i="90"/>
  <c r="E178" i="90"/>
  <c r="V11" i="36" l="1"/>
  <c r="V12" i="36" s="1"/>
  <c r="G26" i="48"/>
  <c r="M16" i="96"/>
  <c r="N16" i="96" s="1"/>
  <c r="O16" i="96" s="1"/>
  <c r="O18" i="96" s="1"/>
  <c r="D23" i="48" s="1"/>
  <c r="U33" i="36"/>
  <c r="U42" i="36" s="1"/>
  <c r="R16" i="85"/>
  <c r="H418" i="93"/>
  <c r="J416" i="93"/>
  <c r="J415" i="93"/>
  <c r="J414" i="93"/>
  <c r="J407" i="93"/>
  <c r="J406" i="93"/>
  <c r="J404" i="93"/>
  <c r="J403" i="93"/>
  <c r="J402" i="93"/>
  <c r="J380" i="93"/>
  <c r="J379" i="93"/>
  <c r="J378" i="93"/>
  <c r="J377" i="93"/>
  <c r="J376" i="93"/>
  <c r="J375" i="93"/>
  <c r="J374" i="93"/>
  <c r="J373" i="93"/>
  <c r="J372" i="93"/>
  <c r="J371" i="93"/>
  <c r="J370" i="93"/>
  <c r="J369" i="93"/>
  <c r="J368" i="93"/>
  <c r="J367" i="93"/>
  <c r="J366" i="93"/>
  <c r="J365" i="93"/>
  <c r="J364" i="93"/>
  <c r="J363" i="93"/>
  <c r="J362" i="93"/>
  <c r="J361" i="93"/>
  <c r="J360" i="93"/>
  <c r="J359" i="93"/>
  <c r="J358" i="93"/>
  <c r="J357" i="93"/>
  <c r="J356" i="93"/>
  <c r="J355" i="93"/>
  <c r="J354" i="93"/>
  <c r="J353" i="93"/>
  <c r="J352" i="93"/>
  <c r="J351" i="93"/>
  <c r="J350" i="93"/>
  <c r="J349" i="93"/>
  <c r="J348" i="93"/>
  <c r="J347" i="93"/>
  <c r="J346" i="93"/>
  <c r="J345" i="93"/>
  <c r="J344" i="93"/>
  <c r="J343" i="93"/>
  <c r="J342" i="93"/>
  <c r="J341" i="93"/>
  <c r="J340" i="93"/>
  <c r="J339" i="93"/>
  <c r="J338" i="93"/>
  <c r="J337" i="93"/>
  <c r="J336" i="93"/>
  <c r="J335" i="93"/>
  <c r="J334" i="93"/>
  <c r="J333" i="93"/>
  <c r="J332" i="93"/>
  <c r="J331" i="93"/>
  <c r="J330" i="93"/>
  <c r="J329" i="93"/>
  <c r="J328" i="93"/>
  <c r="J327" i="93"/>
  <c r="J326" i="93"/>
  <c r="J325" i="93"/>
  <c r="J324" i="93"/>
  <c r="J323" i="93"/>
  <c r="J322" i="93"/>
  <c r="J320" i="93"/>
  <c r="J319" i="93"/>
  <c r="J318" i="93"/>
  <c r="J317" i="93"/>
  <c r="J316" i="93"/>
  <c r="J315" i="93"/>
  <c r="J314" i="93"/>
  <c r="J313" i="93"/>
  <c r="J312" i="93"/>
  <c r="J311" i="93"/>
  <c r="J310" i="93"/>
  <c r="J309" i="93"/>
  <c r="J308" i="93"/>
  <c r="J307" i="93"/>
  <c r="J306" i="93"/>
  <c r="J305" i="93"/>
  <c r="J304" i="93"/>
  <c r="J303" i="93"/>
  <c r="J302" i="93"/>
  <c r="J301" i="93"/>
  <c r="J300" i="93"/>
  <c r="J299" i="93"/>
  <c r="J298" i="93"/>
  <c r="J297" i="93"/>
  <c r="J296" i="93"/>
  <c r="J295" i="93"/>
  <c r="J294" i="93"/>
  <c r="J293" i="93"/>
  <c r="J292" i="93"/>
  <c r="J291" i="93"/>
  <c r="J290" i="93"/>
  <c r="J289" i="93"/>
  <c r="J288" i="93"/>
  <c r="J287" i="93"/>
  <c r="J286" i="93"/>
  <c r="J285" i="93"/>
  <c r="J284" i="93"/>
  <c r="J283" i="93"/>
  <c r="J282" i="93"/>
  <c r="J281" i="93"/>
  <c r="J280" i="93"/>
  <c r="J279" i="93"/>
  <c r="J278" i="93"/>
  <c r="J277" i="93"/>
  <c r="J276" i="93"/>
  <c r="J275" i="93"/>
  <c r="J274" i="93"/>
  <c r="J273" i="93"/>
  <c r="J272" i="93"/>
  <c r="J271" i="93"/>
  <c r="J270" i="93"/>
  <c r="J269" i="93"/>
  <c r="J268" i="93"/>
  <c r="J267" i="93"/>
  <c r="J266" i="93"/>
  <c r="J265" i="93"/>
  <c r="J264" i="93"/>
  <c r="J263" i="93"/>
  <c r="J262" i="93"/>
  <c r="J247" i="93"/>
  <c r="J246" i="93"/>
  <c r="J245" i="93"/>
  <c r="J244" i="93"/>
  <c r="J243" i="93"/>
  <c r="J242" i="93"/>
  <c r="J241" i="93"/>
  <c r="J240" i="93"/>
  <c r="J239" i="93"/>
  <c r="J209" i="93"/>
  <c r="J204" i="93"/>
  <c r="J203" i="93"/>
  <c r="J202" i="93"/>
  <c r="J201" i="93"/>
  <c r="J200" i="93"/>
  <c r="J199" i="93"/>
  <c r="J198" i="93"/>
  <c r="J197" i="93"/>
  <c r="J196" i="93"/>
  <c r="J195" i="93"/>
  <c r="J194" i="93"/>
  <c r="J193" i="93"/>
  <c r="J192" i="93"/>
  <c r="J191" i="93"/>
  <c r="J190" i="93"/>
  <c r="J189" i="93"/>
  <c r="J188" i="93"/>
  <c r="J187" i="93"/>
  <c r="J186" i="93"/>
  <c r="J185" i="93"/>
  <c r="J184" i="93"/>
  <c r="J183" i="93"/>
  <c r="J182" i="93"/>
  <c r="J181" i="93"/>
  <c r="J180" i="93"/>
  <c r="J179" i="93"/>
  <c r="J178" i="93"/>
  <c r="J177" i="93"/>
  <c r="J176" i="93"/>
  <c r="J175" i="93"/>
  <c r="J174" i="93"/>
  <c r="J173" i="93"/>
  <c r="J172" i="93"/>
  <c r="J171" i="93"/>
  <c r="J170" i="93"/>
  <c r="J169" i="93"/>
  <c r="J168" i="93"/>
  <c r="J167" i="93"/>
  <c r="J166" i="93"/>
  <c r="J165" i="93"/>
  <c r="J164" i="93"/>
  <c r="J163" i="93"/>
  <c r="J162" i="93"/>
  <c r="J161" i="93"/>
  <c r="J160" i="93"/>
  <c r="J159" i="93"/>
  <c r="J158" i="93"/>
  <c r="J157" i="93"/>
  <c r="J156" i="93"/>
  <c r="J155" i="93"/>
  <c r="J154" i="93"/>
  <c r="J153" i="93"/>
  <c r="J152" i="93"/>
  <c r="J151" i="93"/>
  <c r="J150" i="93"/>
  <c r="J149" i="93"/>
  <c r="J148" i="93"/>
  <c r="J147" i="93"/>
  <c r="J146" i="93"/>
  <c r="J145" i="93"/>
  <c r="J144" i="93"/>
  <c r="J143" i="93"/>
  <c r="J142" i="93"/>
  <c r="J141" i="93"/>
  <c r="J140" i="93"/>
  <c r="J139" i="93"/>
  <c r="J138" i="93"/>
  <c r="J137" i="93"/>
  <c r="J136" i="93"/>
  <c r="J135" i="93"/>
  <c r="J134" i="93"/>
  <c r="J133" i="93"/>
  <c r="J132" i="93"/>
  <c r="J131" i="93"/>
  <c r="J130" i="93"/>
  <c r="J129" i="93"/>
  <c r="J128" i="93"/>
  <c r="J127" i="93"/>
  <c r="J126" i="93"/>
  <c r="J125" i="93"/>
  <c r="J124" i="93"/>
  <c r="J123" i="93"/>
  <c r="J122" i="93"/>
  <c r="J121" i="93"/>
  <c r="J120" i="93"/>
  <c r="J119" i="93"/>
  <c r="J118" i="93"/>
  <c r="J117" i="93"/>
  <c r="J116" i="93"/>
  <c r="J115" i="93"/>
  <c r="J114" i="93"/>
  <c r="J113" i="93"/>
  <c r="J112" i="93"/>
  <c r="J111" i="93"/>
  <c r="J110" i="93"/>
  <c r="J109" i="93"/>
  <c r="J108" i="93"/>
  <c r="J107" i="93"/>
  <c r="J106" i="93"/>
  <c r="J105" i="93"/>
  <c r="J104" i="93"/>
  <c r="J103" i="93"/>
  <c r="J102" i="93"/>
  <c r="J101" i="93"/>
  <c r="J100" i="93"/>
  <c r="J99" i="93"/>
  <c r="J98" i="93"/>
  <c r="J97" i="93"/>
  <c r="J96" i="93"/>
  <c r="J95" i="93"/>
  <c r="J94" i="93"/>
  <c r="J93" i="93"/>
  <c r="J92" i="93"/>
  <c r="J91" i="93"/>
  <c r="J90" i="93"/>
  <c r="J89" i="93"/>
  <c r="J88" i="93"/>
  <c r="J87" i="93"/>
  <c r="J86" i="93"/>
  <c r="J85" i="93"/>
  <c r="J84" i="93"/>
  <c r="J83" i="93"/>
  <c r="J82" i="93"/>
  <c r="J81" i="93"/>
  <c r="J80" i="93"/>
  <c r="J79" i="93"/>
  <c r="J78" i="93"/>
  <c r="J77" i="93"/>
  <c r="J76" i="93"/>
  <c r="J75" i="93"/>
  <c r="J74" i="93"/>
  <c r="J73" i="93"/>
  <c r="J72" i="93"/>
  <c r="J71" i="93"/>
  <c r="J70" i="93"/>
  <c r="J69" i="93"/>
  <c r="J68" i="93"/>
  <c r="J67" i="93"/>
  <c r="J66" i="93"/>
  <c r="J65" i="93"/>
  <c r="J64" i="93"/>
  <c r="J63" i="93"/>
  <c r="J62" i="93"/>
  <c r="J61" i="93"/>
  <c r="J60" i="93"/>
  <c r="J59" i="93"/>
  <c r="J58" i="93"/>
  <c r="J57" i="93"/>
  <c r="J56" i="93"/>
  <c r="J55" i="93"/>
  <c r="J54" i="93"/>
  <c r="J53" i="93"/>
  <c r="J52" i="93"/>
  <c r="J51" i="93"/>
  <c r="J50" i="93"/>
  <c r="J49" i="93"/>
  <c r="J48" i="93"/>
  <c r="J47" i="93"/>
  <c r="J46" i="93"/>
  <c r="J45" i="93"/>
  <c r="J44" i="93"/>
  <c r="J43" i="93"/>
  <c r="J42" i="93"/>
  <c r="J41" i="93"/>
  <c r="J40" i="93"/>
  <c r="J39" i="93"/>
  <c r="J38" i="93"/>
  <c r="J37" i="93"/>
  <c r="J36" i="93"/>
  <c r="J35" i="93"/>
  <c r="J34" i="93"/>
  <c r="J33" i="93"/>
  <c r="J32" i="93"/>
  <c r="J31" i="93"/>
  <c r="J30" i="93"/>
  <c r="J29" i="93"/>
  <c r="J28" i="93"/>
  <c r="J27" i="93"/>
  <c r="J26" i="93"/>
  <c r="J25" i="93"/>
  <c r="J24" i="93"/>
  <c r="J23" i="93"/>
  <c r="J22" i="93"/>
  <c r="J21" i="93"/>
  <c r="J20" i="93"/>
  <c r="J19" i="93"/>
  <c r="J18" i="93"/>
  <c r="J17" i="93"/>
  <c r="J16" i="93"/>
  <c r="J15" i="93"/>
  <c r="J14" i="93"/>
  <c r="J13" i="93"/>
  <c r="J12" i="93"/>
  <c r="J11" i="93"/>
  <c r="J10" i="93"/>
  <c r="J9" i="93"/>
  <c r="J418" i="93" s="1"/>
  <c r="J420" i="93" s="1"/>
  <c r="E12" i="48" s="1"/>
  <c r="G23" i="48" l="1"/>
  <c r="S11" i="36"/>
  <c r="G75" i="91"/>
  <c r="G69" i="91"/>
  <c r="C51" i="91"/>
  <c r="I50" i="91"/>
  <c r="G50" i="91"/>
  <c r="G51" i="91" s="1"/>
  <c r="E50" i="91"/>
  <c r="I49" i="91"/>
  <c r="E49" i="91"/>
  <c r="I48" i="91"/>
  <c r="E48" i="91"/>
  <c r="I47" i="91"/>
  <c r="E47" i="91"/>
  <c r="I46" i="91"/>
  <c r="E46" i="91"/>
  <c r="C43" i="91"/>
  <c r="I42" i="91"/>
  <c r="G42" i="91"/>
  <c r="G43" i="91" s="1"/>
  <c r="E42" i="91"/>
  <c r="I41" i="91"/>
  <c r="E41" i="91"/>
  <c r="I40" i="91"/>
  <c r="E40" i="91"/>
  <c r="I39" i="91"/>
  <c r="E39" i="91"/>
  <c r="I38" i="91"/>
  <c r="E38" i="91"/>
  <c r="H27" i="91"/>
  <c r="H26" i="91"/>
  <c r="K25" i="91"/>
  <c r="H25" i="91"/>
  <c r="I25" i="91" s="1"/>
  <c r="H24" i="91"/>
  <c r="I24" i="91" s="1"/>
  <c r="L24" i="91" s="1"/>
  <c r="H23" i="91"/>
  <c r="I23" i="91" s="1"/>
  <c r="L23" i="91" s="1"/>
  <c r="K22" i="91"/>
  <c r="H22" i="91"/>
  <c r="K19" i="91"/>
  <c r="I18" i="91"/>
  <c r="L18" i="91" s="1"/>
  <c r="I17" i="91"/>
  <c r="L17" i="91" s="1"/>
  <c r="I16" i="91"/>
  <c r="L16" i="91" s="1"/>
  <c r="E16" i="91"/>
  <c r="I15" i="91"/>
  <c r="L15" i="91" s="1"/>
  <c r="E15" i="91"/>
  <c r="I14" i="91"/>
  <c r="L14" i="91" s="1"/>
  <c r="E14" i="91"/>
  <c r="I13" i="91"/>
  <c r="H22" i="97" l="1"/>
  <c r="J22" i="97" s="1"/>
  <c r="G77" i="91"/>
  <c r="C18" i="91"/>
  <c r="I27" i="91"/>
  <c r="L27" i="91" s="1"/>
  <c r="E19" i="91"/>
  <c r="C17" i="91"/>
  <c r="L25" i="91"/>
  <c r="G19" i="91"/>
  <c r="G27" i="91"/>
  <c r="I19" i="91"/>
  <c r="E43" i="91"/>
  <c r="E51" i="91"/>
  <c r="I43" i="91"/>
  <c r="I51" i="91"/>
  <c r="K28" i="91"/>
  <c r="E28" i="91"/>
  <c r="I26" i="91"/>
  <c r="L22" i="91"/>
  <c r="G26" i="91"/>
  <c r="L13" i="91"/>
  <c r="C28" i="91"/>
  <c r="K22" i="97" l="1"/>
  <c r="J23" i="97"/>
  <c r="L26" i="97" s="1"/>
  <c r="L26" i="91"/>
  <c r="I28" i="91"/>
  <c r="C19" i="91"/>
  <c r="L19" i="91"/>
  <c r="I53" i="91"/>
  <c r="L28" i="91"/>
  <c r="G28" i="91"/>
  <c r="D24" i="48" l="1"/>
  <c r="T11" i="36" s="1"/>
  <c r="T12" i="36" s="1"/>
  <c r="L30" i="91"/>
  <c r="I55" i="91" s="1"/>
  <c r="H67" i="91" s="1"/>
  <c r="T33" i="36" l="1"/>
  <c r="T42" i="36" s="1"/>
  <c r="D9" i="64"/>
  <c r="G24" i="48"/>
  <c r="D28" i="48"/>
  <c r="H68" i="91"/>
  <c r="H64" i="91"/>
  <c r="H71" i="91"/>
  <c r="H72" i="91"/>
  <c r="H65" i="91"/>
  <c r="H66" i="91"/>
  <c r="H74" i="91"/>
  <c r="H73" i="91"/>
  <c r="H69" i="91"/>
  <c r="E22" i="48" s="1"/>
  <c r="A13" i="94"/>
  <c r="A14" i="94" s="1"/>
  <c r="C12" i="94"/>
  <c r="C14" i="94" s="1"/>
  <c r="H75" i="91" l="1"/>
  <c r="H77" i="91" s="1"/>
  <c r="D43" i="84"/>
  <c r="D44" i="84"/>
  <c r="D45" i="84"/>
  <c r="D46" i="84"/>
  <c r="D47" i="84"/>
  <c r="D48" i="84"/>
  <c r="D49" i="84"/>
  <c r="D50" i="84"/>
  <c r="D51" i="84"/>
  <c r="D52" i="84"/>
  <c r="D53" i="84"/>
  <c r="D54" i="84"/>
  <c r="D55" i="84"/>
  <c r="D56" i="84"/>
  <c r="D57" i="84"/>
  <c r="D58" i="84"/>
  <c r="D59" i="84"/>
  <c r="D60" i="84"/>
  <c r="D61" i="84"/>
  <c r="D62" i="84"/>
  <c r="D63" i="84"/>
  <c r="D64" i="84"/>
  <c r="D65" i="84"/>
  <c r="D66" i="84"/>
  <c r="D67" i="84"/>
  <c r="D68" i="84"/>
  <c r="D69" i="84"/>
  <c r="D70" i="84"/>
  <c r="D71" i="84"/>
  <c r="D72" i="84"/>
  <c r="D73" i="84"/>
  <c r="D74" i="84"/>
  <c r="D75" i="84"/>
  <c r="D76" i="84"/>
  <c r="D77" i="84"/>
  <c r="D78" i="84"/>
  <c r="D79" i="84"/>
  <c r="D80" i="84"/>
  <c r="D81" i="84"/>
  <c r="D82" i="84"/>
  <c r="D83" i="84"/>
  <c r="D84" i="84"/>
  <c r="D85" i="84"/>
  <c r="D86" i="84"/>
  <c r="D87" i="84"/>
  <c r="D88" i="84"/>
  <c r="D89" i="84"/>
  <c r="D90" i="84"/>
  <c r="D91" i="84"/>
  <c r="D92" i="84"/>
  <c r="D93" i="84"/>
  <c r="D94" i="84"/>
  <c r="D95" i="84"/>
  <c r="D96" i="84"/>
  <c r="D97" i="84"/>
  <c r="D98" i="84"/>
  <c r="D99" i="84"/>
  <c r="D100" i="84"/>
  <c r="D101" i="84"/>
  <c r="D102" i="84"/>
  <c r="D103" i="84"/>
  <c r="D104" i="84"/>
  <c r="D105" i="84"/>
  <c r="D106" i="84"/>
  <c r="D107" i="84"/>
  <c r="D108" i="84"/>
  <c r="D109" i="84"/>
  <c r="D110" i="84"/>
  <c r="D111" i="84"/>
  <c r="D112" i="84"/>
  <c r="D113" i="84"/>
  <c r="D114" i="84"/>
  <c r="D115" i="84"/>
  <c r="D116" i="84"/>
  <c r="D117" i="84"/>
  <c r="D118" i="84"/>
  <c r="D119" i="84"/>
  <c r="D120" i="84"/>
  <c r="D121" i="84"/>
  <c r="D122" i="84"/>
  <c r="D123" i="84"/>
  <c r="D124" i="84"/>
  <c r="D125" i="84"/>
  <c r="D126" i="84"/>
  <c r="D127" i="84"/>
  <c r="D128" i="84"/>
  <c r="D129" i="84"/>
  <c r="D130" i="84"/>
  <c r="D131" i="84"/>
  <c r="D132" i="84"/>
  <c r="D133" i="84"/>
  <c r="D134" i="84"/>
  <c r="D135" i="84"/>
  <c r="D136" i="84"/>
  <c r="D137" i="84"/>
  <c r="D138" i="84"/>
  <c r="D139" i="84"/>
  <c r="D140" i="84"/>
  <c r="D141" i="84"/>
  <c r="D142" i="84"/>
  <c r="D143" i="84"/>
  <c r="D144" i="84"/>
  <c r="D145" i="84"/>
  <c r="D146" i="84"/>
  <c r="D147" i="84"/>
  <c r="D148" i="84"/>
  <c r="D149" i="84"/>
  <c r="D150" i="84"/>
  <c r="D151" i="84"/>
  <c r="D152" i="84"/>
  <c r="D153" i="84"/>
  <c r="D154" i="84"/>
  <c r="D155" i="84"/>
  <c r="D156" i="84"/>
  <c r="D157" i="84"/>
  <c r="D158" i="84"/>
  <c r="D159" i="84"/>
  <c r="D160" i="84"/>
  <c r="D161" i="84"/>
  <c r="D162" i="84"/>
  <c r="D163" i="84"/>
  <c r="D164" i="84"/>
  <c r="D165" i="84"/>
  <c r="D166" i="84"/>
  <c r="D167" i="84"/>
  <c r="D168" i="84"/>
  <c r="D169" i="84"/>
  <c r="D170" i="84"/>
  <c r="D171" i="84"/>
  <c r="D172" i="84"/>
  <c r="D173" i="84"/>
  <c r="D174" i="84"/>
  <c r="D175" i="84"/>
  <c r="D176" i="84"/>
  <c r="D177" i="84"/>
  <c r="D178" i="84"/>
  <c r="D179" i="84"/>
  <c r="D180" i="84"/>
  <c r="D181" i="84"/>
  <c r="D182" i="84"/>
  <c r="D183" i="84"/>
  <c r="D42" i="84"/>
  <c r="G16" i="80" l="1"/>
  <c r="G17" i="80"/>
  <c r="G18" i="80"/>
  <c r="G19" i="80"/>
  <c r="G20" i="80"/>
  <c r="G21" i="80"/>
  <c r="G23" i="80"/>
  <c r="G24" i="80"/>
  <c r="G25" i="80"/>
  <c r="G30" i="80"/>
  <c r="G31" i="80"/>
  <c r="G32" i="80"/>
  <c r="G33" i="80"/>
  <c r="G34" i="80"/>
  <c r="G35" i="80"/>
  <c r="G36" i="80"/>
  <c r="G37" i="80"/>
  <c r="G38" i="80"/>
  <c r="G44" i="80"/>
  <c r="B4" i="93"/>
  <c r="B3" i="93"/>
  <c r="E14" i="48"/>
  <c r="C37" i="83" a="1"/>
  <c r="C37" i="83" s="1"/>
  <c r="C39" i="83" s="1"/>
  <c r="C32" i="83"/>
  <c r="C34" i="83"/>
  <c r="J36" i="83" s="1"/>
  <c r="J26" i="83"/>
  <c r="I26" i="83"/>
  <c r="D26" i="83"/>
  <c r="K23" i="83"/>
  <c r="K26" i="83" s="1"/>
  <c r="K19" i="83"/>
  <c r="G16" i="83"/>
  <c r="J15" i="83"/>
  <c r="H15" i="83"/>
  <c r="H26" i="83" s="1"/>
  <c r="G15" i="83"/>
  <c r="F15" i="83"/>
  <c r="F26" i="83" s="1"/>
  <c r="E15" i="83"/>
  <c r="E26" i="83" s="1"/>
  <c r="C15" i="83"/>
  <c r="C26" i="83" s="1"/>
  <c r="G14" i="83"/>
  <c r="G26" i="83" s="1"/>
  <c r="K12" i="83"/>
  <c r="L26" i="83" l="1"/>
  <c r="R6" i="36" l="1"/>
  <c r="R4" i="36"/>
  <c r="G22" i="48"/>
  <c r="G207" i="90"/>
  <c r="G201" i="90"/>
  <c r="G209" i="90" s="1"/>
  <c r="G177" i="90"/>
  <c r="G176" i="90"/>
  <c r="G175" i="90"/>
  <c r="G174" i="90"/>
  <c r="I174" i="90" s="1"/>
  <c r="G173" i="90"/>
  <c r="I173" i="90" s="1"/>
  <c r="G172" i="90"/>
  <c r="G171" i="90"/>
  <c r="H171" i="90" s="1"/>
  <c r="G170" i="90"/>
  <c r="I170" i="90" s="1"/>
  <c r="G169" i="90"/>
  <c r="I169" i="90" s="1"/>
  <c r="G168" i="90"/>
  <c r="G167" i="90"/>
  <c r="G166" i="90"/>
  <c r="H166" i="90" s="1"/>
  <c r="G165" i="90"/>
  <c r="G164" i="90"/>
  <c r="G163" i="90"/>
  <c r="G162" i="90"/>
  <c r="I162" i="90" s="1"/>
  <c r="G161" i="90"/>
  <c r="G160" i="90"/>
  <c r="H160" i="90" s="1"/>
  <c r="G159" i="90"/>
  <c r="I159" i="90" s="1"/>
  <c r="G158" i="90"/>
  <c r="I158" i="90" s="1"/>
  <c r="G157" i="90"/>
  <c r="G156" i="90"/>
  <c r="H156" i="90" s="1"/>
  <c r="G155" i="90"/>
  <c r="I155" i="90" s="1"/>
  <c r="G154" i="90"/>
  <c r="H154" i="90" s="1"/>
  <c r="G153" i="90"/>
  <c r="G152" i="90"/>
  <c r="G151" i="90"/>
  <c r="I151" i="90" s="1"/>
  <c r="G150" i="90"/>
  <c r="G149" i="90"/>
  <c r="G148" i="90"/>
  <c r="H148" i="90" s="1"/>
  <c r="G147" i="90"/>
  <c r="I147" i="90" s="1"/>
  <c r="G146" i="90"/>
  <c r="G145" i="90"/>
  <c r="G144" i="90"/>
  <c r="H144" i="90" s="1"/>
  <c r="G143" i="90"/>
  <c r="I143" i="90" s="1"/>
  <c r="G142" i="90"/>
  <c r="G141" i="90"/>
  <c r="G140" i="90"/>
  <c r="H140" i="90" s="1"/>
  <c r="G139" i="90"/>
  <c r="I139" i="90" s="1"/>
  <c r="G138" i="90"/>
  <c r="G137" i="90"/>
  <c r="I137" i="90" s="1"/>
  <c r="G136" i="90"/>
  <c r="H136" i="90" s="1"/>
  <c r="G135" i="90"/>
  <c r="G134" i="90"/>
  <c r="G133" i="90"/>
  <c r="H133" i="90" s="1"/>
  <c r="G132" i="90"/>
  <c r="I132" i="90" s="1"/>
  <c r="G131" i="90"/>
  <c r="H131" i="90" s="1"/>
  <c r="G130" i="90"/>
  <c r="H130" i="90" s="1"/>
  <c r="G129" i="90"/>
  <c r="I129" i="90" s="1"/>
  <c r="G128" i="90"/>
  <c r="G127" i="90"/>
  <c r="G126" i="90"/>
  <c r="H126" i="90" s="1"/>
  <c r="G125" i="90"/>
  <c r="G124" i="90"/>
  <c r="H124" i="90" s="1"/>
  <c r="G123" i="90"/>
  <c r="I123" i="90" s="1"/>
  <c r="G122" i="90"/>
  <c r="I122" i="90" s="1"/>
  <c r="G121" i="90"/>
  <c r="G120" i="90"/>
  <c r="I120" i="90" s="1"/>
  <c r="G119" i="90"/>
  <c r="I119" i="90" s="1"/>
  <c r="G118" i="90"/>
  <c r="G117" i="90"/>
  <c r="H117" i="90" s="1"/>
  <c r="G116" i="90"/>
  <c r="I116" i="90" s="1"/>
  <c r="G115" i="90"/>
  <c r="I115" i="90" s="1"/>
  <c r="G114" i="90"/>
  <c r="H114" i="90" s="1"/>
  <c r="G113" i="90"/>
  <c r="I113" i="90" s="1"/>
  <c r="G112" i="90"/>
  <c r="I112" i="90" s="1"/>
  <c r="G111" i="90"/>
  <c r="G110" i="90"/>
  <c r="G109" i="90"/>
  <c r="H109" i="90" s="1"/>
  <c r="G108" i="90"/>
  <c r="I108" i="90" s="1"/>
  <c r="G107" i="90"/>
  <c r="G106" i="90"/>
  <c r="G105" i="90"/>
  <c r="H105" i="90" s="1"/>
  <c r="G104" i="90"/>
  <c r="I104" i="90" s="1"/>
  <c r="G103" i="90"/>
  <c r="G102" i="90"/>
  <c r="G101" i="90"/>
  <c r="H101" i="90" s="1"/>
  <c r="G100" i="90"/>
  <c r="I100" i="90" s="1"/>
  <c r="G99" i="90"/>
  <c r="H99" i="90" s="1"/>
  <c r="G98" i="90"/>
  <c r="I98" i="90" s="1"/>
  <c r="G97" i="90"/>
  <c r="I97" i="90" s="1"/>
  <c r="G96" i="90"/>
  <c r="G95" i="90"/>
  <c r="H95" i="90" s="1"/>
  <c r="G94" i="90"/>
  <c r="I94" i="90" s="1"/>
  <c r="G93" i="90"/>
  <c r="I93" i="90" s="1"/>
  <c r="G92" i="90"/>
  <c r="G91" i="90"/>
  <c r="G90" i="90"/>
  <c r="H90" i="90" s="1"/>
  <c r="G89" i="90"/>
  <c r="I89" i="90" s="1"/>
  <c r="G88" i="90"/>
  <c r="G87" i="90"/>
  <c r="G86" i="90"/>
  <c r="H86" i="90" s="1"/>
  <c r="G85" i="90"/>
  <c r="I85" i="90" s="1"/>
  <c r="G84" i="90"/>
  <c r="G83" i="90"/>
  <c r="G82" i="90"/>
  <c r="H82" i="90" s="1"/>
  <c r="G81" i="90"/>
  <c r="G80" i="90"/>
  <c r="H80" i="90" s="1"/>
  <c r="G79" i="90"/>
  <c r="I79" i="90" s="1"/>
  <c r="G78" i="90"/>
  <c r="I78" i="90" s="1"/>
  <c r="G77" i="90"/>
  <c r="G76" i="90"/>
  <c r="G75" i="90"/>
  <c r="H75" i="90" s="1"/>
  <c r="G74" i="90"/>
  <c r="I74" i="90" s="1"/>
  <c r="G73" i="90"/>
  <c r="G72" i="90"/>
  <c r="G71" i="90"/>
  <c r="H71" i="90" s="1"/>
  <c r="G70" i="90"/>
  <c r="I70" i="90" s="1"/>
  <c r="G69" i="90"/>
  <c r="G68" i="90"/>
  <c r="G67" i="90"/>
  <c r="H67" i="90" s="1"/>
  <c r="G66" i="90"/>
  <c r="I66" i="90" s="1"/>
  <c r="G65" i="90"/>
  <c r="G64" i="90"/>
  <c r="G63" i="90"/>
  <c r="H63" i="90" s="1"/>
  <c r="G62" i="90"/>
  <c r="G61" i="90"/>
  <c r="H61" i="90" s="1"/>
  <c r="G60" i="90"/>
  <c r="I60" i="90" s="1"/>
  <c r="G59" i="90"/>
  <c r="H59" i="90" s="1"/>
  <c r="G58" i="90"/>
  <c r="G57" i="90"/>
  <c r="G56" i="90"/>
  <c r="H56" i="90" s="1"/>
  <c r="G55" i="90"/>
  <c r="G54" i="90"/>
  <c r="H54" i="90" s="1"/>
  <c r="G53" i="90"/>
  <c r="I53" i="90" s="1"/>
  <c r="G52" i="90"/>
  <c r="I52" i="90" s="1"/>
  <c r="G51" i="90"/>
  <c r="G50" i="90"/>
  <c r="H50" i="90" s="1"/>
  <c r="G49" i="90"/>
  <c r="I49" i="90" s="1"/>
  <c r="G48" i="90"/>
  <c r="I48" i="90" s="1"/>
  <c r="G47" i="90"/>
  <c r="G46" i="90"/>
  <c r="H46" i="90" s="1"/>
  <c r="G45" i="90"/>
  <c r="I45" i="90" s="1"/>
  <c r="G44" i="90"/>
  <c r="I44" i="90" s="1"/>
  <c r="G43" i="90"/>
  <c r="G42" i="90"/>
  <c r="H42" i="90" s="1"/>
  <c r="G41" i="90"/>
  <c r="H41" i="90" s="1"/>
  <c r="G40" i="90"/>
  <c r="I40" i="90" s="1"/>
  <c r="G39" i="90"/>
  <c r="H39" i="90" s="1"/>
  <c r="G38" i="90"/>
  <c r="H38" i="90" s="1"/>
  <c r="G37" i="90"/>
  <c r="I37" i="90" s="1"/>
  <c r="G36" i="90"/>
  <c r="H36" i="90" s="1"/>
  <c r="G35" i="90"/>
  <c r="I35" i="90" s="1"/>
  <c r="G34" i="90"/>
  <c r="I34" i="90" s="1"/>
  <c r="G33" i="90"/>
  <c r="G32" i="90"/>
  <c r="H32" i="90" s="1"/>
  <c r="G31" i="90"/>
  <c r="I31" i="90" s="1"/>
  <c r="G30" i="90"/>
  <c r="I30" i="90" s="1"/>
  <c r="G29" i="90"/>
  <c r="G28" i="90"/>
  <c r="G27" i="90"/>
  <c r="H27" i="90" s="1"/>
  <c r="G26" i="90"/>
  <c r="I26" i="90" s="1"/>
  <c r="G25" i="90"/>
  <c r="G24" i="90"/>
  <c r="G23" i="90"/>
  <c r="H23" i="90" s="1"/>
  <c r="G22" i="90"/>
  <c r="I22" i="90" s="1"/>
  <c r="G21" i="90"/>
  <c r="G20" i="90"/>
  <c r="G19" i="90"/>
  <c r="H19" i="90" s="1"/>
  <c r="G18" i="90"/>
  <c r="I18" i="90" s="1"/>
  <c r="G17" i="90"/>
  <c r="G16" i="90"/>
  <c r="G15" i="90"/>
  <c r="H15" i="90" s="1"/>
  <c r="G14" i="90"/>
  <c r="I14" i="90" s="1"/>
  <c r="G13" i="90"/>
  <c r="I13" i="90" s="1"/>
  <c r="E20" i="48"/>
  <c r="D24" i="64" s="1"/>
  <c r="K60" i="89"/>
  <c r="I60" i="89"/>
  <c r="I57" i="89"/>
  <c r="G57" i="89"/>
  <c r="J56" i="89"/>
  <c r="K56" i="89" s="1"/>
  <c r="I55" i="89"/>
  <c r="K55" i="89" s="1"/>
  <c r="K54" i="89"/>
  <c r="J54" i="89"/>
  <c r="I54" i="89"/>
  <c r="J53" i="89"/>
  <c r="I53" i="89"/>
  <c r="K53" i="89" s="1"/>
  <c r="K52" i="89"/>
  <c r="J52" i="89"/>
  <c r="I52" i="89"/>
  <c r="J51" i="89"/>
  <c r="K51" i="89" s="1"/>
  <c r="K57" i="89" s="1"/>
  <c r="K49" i="89"/>
  <c r="J49" i="89"/>
  <c r="I49" i="89"/>
  <c r="G49" i="89"/>
  <c r="I48" i="89"/>
  <c r="K48" i="89" s="1"/>
  <c r="J46" i="89"/>
  <c r="G46" i="89"/>
  <c r="I44" i="89"/>
  <c r="K44" i="89" s="1"/>
  <c r="I43" i="89"/>
  <c r="K43" i="89" s="1"/>
  <c r="I42" i="89"/>
  <c r="K42" i="89" s="1"/>
  <c r="I41" i="89"/>
  <c r="K41" i="89" s="1"/>
  <c r="K40" i="89"/>
  <c r="I40" i="89"/>
  <c r="I39" i="89"/>
  <c r="K39" i="89" s="1"/>
  <c r="K38" i="89"/>
  <c r="I38" i="89"/>
  <c r="I37" i="89"/>
  <c r="K37" i="89" s="1"/>
  <c r="I36" i="89"/>
  <c r="K36" i="89" s="1"/>
  <c r="I35" i="89"/>
  <c r="K35" i="89" s="1"/>
  <c r="I34" i="89"/>
  <c r="K34" i="89" s="1"/>
  <c r="I33" i="89"/>
  <c r="K33" i="89" s="1"/>
  <c r="K32" i="89"/>
  <c r="I32" i="89"/>
  <c r="I31" i="89"/>
  <c r="K31" i="89" s="1"/>
  <c r="K30" i="89"/>
  <c r="I30" i="89"/>
  <c r="I29" i="89"/>
  <c r="K29" i="89" s="1"/>
  <c r="I28" i="89"/>
  <c r="K28" i="89" s="1"/>
  <c r="I27" i="89"/>
  <c r="K27" i="89" s="1"/>
  <c r="I26" i="89"/>
  <c r="K26" i="89" s="1"/>
  <c r="I25" i="89"/>
  <c r="K25" i="89" s="1"/>
  <c r="K24" i="89"/>
  <c r="I24" i="89"/>
  <c r="I23" i="89"/>
  <c r="K23" i="89" s="1"/>
  <c r="K22" i="89"/>
  <c r="I22" i="89"/>
  <c r="K21" i="89"/>
  <c r="I21" i="89"/>
  <c r="I20" i="89"/>
  <c r="K20" i="89" s="1"/>
  <c r="I19" i="89"/>
  <c r="K19" i="89" s="1"/>
  <c r="I18" i="89"/>
  <c r="K18" i="89" s="1"/>
  <c r="I17" i="89"/>
  <c r="K17" i="89" s="1"/>
  <c r="J14" i="89"/>
  <c r="G14" i="89"/>
  <c r="G63" i="89" s="1"/>
  <c r="I13" i="89"/>
  <c r="K13" i="89" s="1"/>
  <c r="I12" i="89"/>
  <c r="K12" i="89" s="1"/>
  <c r="K14" i="89" s="1"/>
  <c r="A12" i="89"/>
  <c r="A13" i="89" s="1"/>
  <c r="A14" i="89" s="1"/>
  <c r="A15" i="89" s="1"/>
  <c r="A16" i="89" s="1"/>
  <c r="A17" i="89" s="1"/>
  <c r="A18" i="89" s="1"/>
  <c r="A19" i="89" s="1"/>
  <c r="A20" i="89" s="1"/>
  <c r="A21" i="89" s="1"/>
  <c r="A22" i="89" s="1"/>
  <c r="A23" i="89" s="1"/>
  <c r="A24" i="89" s="1"/>
  <c r="A25" i="89" s="1"/>
  <c r="A26" i="89" s="1"/>
  <c r="A27" i="89" s="1"/>
  <c r="A28" i="89" s="1"/>
  <c r="A29" i="89" s="1"/>
  <c r="A30" i="89" s="1"/>
  <c r="A31" i="89" s="1"/>
  <c r="A32" i="89" s="1"/>
  <c r="A33" i="89" s="1"/>
  <c r="A34" i="89" s="1"/>
  <c r="A35" i="89" s="1"/>
  <c r="A36" i="89" s="1"/>
  <c r="A37" i="89" s="1"/>
  <c r="A38" i="89" s="1"/>
  <c r="A39" i="89" s="1"/>
  <c r="A40" i="89" s="1"/>
  <c r="A41" i="89" s="1"/>
  <c r="A42" i="89" s="1"/>
  <c r="A43" i="89" s="1"/>
  <c r="A44" i="89" s="1"/>
  <c r="A46" i="89" s="1"/>
  <c r="A47" i="89" s="1"/>
  <c r="A48" i="89" s="1"/>
  <c r="A49" i="89" s="1"/>
  <c r="A50" i="89" s="1"/>
  <c r="A51" i="89" s="1"/>
  <c r="A52" i="89" s="1"/>
  <c r="A53" i="89" s="1"/>
  <c r="A54" i="89" s="1"/>
  <c r="A55" i="89" s="1"/>
  <c r="A56" i="89" s="1"/>
  <c r="A57" i="89" s="1"/>
  <c r="A58" i="89" s="1"/>
  <c r="A59" i="89" s="1"/>
  <c r="A60" i="89" s="1"/>
  <c r="A61" i="89" s="1"/>
  <c r="A62" i="89" s="1"/>
  <c r="A63" i="89" s="1"/>
  <c r="A64" i="89" s="1"/>
  <c r="A65" i="89" s="1"/>
  <c r="A66" i="89" s="1"/>
  <c r="A67" i="89" s="1"/>
  <c r="A68" i="89" s="1"/>
  <c r="H209" i="88"/>
  <c r="H203" i="88"/>
  <c r="H211" i="88" s="1"/>
  <c r="O186" i="88"/>
  <c r="H186" i="88"/>
  <c r="F182" i="88"/>
  <c r="C182" i="88"/>
  <c r="M181" i="88"/>
  <c r="N181" i="88" s="1"/>
  <c r="K181" i="88"/>
  <c r="L181" i="88" s="1"/>
  <c r="I181" i="88"/>
  <c r="J181" i="88" s="1"/>
  <c r="G181" i="88"/>
  <c r="H181" i="88" s="1"/>
  <c r="M180" i="88"/>
  <c r="N180" i="88" s="1"/>
  <c r="K180" i="88"/>
  <c r="L180" i="88" s="1"/>
  <c r="I180" i="88"/>
  <c r="J180" i="88" s="1"/>
  <c r="G180" i="88"/>
  <c r="H180" i="88" s="1"/>
  <c r="M179" i="88"/>
  <c r="N179" i="88" s="1"/>
  <c r="L179" i="88"/>
  <c r="K179" i="88"/>
  <c r="I179" i="88"/>
  <c r="J179" i="88" s="1"/>
  <c r="G179" i="88"/>
  <c r="H179" i="88" s="1"/>
  <c r="M178" i="88"/>
  <c r="N178" i="88" s="1"/>
  <c r="K178" i="88"/>
  <c r="L178" i="88" s="1"/>
  <c r="I178" i="88"/>
  <c r="J178" i="88" s="1"/>
  <c r="G178" i="88"/>
  <c r="H178" i="88" s="1"/>
  <c r="M177" i="88"/>
  <c r="N177" i="88" s="1"/>
  <c r="K177" i="88"/>
  <c r="L177" i="88" s="1"/>
  <c r="I177" i="88"/>
  <c r="J177" i="88" s="1"/>
  <c r="G177" i="88"/>
  <c r="H177" i="88" s="1"/>
  <c r="M176" i="88"/>
  <c r="N176" i="88" s="1"/>
  <c r="K176" i="88"/>
  <c r="L176" i="88" s="1"/>
  <c r="J176" i="88"/>
  <c r="I176" i="88"/>
  <c r="G176" i="88"/>
  <c r="H176" i="88" s="1"/>
  <c r="M175" i="88"/>
  <c r="N175" i="88" s="1"/>
  <c r="K175" i="88"/>
  <c r="L175" i="88" s="1"/>
  <c r="I175" i="88"/>
  <c r="J175" i="88" s="1"/>
  <c r="G175" i="88"/>
  <c r="H175" i="88" s="1"/>
  <c r="M174" i="88"/>
  <c r="N174" i="88" s="1"/>
  <c r="K174" i="88"/>
  <c r="L174" i="88" s="1"/>
  <c r="I174" i="88"/>
  <c r="J174" i="88" s="1"/>
  <c r="G174" i="88"/>
  <c r="H174" i="88" s="1"/>
  <c r="M173" i="88"/>
  <c r="N173" i="88" s="1"/>
  <c r="K173" i="88"/>
  <c r="L173" i="88" s="1"/>
  <c r="J173" i="88"/>
  <c r="I173" i="88"/>
  <c r="G173" i="88"/>
  <c r="H173" i="88" s="1"/>
  <c r="M172" i="88"/>
  <c r="N172" i="88" s="1"/>
  <c r="K172" i="88"/>
  <c r="L172" i="88" s="1"/>
  <c r="I172" i="88"/>
  <c r="J172" i="88" s="1"/>
  <c r="G172" i="88"/>
  <c r="H172" i="88" s="1"/>
  <c r="M171" i="88"/>
  <c r="N171" i="88" s="1"/>
  <c r="K171" i="88"/>
  <c r="L171" i="88" s="1"/>
  <c r="I171" i="88"/>
  <c r="J171" i="88" s="1"/>
  <c r="G171" i="88"/>
  <c r="H171" i="88" s="1"/>
  <c r="M170" i="88"/>
  <c r="N170" i="88" s="1"/>
  <c r="K170" i="88"/>
  <c r="L170" i="88" s="1"/>
  <c r="I170" i="88"/>
  <c r="J170" i="88" s="1"/>
  <c r="G170" i="88"/>
  <c r="H170" i="88" s="1"/>
  <c r="M169" i="88"/>
  <c r="N169" i="88" s="1"/>
  <c r="K169" i="88"/>
  <c r="L169" i="88" s="1"/>
  <c r="I169" i="88"/>
  <c r="J169" i="88" s="1"/>
  <c r="G169" i="88"/>
  <c r="H169" i="88" s="1"/>
  <c r="M168" i="88"/>
  <c r="N168" i="88" s="1"/>
  <c r="K168" i="88"/>
  <c r="L168" i="88" s="1"/>
  <c r="I168" i="88"/>
  <c r="J168" i="88" s="1"/>
  <c r="G168" i="88"/>
  <c r="H168" i="88" s="1"/>
  <c r="M167" i="88"/>
  <c r="N167" i="88" s="1"/>
  <c r="K167" i="88"/>
  <c r="L167" i="88" s="1"/>
  <c r="I167" i="88"/>
  <c r="J167" i="88" s="1"/>
  <c r="G167" i="88"/>
  <c r="H167" i="88" s="1"/>
  <c r="M166" i="88"/>
  <c r="N166" i="88" s="1"/>
  <c r="K166" i="88"/>
  <c r="L166" i="88" s="1"/>
  <c r="I166" i="88"/>
  <c r="J166" i="88" s="1"/>
  <c r="G166" i="88"/>
  <c r="H166" i="88" s="1"/>
  <c r="M165" i="88"/>
  <c r="N165" i="88" s="1"/>
  <c r="K165" i="88"/>
  <c r="L165" i="88" s="1"/>
  <c r="I165" i="88"/>
  <c r="J165" i="88" s="1"/>
  <c r="G165" i="88"/>
  <c r="H165" i="88" s="1"/>
  <c r="M164" i="88"/>
  <c r="N164" i="88" s="1"/>
  <c r="K164" i="88"/>
  <c r="L164" i="88" s="1"/>
  <c r="I164" i="88"/>
  <c r="J164" i="88" s="1"/>
  <c r="G164" i="88"/>
  <c r="H164" i="88" s="1"/>
  <c r="M163" i="88"/>
  <c r="N163" i="88" s="1"/>
  <c r="L163" i="88"/>
  <c r="K163" i="88"/>
  <c r="I163" i="88"/>
  <c r="J163" i="88" s="1"/>
  <c r="G163" i="88"/>
  <c r="H163" i="88" s="1"/>
  <c r="M162" i="88"/>
  <c r="N162" i="88" s="1"/>
  <c r="K162" i="88"/>
  <c r="L162" i="88" s="1"/>
  <c r="I162" i="88"/>
  <c r="J162" i="88" s="1"/>
  <c r="G162" i="88"/>
  <c r="H162" i="88" s="1"/>
  <c r="M161" i="88"/>
  <c r="N161" i="88" s="1"/>
  <c r="K161" i="88"/>
  <c r="L161" i="88" s="1"/>
  <c r="I161" i="88"/>
  <c r="J161" i="88" s="1"/>
  <c r="G161" i="88"/>
  <c r="H161" i="88" s="1"/>
  <c r="M160" i="88"/>
  <c r="N160" i="88" s="1"/>
  <c r="L160" i="88"/>
  <c r="K160" i="88"/>
  <c r="J160" i="88"/>
  <c r="I160" i="88"/>
  <c r="G160" i="88"/>
  <c r="H160" i="88" s="1"/>
  <c r="M159" i="88"/>
  <c r="N159" i="88" s="1"/>
  <c r="K159" i="88"/>
  <c r="L159" i="88" s="1"/>
  <c r="I159" i="88"/>
  <c r="J159" i="88" s="1"/>
  <c r="G159" i="88"/>
  <c r="H159" i="88" s="1"/>
  <c r="M158" i="88"/>
  <c r="N158" i="88" s="1"/>
  <c r="L158" i="88"/>
  <c r="K158" i="88"/>
  <c r="I158" i="88"/>
  <c r="J158" i="88" s="1"/>
  <c r="G158" i="88"/>
  <c r="H158" i="88" s="1"/>
  <c r="M157" i="88"/>
  <c r="N157" i="88" s="1"/>
  <c r="K157" i="88"/>
  <c r="L157" i="88" s="1"/>
  <c r="I157" i="88"/>
  <c r="J157" i="88" s="1"/>
  <c r="G157" i="88"/>
  <c r="H157" i="88" s="1"/>
  <c r="M156" i="88"/>
  <c r="N156" i="88" s="1"/>
  <c r="K156" i="88"/>
  <c r="L156" i="88" s="1"/>
  <c r="I156" i="88"/>
  <c r="J156" i="88" s="1"/>
  <c r="G156" i="88"/>
  <c r="H156" i="88" s="1"/>
  <c r="M155" i="88"/>
  <c r="N155" i="88" s="1"/>
  <c r="K155" i="88"/>
  <c r="L155" i="88" s="1"/>
  <c r="I155" i="88"/>
  <c r="J155" i="88" s="1"/>
  <c r="G155" i="88"/>
  <c r="H155" i="88" s="1"/>
  <c r="M154" i="88"/>
  <c r="N154" i="88" s="1"/>
  <c r="K154" i="88"/>
  <c r="L154" i="88" s="1"/>
  <c r="I154" i="88"/>
  <c r="J154" i="88" s="1"/>
  <c r="G154" i="88"/>
  <c r="H154" i="88" s="1"/>
  <c r="M153" i="88"/>
  <c r="N153" i="88" s="1"/>
  <c r="K153" i="88"/>
  <c r="L153" i="88" s="1"/>
  <c r="I153" i="88"/>
  <c r="J153" i="88" s="1"/>
  <c r="G153" i="88"/>
  <c r="H153" i="88" s="1"/>
  <c r="M152" i="88"/>
  <c r="N152" i="88" s="1"/>
  <c r="K152" i="88"/>
  <c r="L152" i="88" s="1"/>
  <c r="I152" i="88"/>
  <c r="J152" i="88" s="1"/>
  <c r="G152" i="88"/>
  <c r="H152" i="88" s="1"/>
  <c r="M151" i="88"/>
  <c r="N151" i="88" s="1"/>
  <c r="K151" i="88"/>
  <c r="L151" i="88" s="1"/>
  <c r="I151" i="88"/>
  <c r="J151" i="88" s="1"/>
  <c r="G151" i="88"/>
  <c r="H151" i="88" s="1"/>
  <c r="M150" i="88"/>
  <c r="N150" i="88" s="1"/>
  <c r="K150" i="88"/>
  <c r="L150" i="88" s="1"/>
  <c r="I150" i="88"/>
  <c r="J150" i="88" s="1"/>
  <c r="G150" i="88"/>
  <c r="H150" i="88" s="1"/>
  <c r="M149" i="88"/>
  <c r="N149" i="88" s="1"/>
  <c r="K149" i="88"/>
  <c r="L149" i="88" s="1"/>
  <c r="I149" i="88"/>
  <c r="J149" i="88" s="1"/>
  <c r="G149" i="88"/>
  <c r="H149" i="88" s="1"/>
  <c r="M148" i="88"/>
  <c r="N148" i="88" s="1"/>
  <c r="K148" i="88"/>
  <c r="L148" i="88" s="1"/>
  <c r="I148" i="88"/>
  <c r="J148" i="88" s="1"/>
  <c r="G148" i="88"/>
  <c r="H148" i="88" s="1"/>
  <c r="M147" i="88"/>
  <c r="N147" i="88" s="1"/>
  <c r="K147" i="88"/>
  <c r="L147" i="88" s="1"/>
  <c r="I147" i="88"/>
  <c r="J147" i="88" s="1"/>
  <c r="G147" i="88"/>
  <c r="H147" i="88" s="1"/>
  <c r="M146" i="88"/>
  <c r="N146" i="88" s="1"/>
  <c r="K146" i="88"/>
  <c r="L146" i="88" s="1"/>
  <c r="I146" i="88"/>
  <c r="J146" i="88" s="1"/>
  <c r="G146" i="88"/>
  <c r="H146" i="88" s="1"/>
  <c r="M145" i="88"/>
  <c r="N145" i="88" s="1"/>
  <c r="K145" i="88"/>
  <c r="L145" i="88" s="1"/>
  <c r="I145" i="88"/>
  <c r="J145" i="88" s="1"/>
  <c r="G145" i="88"/>
  <c r="H145" i="88" s="1"/>
  <c r="M144" i="88"/>
  <c r="N144" i="88" s="1"/>
  <c r="K144" i="88"/>
  <c r="L144" i="88" s="1"/>
  <c r="I144" i="88"/>
  <c r="J144" i="88" s="1"/>
  <c r="G144" i="88"/>
  <c r="H144" i="88" s="1"/>
  <c r="M143" i="88"/>
  <c r="N143" i="88" s="1"/>
  <c r="K143" i="88"/>
  <c r="L143" i="88" s="1"/>
  <c r="I143" i="88"/>
  <c r="J143" i="88" s="1"/>
  <c r="G143" i="88"/>
  <c r="H143" i="88" s="1"/>
  <c r="M142" i="88"/>
  <c r="N142" i="88" s="1"/>
  <c r="L142" i="88"/>
  <c r="K142" i="88"/>
  <c r="I142" i="88"/>
  <c r="J142" i="88" s="1"/>
  <c r="G142" i="88"/>
  <c r="H142" i="88" s="1"/>
  <c r="M141" i="88"/>
  <c r="N141" i="88" s="1"/>
  <c r="K141" i="88"/>
  <c r="L141" i="88" s="1"/>
  <c r="I141" i="88"/>
  <c r="J141" i="88" s="1"/>
  <c r="G141" i="88"/>
  <c r="H141" i="88" s="1"/>
  <c r="M140" i="88"/>
  <c r="N140" i="88" s="1"/>
  <c r="K140" i="88"/>
  <c r="L140" i="88" s="1"/>
  <c r="I140" i="88"/>
  <c r="J140" i="88" s="1"/>
  <c r="G140" i="88"/>
  <c r="H140" i="88" s="1"/>
  <c r="M139" i="88"/>
  <c r="N139" i="88" s="1"/>
  <c r="K139" i="88"/>
  <c r="L139" i="88" s="1"/>
  <c r="I139" i="88"/>
  <c r="J139" i="88" s="1"/>
  <c r="G139" i="88"/>
  <c r="H139" i="88" s="1"/>
  <c r="M138" i="88"/>
  <c r="N138" i="88" s="1"/>
  <c r="K138" i="88"/>
  <c r="L138" i="88" s="1"/>
  <c r="I138" i="88"/>
  <c r="J138" i="88" s="1"/>
  <c r="G138" i="88"/>
  <c r="H138" i="88" s="1"/>
  <c r="M137" i="88"/>
  <c r="N137" i="88" s="1"/>
  <c r="K137" i="88"/>
  <c r="L137" i="88" s="1"/>
  <c r="I137" i="88"/>
  <c r="J137" i="88" s="1"/>
  <c r="G137" i="88"/>
  <c r="H137" i="88" s="1"/>
  <c r="M136" i="88"/>
  <c r="N136" i="88" s="1"/>
  <c r="K136" i="88"/>
  <c r="L136" i="88" s="1"/>
  <c r="I136" i="88"/>
  <c r="J136" i="88" s="1"/>
  <c r="G136" i="88"/>
  <c r="H136" i="88" s="1"/>
  <c r="M135" i="88"/>
  <c r="N135" i="88" s="1"/>
  <c r="K135" i="88"/>
  <c r="L135" i="88" s="1"/>
  <c r="I135" i="88"/>
  <c r="J135" i="88" s="1"/>
  <c r="G135" i="88"/>
  <c r="H135" i="88" s="1"/>
  <c r="M134" i="88"/>
  <c r="N134" i="88" s="1"/>
  <c r="K134" i="88"/>
  <c r="L134" i="88" s="1"/>
  <c r="I134" i="88"/>
  <c r="J134" i="88" s="1"/>
  <c r="G134" i="88"/>
  <c r="H134" i="88" s="1"/>
  <c r="M133" i="88"/>
  <c r="N133" i="88" s="1"/>
  <c r="K133" i="88"/>
  <c r="L133" i="88" s="1"/>
  <c r="I133" i="88"/>
  <c r="J133" i="88" s="1"/>
  <c r="G133" i="88"/>
  <c r="H133" i="88" s="1"/>
  <c r="M132" i="88"/>
  <c r="N132" i="88" s="1"/>
  <c r="K132" i="88"/>
  <c r="L132" i="88" s="1"/>
  <c r="I132" i="88"/>
  <c r="J132" i="88" s="1"/>
  <c r="G132" i="88"/>
  <c r="H132" i="88" s="1"/>
  <c r="M131" i="88"/>
  <c r="N131" i="88" s="1"/>
  <c r="K131" i="88"/>
  <c r="L131" i="88" s="1"/>
  <c r="I131" i="88"/>
  <c r="J131" i="88" s="1"/>
  <c r="G131" i="88"/>
  <c r="H131" i="88" s="1"/>
  <c r="M130" i="88"/>
  <c r="N130" i="88" s="1"/>
  <c r="K130" i="88"/>
  <c r="L130" i="88" s="1"/>
  <c r="I130" i="88"/>
  <c r="J130" i="88" s="1"/>
  <c r="G130" i="88"/>
  <c r="H130" i="88" s="1"/>
  <c r="M129" i="88"/>
  <c r="N129" i="88" s="1"/>
  <c r="L129" i="88"/>
  <c r="K129" i="88"/>
  <c r="I129" i="88"/>
  <c r="J129" i="88" s="1"/>
  <c r="G129" i="88"/>
  <c r="H129" i="88" s="1"/>
  <c r="M128" i="88"/>
  <c r="N128" i="88" s="1"/>
  <c r="K128" i="88"/>
  <c r="L128" i="88" s="1"/>
  <c r="I128" i="88"/>
  <c r="J128" i="88" s="1"/>
  <c r="G128" i="88"/>
  <c r="H128" i="88" s="1"/>
  <c r="M127" i="88"/>
  <c r="N127" i="88" s="1"/>
  <c r="K127" i="88"/>
  <c r="L127" i="88" s="1"/>
  <c r="I127" i="88"/>
  <c r="J127" i="88" s="1"/>
  <c r="G127" i="88"/>
  <c r="H127" i="88" s="1"/>
  <c r="M126" i="88"/>
  <c r="N126" i="88" s="1"/>
  <c r="K126" i="88"/>
  <c r="L126" i="88" s="1"/>
  <c r="I126" i="88"/>
  <c r="J126" i="88" s="1"/>
  <c r="G126" i="88"/>
  <c r="H126" i="88" s="1"/>
  <c r="M125" i="88"/>
  <c r="N125" i="88" s="1"/>
  <c r="K125" i="88"/>
  <c r="L125" i="88" s="1"/>
  <c r="I125" i="88"/>
  <c r="J125" i="88" s="1"/>
  <c r="G125" i="88"/>
  <c r="H125" i="88" s="1"/>
  <c r="M124" i="88"/>
  <c r="N124" i="88" s="1"/>
  <c r="K124" i="88"/>
  <c r="L124" i="88" s="1"/>
  <c r="I124" i="88"/>
  <c r="J124" i="88" s="1"/>
  <c r="G124" i="88"/>
  <c r="H124" i="88" s="1"/>
  <c r="M123" i="88"/>
  <c r="N123" i="88" s="1"/>
  <c r="L123" i="88"/>
  <c r="K123" i="88"/>
  <c r="J123" i="88"/>
  <c r="I123" i="88"/>
  <c r="G123" i="88"/>
  <c r="H123" i="88" s="1"/>
  <c r="M122" i="88"/>
  <c r="N122" i="88" s="1"/>
  <c r="K122" i="88"/>
  <c r="L122" i="88" s="1"/>
  <c r="I122" i="88"/>
  <c r="J122" i="88" s="1"/>
  <c r="G122" i="88"/>
  <c r="H122" i="88" s="1"/>
  <c r="M121" i="88"/>
  <c r="N121" i="88" s="1"/>
  <c r="K121" i="88"/>
  <c r="L121" i="88" s="1"/>
  <c r="I121" i="88"/>
  <c r="J121" i="88" s="1"/>
  <c r="G121" i="88"/>
  <c r="H121" i="88" s="1"/>
  <c r="M120" i="88"/>
  <c r="N120" i="88" s="1"/>
  <c r="K120" i="88"/>
  <c r="L120" i="88" s="1"/>
  <c r="I120" i="88"/>
  <c r="J120" i="88" s="1"/>
  <c r="G120" i="88"/>
  <c r="H120" i="88" s="1"/>
  <c r="M119" i="88"/>
  <c r="N119" i="88" s="1"/>
  <c r="K119" i="88"/>
  <c r="L119" i="88" s="1"/>
  <c r="I119" i="88"/>
  <c r="J119" i="88" s="1"/>
  <c r="G119" i="88"/>
  <c r="H119" i="88" s="1"/>
  <c r="M118" i="88"/>
  <c r="N118" i="88" s="1"/>
  <c r="K118" i="88"/>
  <c r="L118" i="88" s="1"/>
  <c r="I118" i="88"/>
  <c r="J118" i="88" s="1"/>
  <c r="G118" i="88"/>
  <c r="H118" i="88" s="1"/>
  <c r="M117" i="88"/>
  <c r="N117" i="88" s="1"/>
  <c r="K117" i="88"/>
  <c r="L117" i="88" s="1"/>
  <c r="I117" i="88"/>
  <c r="J117" i="88" s="1"/>
  <c r="G117" i="88"/>
  <c r="H117" i="88" s="1"/>
  <c r="M116" i="88"/>
  <c r="N116" i="88" s="1"/>
  <c r="K116" i="88"/>
  <c r="L116" i="88" s="1"/>
  <c r="I116" i="88"/>
  <c r="J116" i="88" s="1"/>
  <c r="G116" i="88"/>
  <c r="H116" i="88" s="1"/>
  <c r="M115" i="88"/>
  <c r="N115" i="88" s="1"/>
  <c r="K115" i="88"/>
  <c r="L115" i="88" s="1"/>
  <c r="J115" i="88"/>
  <c r="I115" i="88"/>
  <c r="G115" i="88"/>
  <c r="H115" i="88" s="1"/>
  <c r="M114" i="88"/>
  <c r="N114" i="88" s="1"/>
  <c r="K114" i="88"/>
  <c r="L114" i="88" s="1"/>
  <c r="I114" i="88"/>
  <c r="J114" i="88" s="1"/>
  <c r="G114" i="88"/>
  <c r="H114" i="88" s="1"/>
  <c r="M113" i="88"/>
  <c r="N113" i="88" s="1"/>
  <c r="K113" i="88"/>
  <c r="L113" i="88" s="1"/>
  <c r="I113" i="88"/>
  <c r="J113" i="88" s="1"/>
  <c r="G113" i="88"/>
  <c r="H113" i="88" s="1"/>
  <c r="M112" i="88"/>
  <c r="N112" i="88" s="1"/>
  <c r="L112" i="88"/>
  <c r="K112" i="88"/>
  <c r="I112" i="88"/>
  <c r="J112" i="88" s="1"/>
  <c r="G112" i="88"/>
  <c r="H112" i="88" s="1"/>
  <c r="M111" i="88"/>
  <c r="N111" i="88" s="1"/>
  <c r="K111" i="88"/>
  <c r="L111" i="88" s="1"/>
  <c r="I111" i="88"/>
  <c r="J111" i="88" s="1"/>
  <c r="G111" i="88"/>
  <c r="H111" i="88" s="1"/>
  <c r="M110" i="88"/>
  <c r="N110" i="88" s="1"/>
  <c r="L110" i="88"/>
  <c r="K110" i="88"/>
  <c r="I110" i="88"/>
  <c r="J110" i="88" s="1"/>
  <c r="G110" i="88"/>
  <c r="H110" i="88" s="1"/>
  <c r="M109" i="88"/>
  <c r="N109" i="88" s="1"/>
  <c r="K109" i="88"/>
  <c r="L109" i="88" s="1"/>
  <c r="I109" i="88"/>
  <c r="J109" i="88" s="1"/>
  <c r="G109" i="88"/>
  <c r="H109" i="88" s="1"/>
  <c r="O109" i="88" s="1"/>
  <c r="M108" i="88"/>
  <c r="N108" i="88" s="1"/>
  <c r="K108" i="88"/>
  <c r="L108" i="88" s="1"/>
  <c r="I108" i="88"/>
  <c r="J108" i="88" s="1"/>
  <c r="G108" i="88"/>
  <c r="H108" i="88" s="1"/>
  <c r="M107" i="88"/>
  <c r="N107" i="88" s="1"/>
  <c r="L107" i="88"/>
  <c r="K107" i="88"/>
  <c r="I107" i="88"/>
  <c r="J107" i="88" s="1"/>
  <c r="G107" i="88"/>
  <c r="H107" i="88" s="1"/>
  <c r="M106" i="88"/>
  <c r="N106" i="88" s="1"/>
  <c r="K106" i="88"/>
  <c r="L106" i="88" s="1"/>
  <c r="I106" i="88"/>
  <c r="J106" i="88" s="1"/>
  <c r="G106" i="88"/>
  <c r="H106" i="88" s="1"/>
  <c r="M105" i="88"/>
  <c r="N105" i="88" s="1"/>
  <c r="K105" i="88"/>
  <c r="L105" i="88" s="1"/>
  <c r="I105" i="88"/>
  <c r="J105" i="88" s="1"/>
  <c r="G105" i="88"/>
  <c r="H105" i="88" s="1"/>
  <c r="M104" i="88"/>
  <c r="N104" i="88" s="1"/>
  <c r="L104" i="88"/>
  <c r="K104" i="88"/>
  <c r="I104" i="88"/>
  <c r="J104" i="88" s="1"/>
  <c r="G104" i="88"/>
  <c r="H104" i="88" s="1"/>
  <c r="M103" i="88"/>
  <c r="N103" i="88" s="1"/>
  <c r="K103" i="88"/>
  <c r="L103" i="88" s="1"/>
  <c r="I103" i="88"/>
  <c r="J103" i="88" s="1"/>
  <c r="G103" i="88"/>
  <c r="H103" i="88" s="1"/>
  <c r="M102" i="88"/>
  <c r="N102" i="88" s="1"/>
  <c r="L102" i="88"/>
  <c r="K102" i="88"/>
  <c r="I102" i="88"/>
  <c r="J102" i="88" s="1"/>
  <c r="G102" i="88"/>
  <c r="H102" i="88" s="1"/>
  <c r="M101" i="88"/>
  <c r="N101" i="88" s="1"/>
  <c r="K101" i="88"/>
  <c r="L101" i="88" s="1"/>
  <c r="I101" i="88"/>
  <c r="J101" i="88" s="1"/>
  <c r="G101" i="88"/>
  <c r="H101" i="88" s="1"/>
  <c r="M100" i="88"/>
  <c r="N100" i="88" s="1"/>
  <c r="K100" i="88"/>
  <c r="L100" i="88" s="1"/>
  <c r="I100" i="88"/>
  <c r="J100" i="88" s="1"/>
  <c r="G100" i="88"/>
  <c r="H100" i="88" s="1"/>
  <c r="M99" i="88"/>
  <c r="N99" i="88" s="1"/>
  <c r="K99" i="88"/>
  <c r="L99" i="88" s="1"/>
  <c r="I99" i="88"/>
  <c r="J99" i="88" s="1"/>
  <c r="G99" i="88"/>
  <c r="H99" i="88" s="1"/>
  <c r="M98" i="88"/>
  <c r="N98" i="88" s="1"/>
  <c r="K98" i="88"/>
  <c r="L98" i="88" s="1"/>
  <c r="I98" i="88"/>
  <c r="J98" i="88" s="1"/>
  <c r="G98" i="88"/>
  <c r="H98" i="88" s="1"/>
  <c r="M97" i="88"/>
  <c r="N97" i="88" s="1"/>
  <c r="K97" i="88"/>
  <c r="L97" i="88" s="1"/>
  <c r="I97" i="88"/>
  <c r="J97" i="88" s="1"/>
  <c r="G97" i="88"/>
  <c r="H97" i="88" s="1"/>
  <c r="M96" i="88"/>
  <c r="N96" i="88" s="1"/>
  <c r="K96" i="88"/>
  <c r="L96" i="88" s="1"/>
  <c r="I96" i="88"/>
  <c r="J96" i="88" s="1"/>
  <c r="G96" i="88"/>
  <c r="H96" i="88" s="1"/>
  <c r="M95" i="88"/>
  <c r="N95" i="88" s="1"/>
  <c r="K95" i="88"/>
  <c r="L95" i="88" s="1"/>
  <c r="I95" i="88"/>
  <c r="J95" i="88" s="1"/>
  <c r="G95" i="88"/>
  <c r="H95" i="88" s="1"/>
  <c r="M94" i="88"/>
  <c r="N94" i="88" s="1"/>
  <c r="K94" i="88"/>
  <c r="L94" i="88" s="1"/>
  <c r="I94" i="88"/>
  <c r="J94" i="88" s="1"/>
  <c r="G94" i="88"/>
  <c r="H94" i="88" s="1"/>
  <c r="M93" i="88"/>
  <c r="N93" i="88" s="1"/>
  <c r="K93" i="88"/>
  <c r="L93" i="88" s="1"/>
  <c r="J93" i="88"/>
  <c r="I93" i="88"/>
  <c r="G93" i="88"/>
  <c r="H93" i="88" s="1"/>
  <c r="M92" i="88"/>
  <c r="N92" i="88" s="1"/>
  <c r="K92" i="88"/>
  <c r="L92" i="88" s="1"/>
  <c r="I92" i="88"/>
  <c r="J92" i="88" s="1"/>
  <c r="G92" i="88"/>
  <c r="H92" i="88" s="1"/>
  <c r="M91" i="88"/>
  <c r="N91" i="88" s="1"/>
  <c r="K91" i="88"/>
  <c r="L91" i="88" s="1"/>
  <c r="I91" i="88"/>
  <c r="J91" i="88" s="1"/>
  <c r="G91" i="88"/>
  <c r="H91" i="88" s="1"/>
  <c r="M90" i="88"/>
  <c r="N90" i="88" s="1"/>
  <c r="K90" i="88"/>
  <c r="L90" i="88" s="1"/>
  <c r="I90" i="88"/>
  <c r="J90" i="88" s="1"/>
  <c r="G90" i="88"/>
  <c r="H90" i="88" s="1"/>
  <c r="M89" i="88"/>
  <c r="N89" i="88" s="1"/>
  <c r="K89" i="88"/>
  <c r="L89" i="88" s="1"/>
  <c r="I89" i="88"/>
  <c r="J89" i="88" s="1"/>
  <c r="G89" i="88"/>
  <c r="H89" i="88" s="1"/>
  <c r="M88" i="88"/>
  <c r="N88" i="88" s="1"/>
  <c r="K88" i="88"/>
  <c r="L88" i="88" s="1"/>
  <c r="J88" i="88"/>
  <c r="I88" i="88"/>
  <c r="G88" i="88"/>
  <c r="H88" i="88" s="1"/>
  <c r="M87" i="88"/>
  <c r="N87" i="88" s="1"/>
  <c r="K87" i="88"/>
  <c r="L87" i="88" s="1"/>
  <c r="I87" i="88"/>
  <c r="J87" i="88" s="1"/>
  <c r="G87" i="88"/>
  <c r="H87" i="88" s="1"/>
  <c r="M86" i="88"/>
  <c r="N86" i="88" s="1"/>
  <c r="K86" i="88"/>
  <c r="L86" i="88" s="1"/>
  <c r="I86" i="88"/>
  <c r="J86" i="88" s="1"/>
  <c r="G86" i="88"/>
  <c r="H86" i="88" s="1"/>
  <c r="O86" i="88" s="1"/>
  <c r="M85" i="88"/>
  <c r="N85" i="88" s="1"/>
  <c r="K85" i="88"/>
  <c r="L85" i="88" s="1"/>
  <c r="J85" i="88"/>
  <c r="I85" i="88"/>
  <c r="G85" i="88"/>
  <c r="H85" i="88" s="1"/>
  <c r="M84" i="88"/>
  <c r="N84" i="88" s="1"/>
  <c r="K84" i="88"/>
  <c r="L84" i="88" s="1"/>
  <c r="I84" i="88"/>
  <c r="J84" i="88" s="1"/>
  <c r="G84" i="88"/>
  <c r="H84" i="88" s="1"/>
  <c r="M83" i="88"/>
  <c r="N83" i="88" s="1"/>
  <c r="K83" i="88"/>
  <c r="L83" i="88" s="1"/>
  <c r="I83" i="88"/>
  <c r="J83" i="88" s="1"/>
  <c r="G83" i="88"/>
  <c r="H83" i="88" s="1"/>
  <c r="M82" i="88"/>
  <c r="N82" i="88" s="1"/>
  <c r="K82" i="88"/>
  <c r="L82" i="88" s="1"/>
  <c r="I82" i="88"/>
  <c r="J82" i="88" s="1"/>
  <c r="G82" i="88"/>
  <c r="H82" i="88" s="1"/>
  <c r="M81" i="88"/>
  <c r="N81" i="88" s="1"/>
  <c r="K81" i="88"/>
  <c r="L81" i="88" s="1"/>
  <c r="I81" i="88"/>
  <c r="J81" i="88" s="1"/>
  <c r="G81" i="88"/>
  <c r="H81" i="88" s="1"/>
  <c r="M80" i="88"/>
  <c r="N80" i="88" s="1"/>
  <c r="K80" i="88"/>
  <c r="L80" i="88" s="1"/>
  <c r="I80" i="88"/>
  <c r="J80" i="88" s="1"/>
  <c r="G80" i="88"/>
  <c r="H80" i="88" s="1"/>
  <c r="M79" i="88"/>
  <c r="N79" i="88" s="1"/>
  <c r="K79" i="88"/>
  <c r="L79" i="88" s="1"/>
  <c r="I79" i="88"/>
  <c r="J79" i="88" s="1"/>
  <c r="G79" i="88"/>
  <c r="H79" i="88" s="1"/>
  <c r="M78" i="88"/>
  <c r="N78" i="88" s="1"/>
  <c r="K78" i="88"/>
  <c r="L78" i="88" s="1"/>
  <c r="I78" i="88"/>
  <c r="J78" i="88" s="1"/>
  <c r="G78" i="88"/>
  <c r="H78" i="88" s="1"/>
  <c r="M77" i="88"/>
  <c r="N77" i="88" s="1"/>
  <c r="K77" i="88"/>
  <c r="L77" i="88" s="1"/>
  <c r="J77" i="88"/>
  <c r="I77" i="88"/>
  <c r="G77" i="88"/>
  <c r="H77" i="88" s="1"/>
  <c r="M76" i="88"/>
  <c r="N76" i="88" s="1"/>
  <c r="K76" i="88"/>
  <c r="L76" i="88" s="1"/>
  <c r="I76" i="88"/>
  <c r="J76" i="88" s="1"/>
  <c r="G76" i="88"/>
  <c r="H76" i="88" s="1"/>
  <c r="M75" i="88"/>
  <c r="N75" i="88" s="1"/>
  <c r="K75" i="88"/>
  <c r="L75" i="88" s="1"/>
  <c r="J75" i="88"/>
  <c r="I75" i="88"/>
  <c r="G75" i="88"/>
  <c r="H75" i="88" s="1"/>
  <c r="M74" i="88"/>
  <c r="N74" i="88" s="1"/>
  <c r="K74" i="88"/>
  <c r="L74" i="88" s="1"/>
  <c r="I74" i="88"/>
  <c r="J74" i="88" s="1"/>
  <c r="G74" i="88"/>
  <c r="H74" i="88" s="1"/>
  <c r="M73" i="88"/>
  <c r="N73" i="88" s="1"/>
  <c r="K73" i="88"/>
  <c r="L73" i="88" s="1"/>
  <c r="I73" i="88"/>
  <c r="J73" i="88" s="1"/>
  <c r="G73" i="88"/>
  <c r="H73" i="88" s="1"/>
  <c r="M72" i="88"/>
  <c r="N72" i="88" s="1"/>
  <c r="K72" i="88"/>
  <c r="L72" i="88" s="1"/>
  <c r="I72" i="88"/>
  <c r="J72" i="88" s="1"/>
  <c r="G72" i="88"/>
  <c r="H72" i="88" s="1"/>
  <c r="M71" i="88"/>
  <c r="N71" i="88" s="1"/>
  <c r="K71" i="88"/>
  <c r="L71" i="88" s="1"/>
  <c r="I71" i="88"/>
  <c r="J71" i="88" s="1"/>
  <c r="G71" i="88"/>
  <c r="H71" i="88" s="1"/>
  <c r="M70" i="88"/>
  <c r="N70" i="88" s="1"/>
  <c r="K70" i="88"/>
  <c r="L70" i="88" s="1"/>
  <c r="I70" i="88"/>
  <c r="J70" i="88" s="1"/>
  <c r="G70" i="88"/>
  <c r="H70" i="88" s="1"/>
  <c r="M69" i="88"/>
  <c r="N69" i="88" s="1"/>
  <c r="K69" i="88"/>
  <c r="L69" i="88" s="1"/>
  <c r="I69" i="88"/>
  <c r="J69" i="88" s="1"/>
  <c r="G69" i="88"/>
  <c r="H69" i="88" s="1"/>
  <c r="M68" i="88"/>
  <c r="N68" i="88" s="1"/>
  <c r="K68" i="88"/>
  <c r="L68" i="88" s="1"/>
  <c r="I68" i="88"/>
  <c r="J68" i="88" s="1"/>
  <c r="G68" i="88"/>
  <c r="H68" i="88" s="1"/>
  <c r="M67" i="88"/>
  <c r="N67" i="88" s="1"/>
  <c r="K67" i="88"/>
  <c r="L67" i="88" s="1"/>
  <c r="I67" i="88"/>
  <c r="J67" i="88" s="1"/>
  <c r="G67" i="88"/>
  <c r="H67" i="88" s="1"/>
  <c r="M66" i="88"/>
  <c r="N66" i="88" s="1"/>
  <c r="K66" i="88"/>
  <c r="L66" i="88" s="1"/>
  <c r="J66" i="88"/>
  <c r="I66" i="88"/>
  <c r="G66" i="88"/>
  <c r="H66" i="88" s="1"/>
  <c r="M65" i="88"/>
  <c r="N65" i="88" s="1"/>
  <c r="K65" i="88"/>
  <c r="L65" i="88" s="1"/>
  <c r="I65" i="88"/>
  <c r="J65" i="88" s="1"/>
  <c r="G65" i="88"/>
  <c r="H65" i="88" s="1"/>
  <c r="M64" i="88"/>
  <c r="N64" i="88" s="1"/>
  <c r="K64" i="88"/>
  <c r="L64" i="88" s="1"/>
  <c r="J64" i="88"/>
  <c r="I64" i="88"/>
  <c r="G64" i="88"/>
  <c r="H64" i="88" s="1"/>
  <c r="M63" i="88"/>
  <c r="N63" i="88" s="1"/>
  <c r="K63" i="88"/>
  <c r="L63" i="88" s="1"/>
  <c r="I63" i="88"/>
  <c r="J63" i="88" s="1"/>
  <c r="G63" i="88"/>
  <c r="H63" i="88" s="1"/>
  <c r="M62" i="88"/>
  <c r="N62" i="88" s="1"/>
  <c r="K62" i="88"/>
  <c r="L62" i="88" s="1"/>
  <c r="J62" i="88"/>
  <c r="I62" i="88"/>
  <c r="G62" i="88"/>
  <c r="H62" i="88" s="1"/>
  <c r="M61" i="88"/>
  <c r="N61" i="88" s="1"/>
  <c r="K61" i="88"/>
  <c r="L61" i="88" s="1"/>
  <c r="I61" i="88"/>
  <c r="J61" i="88" s="1"/>
  <c r="G61" i="88"/>
  <c r="H61" i="88" s="1"/>
  <c r="O61" i="88" s="1"/>
  <c r="M60" i="88"/>
  <c r="N60" i="88" s="1"/>
  <c r="K60" i="88"/>
  <c r="L60" i="88" s="1"/>
  <c r="I60" i="88"/>
  <c r="J60" i="88" s="1"/>
  <c r="G60" i="88"/>
  <c r="H60" i="88" s="1"/>
  <c r="M59" i="88"/>
  <c r="N59" i="88" s="1"/>
  <c r="K59" i="88"/>
  <c r="L59" i="88" s="1"/>
  <c r="I59" i="88"/>
  <c r="J59" i="88" s="1"/>
  <c r="G59" i="88"/>
  <c r="H59" i="88" s="1"/>
  <c r="M58" i="88"/>
  <c r="N58" i="88" s="1"/>
  <c r="K58" i="88"/>
  <c r="L58" i="88" s="1"/>
  <c r="I58" i="88"/>
  <c r="J58" i="88" s="1"/>
  <c r="G58" i="88"/>
  <c r="H58" i="88" s="1"/>
  <c r="M57" i="88"/>
  <c r="N57" i="88" s="1"/>
  <c r="K57" i="88"/>
  <c r="L57" i="88" s="1"/>
  <c r="I57" i="88"/>
  <c r="J57" i="88" s="1"/>
  <c r="G57" i="88"/>
  <c r="H57" i="88" s="1"/>
  <c r="M56" i="88"/>
  <c r="N56" i="88" s="1"/>
  <c r="K56" i="88"/>
  <c r="L56" i="88" s="1"/>
  <c r="I56" i="88"/>
  <c r="J56" i="88" s="1"/>
  <c r="G56" i="88"/>
  <c r="H56" i="88" s="1"/>
  <c r="M55" i="88"/>
  <c r="N55" i="88" s="1"/>
  <c r="K55" i="88"/>
  <c r="L55" i="88" s="1"/>
  <c r="I55" i="88"/>
  <c r="J55" i="88" s="1"/>
  <c r="G55" i="88"/>
  <c r="H55" i="88" s="1"/>
  <c r="M54" i="88"/>
  <c r="N54" i="88" s="1"/>
  <c r="K54" i="88"/>
  <c r="L54" i="88" s="1"/>
  <c r="I54" i="88"/>
  <c r="J54" i="88" s="1"/>
  <c r="G54" i="88"/>
  <c r="H54" i="88" s="1"/>
  <c r="M53" i="88"/>
  <c r="N53" i="88" s="1"/>
  <c r="K53" i="88"/>
  <c r="L53" i="88" s="1"/>
  <c r="I53" i="88"/>
  <c r="J53" i="88" s="1"/>
  <c r="G53" i="88"/>
  <c r="H53" i="88" s="1"/>
  <c r="M52" i="88"/>
  <c r="N52" i="88" s="1"/>
  <c r="K52" i="88"/>
  <c r="L52" i="88" s="1"/>
  <c r="I52" i="88"/>
  <c r="J52" i="88" s="1"/>
  <c r="G52" i="88"/>
  <c r="H52" i="88" s="1"/>
  <c r="M51" i="88"/>
  <c r="N51" i="88" s="1"/>
  <c r="K51" i="88"/>
  <c r="L51" i="88" s="1"/>
  <c r="I51" i="88"/>
  <c r="J51" i="88" s="1"/>
  <c r="G51" i="88"/>
  <c r="H51" i="88" s="1"/>
  <c r="M50" i="88"/>
  <c r="N50" i="88" s="1"/>
  <c r="K50" i="88"/>
  <c r="L50" i="88" s="1"/>
  <c r="J50" i="88"/>
  <c r="I50" i="88"/>
  <c r="G50" i="88"/>
  <c r="H50" i="88" s="1"/>
  <c r="M49" i="88"/>
  <c r="N49" i="88" s="1"/>
  <c r="K49" i="88"/>
  <c r="L49" i="88" s="1"/>
  <c r="I49" i="88"/>
  <c r="J49" i="88" s="1"/>
  <c r="G49" i="88"/>
  <c r="H49" i="88" s="1"/>
  <c r="M48" i="88"/>
  <c r="N48" i="88" s="1"/>
  <c r="K48" i="88"/>
  <c r="L48" i="88" s="1"/>
  <c r="J48" i="88"/>
  <c r="I48" i="88"/>
  <c r="G48" i="88"/>
  <c r="H48" i="88" s="1"/>
  <c r="M47" i="88"/>
  <c r="N47" i="88" s="1"/>
  <c r="K47" i="88"/>
  <c r="L47" i="88" s="1"/>
  <c r="I47" i="88"/>
  <c r="J47" i="88" s="1"/>
  <c r="G47" i="88"/>
  <c r="H47" i="88" s="1"/>
  <c r="M46" i="88"/>
  <c r="N46" i="88" s="1"/>
  <c r="K46" i="88"/>
  <c r="L46" i="88" s="1"/>
  <c r="I46" i="88"/>
  <c r="J46" i="88" s="1"/>
  <c r="G46" i="88"/>
  <c r="H46" i="88" s="1"/>
  <c r="M45" i="88"/>
  <c r="N45" i="88" s="1"/>
  <c r="K45" i="88"/>
  <c r="L45" i="88" s="1"/>
  <c r="J45" i="88"/>
  <c r="I45" i="88"/>
  <c r="G45" i="88"/>
  <c r="H45" i="88" s="1"/>
  <c r="M44" i="88"/>
  <c r="N44" i="88" s="1"/>
  <c r="K44" i="88"/>
  <c r="L44" i="88" s="1"/>
  <c r="I44" i="88"/>
  <c r="J44" i="88" s="1"/>
  <c r="G44" i="88"/>
  <c r="H44" i="88" s="1"/>
  <c r="M43" i="88"/>
  <c r="N43" i="88" s="1"/>
  <c r="K43" i="88"/>
  <c r="L43" i="88" s="1"/>
  <c r="I43" i="88"/>
  <c r="J43" i="88" s="1"/>
  <c r="G43" i="88"/>
  <c r="H43" i="88" s="1"/>
  <c r="M42" i="88"/>
  <c r="N42" i="88" s="1"/>
  <c r="K42" i="88"/>
  <c r="L42" i="88" s="1"/>
  <c r="I42" i="88"/>
  <c r="J42" i="88" s="1"/>
  <c r="G42" i="88"/>
  <c r="H42" i="88" s="1"/>
  <c r="M41" i="88"/>
  <c r="N41" i="88" s="1"/>
  <c r="K41" i="88"/>
  <c r="G41" i="88"/>
  <c r="H41" i="88" s="1"/>
  <c r="M40" i="88"/>
  <c r="N40" i="88" s="1"/>
  <c r="K40" i="88"/>
  <c r="L40" i="88" s="1"/>
  <c r="I40" i="88"/>
  <c r="J40" i="88" s="1"/>
  <c r="G40" i="88"/>
  <c r="F37" i="88"/>
  <c r="F184" i="88" s="1"/>
  <c r="C37" i="88"/>
  <c r="C184" i="88" s="1"/>
  <c r="M36" i="88"/>
  <c r="N36" i="88" s="1"/>
  <c r="K36" i="88"/>
  <c r="L36" i="88" s="1"/>
  <c r="I36" i="88"/>
  <c r="J36" i="88" s="1"/>
  <c r="G36" i="88"/>
  <c r="H36" i="88" s="1"/>
  <c r="M35" i="88"/>
  <c r="N35" i="88" s="1"/>
  <c r="L35" i="88"/>
  <c r="K35" i="88"/>
  <c r="I35" i="88"/>
  <c r="J35" i="88" s="1"/>
  <c r="G35" i="88"/>
  <c r="H35" i="88" s="1"/>
  <c r="M34" i="88"/>
  <c r="N34" i="88" s="1"/>
  <c r="K34" i="88"/>
  <c r="L34" i="88" s="1"/>
  <c r="I34" i="88"/>
  <c r="J34" i="88" s="1"/>
  <c r="G34" i="88"/>
  <c r="H34" i="88" s="1"/>
  <c r="M33" i="88"/>
  <c r="N33" i="88" s="1"/>
  <c r="K33" i="88"/>
  <c r="L33" i="88" s="1"/>
  <c r="I33" i="88"/>
  <c r="J33" i="88" s="1"/>
  <c r="G33" i="88"/>
  <c r="H33" i="88" s="1"/>
  <c r="M32" i="88"/>
  <c r="N32" i="88" s="1"/>
  <c r="L32" i="88"/>
  <c r="K32" i="88"/>
  <c r="I32" i="88"/>
  <c r="J32" i="88" s="1"/>
  <c r="G32" i="88"/>
  <c r="H32" i="88" s="1"/>
  <c r="M31" i="88"/>
  <c r="N31" i="88" s="1"/>
  <c r="K31" i="88"/>
  <c r="L31" i="88" s="1"/>
  <c r="I31" i="88"/>
  <c r="J31" i="88" s="1"/>
  <c r="G31" i="88"/>
  <c r="H31" i="88" s="1"/>
  <c r="M30" i="88"/>
  <c r="N30" i="88" s="1"/>
  <c r="L30" i="88"/>
  <c r="K30" i="88"/>
  <c r="I30" i="88"/>
  <c r="J30" i="88" s="1"/>
  <c r="G30" i="88"/>
  <c r="H30" i="88" s="1"/>
  <c r="M29" i="88"/>
  <c r="N29" i="88" s="1"/>
  <c r="K29" i="88"/>
  <c r="L29" i="88" s="1"/>
  <c r="I29" i="88"/>
  <c r="J29" i="88" s="1"/>
  <c r="G29" i="88"/>
  <c r="H29" i="88" s="1"/>
  <c r="M28" i="88"/>
  <c r="N28" i="88" s="1"/>
  <c r="K28" i="88"/>
  <c r="L28" i="88" s="1"/>
  <c r="I28" i="88"/>
  <c r="J28" i="88" s="1"/>
  <c r="G28" i="88"/>
  <c r="H28" i="88" s="1"/>
  <c r="M27" i="88"/>
  <c r="N27" i="88" s="1"/>
  <c r="L27" i="88"/>
  <c r="K27" i="88"/>
  <c r="I27" i="88"/>
  <c r="J27" i="88" s="1"/>
  <c r="G27" i="88"/>
  <c r="H27" i="88" s="1"/>
  <c r="O27" i="88" s="1"/>
  <c r="M26" i="88"/>
  <c r="N26" i="88" s="1"/>
  <c r="K26" i="88"/>
  <c r="L26" i="88" s="1"/>
  <c r="J26" i="88"/>
  <c r="I26" i="88"/>
  <c r="G26" i="88"/>
  <c r="H26" i="88" s="1"/>
  <c r="M25" i="88"/>
  <c r="N25" i="88" s="1"/>
  <c r="K25" i="88"/>
  <c r="L25" i="88" s="1"/>
  <c r="I25" i="88"/>
  <c r="J25" i="88" s="1"/>
  <c r="G25" i="88"/>
  <c r="H25" i="88" s="1"/>
  <c r="M24" i="88"/>
  <c r="N24" i="88" s="1"/>
  <c r="L24" i="88"/>
  <c r="K24" i="88"/>
  <c r="J24" i="88"/>
  <c r="I24" i="88"/>
  <c r="G24" i="88"/>
  <c r="H24" i="88" s="1"/>
  <c r="M23" i="88"/>
  <c r="N23" i="88" s="1"/>
  <c r="K23" i="88"/>
  <c r="L23" i="88" s="1"/>
  <c r="I23" i="88"/>
  <c r="J23" i="88" s="1"/>
  <c r="G23" i="88"/>
  <c r="H23" i="88" s="1"/>
  <c r="M22" i="88"/>
  <c r="N22" i="88" s="1"/>
  <c r="L22" i="88"/>
  <c r="K22" i="88"/>
  <c r="I22" i="88"/>
  <c r="J22" i="88" s="1"/>
  <c r="G22" i="88"/>
  <c r="H22" i="88" s="1"/>
  <c r="M21" i="88"/>
  <c r="N21" i="88" s="1"/>
  <c r="K21" i="88"/>
  <c r="L21" i="88" s="1"/>
  <c r="I21" i="88"/>
  <c r="J21" i="88" s="1"/>
  <c r="G21" i="88"/>
  <c r="H21" i="88" s="1"/>
  <c r="M20" i="88"/>
  <c r="N20" i="88" s="1"/>
  <c r="K20" i="88"/>
  <c r="L20" i="88" s="1"/>
  <c r="I20" i="88"/>
  <c r="J20" i="88" s="1"/>
  <c r="G20" i="88"/>
  <c r="H20" i="88" s="1"/>
  <c r="M19" i="88"/>
  <c r="N19" i="88" s="1"/>
  <c r="L19" i="88"/>
  <c r="K19" i="88"/>
  <c r="I19" i="88"/>
  <c r="J19" i="88" s="1"/>
  <c r="G19" i="88"/>
  <c r="H19" i="88" s="1"/>
  <c r="M18" i="88"/>
  <c r="N18" i="88" s="1"/>
  <c r="K18" i="88"/>
  <c r="L18" i="88" s="1"/>
  <c r="I18" i="88"/>
  <c r="J18" i="88" s="1"/>
  <c r="G18" i="88"/>
  <c r="H18" i="88" s="1"/>
  <c r="M17" i="88"/>
  <c r="N17" i="88" s="1"/>
  <c r="K17" i="88"/>
  <c r="L17" i="88" s="1"/>
  <c r="I17" i="88"/>
  <c r="J17" i="88" s="1"/>
  <c r="G17" i="88"/>
  <c r="H17" i="88" s="1"/>
  <c r="M16" i="88"/>
  <c r="N16" i="88" s="1"/>
  <c r="L16" i="88"/>
  <c r="K16" i="88"/>
  <c r="I16" i="88"/>
  <c r="J16" i="88" s="1"/>
  <c r="G16" i="88"/>
  <c r="H16" i="88" s="1"/>
  <c r="M15" i="88"/>
  <c r="N15" i="88" s="1"/>
  <c r="K15" i="88"/>
  <c r="I15" i="88"/>
  <c r="G15" i="88"/>
  <c r="M14" i="88"/>
  <c r="N14" i="88" s="1"/>
  <c r="L14" i="88"/>
  <c r="K14" i="88"/>
  <c r="I14" i="88"/>
  <c r="G14" i="88"/>
  <c r="G11" i="88"/>
  <c r="H11" i="88" s="1"/>
  <c r="I11" i="88" s="1"/>
  <c r="J11" i="88" s="1"/>
  <c r="K11" i="88" s="1"/>
  <c r="L11" i="88" s="1"/>
  <c r="M11" i="88" s="1"/>
  <c r="N11" i="88" s="1"/>
  <c r="O11" i="88" s="1"/>
  <c r="D11" i="88"/>
  <c r="E11" i="88" s="1"/>
  <c r="F350" i="86"/>
  <c r="I270" i="86"/>
  <c r="I269" i="86"/>
  <c r="I268" i="86"/>
  <c r="I267" i="86"/>
  <c r="J213" i="86"/>
  <c r="J350" i="86" s="1"/>
  <c r="I174" i="86"/>
  <c r="I168" i="86"/>
  <c r="I167" i="86"/>
  <c r="I159" i="86"/>
  <c r="I158" i="86"/>
  <c r="I157" i="86"/>
  <c r="I156" i="86"/>
  <c r="I155" i="86"/>
  <c r="I154" i="86"/>
  <c r="I153" i="86"/>
  <c r="I152" i="86"/>
  <c r="I151" i="86"/>
  <c r="I150" i="86"/>
  <c r="I149" i="86"/>
  <c r="I148" i="86"/>
  <c r="I147" i="86"/>
  <c r="I146" i="86"/>
  <c r="I145" i="86"/>
  <c r="I143" i="86"/>
  <c r="I142" i="86"/>
  <c r="I141" i="86"/>
  <c r="I140" i="86"/>
  <c r="I139" i="86"/>
  <c r="I138" i="86"/>
  <c r="I137" i="86"/>
  <c r="I136" i="86"/>
  <c r="I135" i="86"/>
  <c r="I134" i="86"/>
  <c r="I133" i="86"/>
  <c r="I132" i="86"/>
  <c r="I131" i="86"/>
  <c r="I130" i="86"/>
  <c r="I129" i="86"/>
  <c r="I128" i="86"/>
  <c r="I127" i="86"/>
  <c r="I126" i="86"/>
  <c r="I125" i="86"/>
  <c r="I124" i="86"/>
  <c r="I123" i="86"/>
  <c r="I122" i="86"/>
  <c r="I121" i="86"/>
  <c r="I120" i="86"/>
  <c r="I119" i="86"/>
  <c r="I118" i="86"/>
  <c r="I117" i="86"/>
  <c r="I116" i="86"/>
  <c r="I115" i="86"/>
  <c r="I114" i="86"/>
  <c r="I113" i="86"/>
  <c r="I112" i="86"/>
  <c r="I111" i="86"/>
  <c r="I110" i="86"/>
  <c r="I109" i="86"/>
  <c r="I108" i="86"/>
  <c r="I107" i="86"/>
  <c r="I106" i="86"/>
  <c r="I105" i="86"/>
  <c r="I104" i="86"/>
  <c r="I103" i="86"/>
  <c r="I102" i="86"/>
  <c r="I101" i="86"/>
  <c r="I100" i="86"/>
  <c r="I99" i="86"/>
  <c r="I98" i="86"/>
  <c r="I97" i="86"/>
  <c r="I96" i="86"/>
  <c r="I95" i="86"/>
  <c r="I94" i="86"/>
  <c r="I93" i="86"/>
  <c r="I92" i="86"/>
  <c r="I91" i="86"/>
  <c r="I90" i="86"/>
  <c r="I89" i="86"/>
  <c r="I88" i="86"/>
  <c r="I87" i="86"/>
  <c r="I86" i="86"/>
  <c r="I85" i="86"/>
  <c r="I84" i="86"/>
  <c r="I83" i="86"/>
  <c r="I82" i="86"/>
  <c r="I81" i="86"/>
  <c r="I80" i="86"/>
  <c r="I79" i="86"/>
  <c r="I78" i="86"/>
  <c r="I77" i="86"/>
  <c r="I76" i="86"/>
  <c r="I75" i="86"/>
  <c r="I74" i="86"/>
  <c r="I73" i="86"/>
  <c r="I72" i="86"/>
  <c r="I71" i="86"/>
  <c r="I70" i="86"/>
  <c r="I69" i="86"/>
  <c r="I68" i="86"/>
  <c r="I67" i="86"/>
  <c r="I66" i="86"/>
  <c r="I65" i="86"/>
  <c r="I64" i="86"/>
  <c r="I63" i="86"/>
  <c r="I62" i="86"/>
  <c r="I61" i="86"/>
  <c r="I58" i="86"/>
  <c r="I57" i="86"/>
  <c r="I56" i="86"/>
  <c r="I55" i="86"/>
  <c r="I54" i="86"/>
  <c r="I53" i="86"/>
  <c r="I52" i="86"/>
  <c r="I51" i="86"/>
  <c r="I50" i="86"/>
  <c r="I49" i="86"/>
  <c r="I48" i="86"/>
  <c r="I47" i="86"/>
  <c r="I46" i="86"/>
  <c r="I45" i="86"/>
  <c r="I44" i="86"/>
  <c r="I43" i="86"/>
  <c r="I350" i="86" s="1"/>
  <c r="H232" i="85"/>
  <c r="I230" i="85" s="1"/>
  <c r="I231" i="85"/>
  <c r="I228" i="85"/>
  <c r="I227" i="85"/>
  <c r="I226" i="85"/>
  <c r="I225" i="85"/>
  <c r="I224" i="85"/>
  <c r="I223" i="85"/>
  <c r="J192" i="85" s="1"/>
  <c r="I222" i="85"/>
  <c r="I221" i="85"/>
  <c r="I220" i="85"/>
  <c r="I219" i="85"/>
  <c r="I218" i="85"/>
  <c r="J191" i="85" s="1"/>
  <c r="I217" i="85"/>
  <c r="J201" i="85" s="1"/>
  <c r="I216" i="85"/>
  <c r="I215" i="85"/>
  <c r="I214" i="85"/>
  <c r="I213" i="85"/>
  <c r="I212" i="85"/>
  <c r="I201" i="85"/>
  <c r="J200" i="85"/>
  <c r="I200" i="85"/>
  <c r="J199" i="85"/>
  <c r="I199" i="85"/>
  <c r="J198" i="85"/>
  <c r="J202" i="85" s="1"/>
  <c r="I198" i="85"/>
  <c r="I202" i="85" s="1"/>
  <c r="I195" i="85"/>
  <c r="J194" i="85"/>
  <c r="I194" i="85"/>
  <c r="J193" i="85"/>
  <c r="I193" i="85"/>
  <c r="I192" i="85"/>
  <c r="I196" i="85" s="1"/>
  <c r="I204" i="85" s="1"/>
  <c r="I191" i="85"/>
  <c r="I182" i="85"/>
  <c r="H182" i="85"/>
  <c r="W180" i="85"/>
  <c r="V180" i="85"/>
  <c r="O180" i="85"/>
  <c r="N180" i="85"/>
  <c r="M180" i="85"/>
  <c r="L180" i="85"/>
  <c r="J180" i="85"/>
  <c r="I180" i="85"/>
  <c r="H180" i="85"/>
  <c r="C180" i="85"/>
  <c r="U179" i="85"/>
  <c r="T179" i="85"/>
  <c r="X179" i="85" s="1"/>
  <c r="Z179" i="85" s="1"/>
  <c r="P179" i="85"/>
  <c r="U178" i="85"/>
  <c r="X178" i="85" s="1"/>
  <c r="Z178" i="85" s="1"/>
  <c r="T178" i="85"/>
  <c r="P178" i="85"/>
  <c r="U177" i="85"/>
  <c r="T177" i="85"/>
  <c r="X177" i="85" s="1"/>
  <c r="Z177" i="85" s="1"/>
  <c r="P177" i="85"/>
  <c r="U176" i="85"/>
  <c r="T176" i="85"/>
  <c r="X176" i="85" s="1"/>
  <c r="Z176" i="85" s="1"/>
  <c r="P176" i="85"/>
  <c r="U175" i="85"/>
  <c r="T175" i="85"/>
  <c r="X175" i="85" s="1"/>
  <c r="Z175" i="85" s="1"/>
  <c r="P175" i="85"/>
  <c r="X174" i="85"/>
  <c r="Z174" i="85" s="1"/>
  <c r="U174" i="85"/>
  <c r="T174" i="85"/>
  <c r="P174" i="85"/>
  <c r="U173" i="85"/>
  <c r="T173" i="85"/>
  <c r="X173" i="85" s="1"/>
  <c r="Z173" i="85" s="1"/>
  <c r="P173" i="85"/>
  <c r="U172" i="85"/>
  <c r="T172" i="85"/>
  <c r="X172" i="85" s="1"/>
  <c r="Z172" i="85" s="1"/>
  <c r="P172" i="85"/>
  <c r="U171" i="85"/>
  <c r="T171" i="85"/>
  <c r="X171" i="85" s="1"/>
  <c r="Z171" i="85" s="1"/>
  <c r="P171" i="85"/>
  <c r="U170" i="85"/>
  <c r="X170" i="85" s="1"/>
  <c r="Z170" i="85" s="1"/>
  <c r="T170" i="85"/>
  <c r="P170" i="85"/>
  <c r="U169" i="85"/>
  <c r="T169" i="85"/>
  <c r="X169" i="85" s="1"/>
  <c r="Z169" i="85" s="1"/>
  <c r="P169" i="85"/>
  <c r="U168" i="85"/>
  <c r="T168" i="85"/>
  <c r="P168" i="85"/>
  <c r="U167" i="85"/>
  <c r="T167" i="85"/>
  <c r="X167" i="85" s="1"/>
  <c r="Z167" i="85" s="1"/>
  <c r="P167" i="85"/>
  <c r="X166" i="85"/>
  <c r="Z166" i="85" s="1"/>
  <c r="U166" i="85"/>
  <c r="T166" i="85"/>
  <c r="P166" i="85"/>
  <c r="X165" i="85"/>
  <c r="Z165" i="85" s="1"/>
  <c r="U165" i="85"/>
  <c r="T165" i="85"/>
  <c r="P165" i="85"/>
  <c r="U164" i="85"/>
  <c r="T164" i="85"/>
  <c r="X164" i="85" s="1"/>
  <c r="Z164" i="85" s="1"/>
  <c r="P164" i="85"/>
  <c r="U163" i="85"/>
  <c r="X163" i="85" s="1"/>
  <c r="Z163" i="85" s="1"/>
  <c r="T163" i="85"/>
  <c r="P163" i="85"/>
  <c r="U162" i="85"/>
  <c r="X162" i="85" s="1"/>
  <c r="Z162" i="85" s="1"/>
  <c r="T162" i="85"/>
  <c r="P162" i="85"/>
  <c r="U161" i="85"/>
  <c r="T161" i="85"/>
  <c r="X161" i="85" s="1"/>
  <c r="Z161" i="85" s="1"/>
  <c r="P161" i="85"/>
  <c r="U160" i="85"/>
  <c r="T160" i="85"/>
  <c r="X160" i="85" s="1"/>
  <c r="Z160" i="85" s="1"/>
  <c r="P160" i="85"/>
  <c r="U159" i="85"/>
  <c r="T159" i="85"/>
  <c r="X159" i="85" s="1"/>
  <c r="Z159" i="85" s="1"/>
  <c r="P159" i="85"/>
  <c r="U158" i="85"/>
  <c r="T158" i="85"/>
  <c r="X158" i="85" s="1"/>
  <c r="Z158" i="85" s="1"/>
  <c r="P158" i="85"/>
  <c r="U157" i="85"/>
  <c r="X157" i="85" s="1"/>
  <c r="Z157" i="85" s="1"/>
  <c r="T157" i="85"/>
  <c r="P157" i="85"/>
  <c r="U156" i="85"/>
  <c r="T156" i="85"/>
  <c r="X156" i="85" s="1"/>
  <c r="Z156" i="85" s="1"/>
  <c r="P156" i="85"/>
  <c r="U155" i="85"/>
  <c r="X155" i="85" s="1"/>
  <c r="Z155" i="85" s="1"/>
  <c r="T155" i="85"/>
  <c r="P155" i="85"/>
  <c r="U154" i="85"/>
  <c r="X154" i="85" s="1"/>
  <c r="Z154" i="85" s="1"/>
  <c r="T154" i="85"/>
  <c r="P154" i="85"/>
  <c r="U153" i="85"/>
  <c r="T153" i="85"/>
  <c r="X153" i="85" s="1"/>
  <c r="Z153" i="85" s="1"/>
  <c r="P153" i="85"/>
  <c r="U152" i="85"/>
  <c r="T152" i="85"/>
  <c r="X152" i="85" s="1"/>
  <c r="Z152" i="85" s="1"/>
  <c r="P152" i="85"/>
  <c r="U151" i="85"/>
  <c r="T151" i="85"/>
  <c r="X151" i="85" s="1"/>
  <c r="Z151" i="85" s="1"/>
  <c r="P151" i="85"/>
  <c r="X150" i="85"/>
  <c r="Z150" i="85" s="1"/>
  <c r="U150" i="85"/>
  <c r="T150" i="85"/>
  <c r="P150" i="85"/>
  <c r="X149" i="85"/>
  <c r="Z149" i="85" s="1"/>
  <c r="U149" i="85"/>
  <c r="T149" i="85"/>
  <c r="P149" i="85"/>
  <c r="U148" i="85"/>
  <c r="T148" i="85"/>
  <c r="X148" i="85" s="1"/>
  <c r="Z148" i="85" s="1"/>
  <c r="P148" i="85"/>
  <c r="U147" i="85"/>
  <c r="X147" i="85" s="1"/>
  <c r="Z147" i="85" s="1"/>
  <c r="T147" i="85"/>
  <c r="P147" i="85"/>
  <c r="U146" i="85"/>
  <c r="X146" i="85" s="1"/>
  <c r="Z146" i="85" s="1"/>
  <c r="T146" i="85"/>
  <c r="P146" i="85"/>
  <c r="U145" i="85"/>
  <c r="T145" i="85"/>
  <c r="X145" i="85" s="1"/>
  <c r="Z145" i="85" s="1"/>
  <c r="P145" i="85"/>
  <c r="U144" i="85"/>
  <c r="T144" i="85"/>
  <c r="X144" i="85" s="1"/>
  <c r="Z144" i="85" s="1"/>
  <c r="P144" i="85"/>
  <c r="U143" i="85"/>
  <c r="T143" i="85"/>
  <c r="X143" i="85" s="1"/>
  <c r="Z143" i="85" s="1"/>
  <c r="P143" i="85"/>
  <c r="X142" i="85"/>
  <c r="Z142" i="85" s="1"/>
  <c r="U142" i="85"/>
  <c r="T142" i="85"/>
  <c r="P142" i="85"/>
  <c r="X141" i="85"/>
  <c r="Z141" i="85" s="1"/>
  <c r="U141" i="85"/>
  <c r="T141" i="85"/>
  <c r="P141" i="85"/>
  <c r="U140" i="85"/>
  <c r="T140" i="85"/>
  <c r="X140" i="85" s="1"/>
  <c r="Z140" i="85" s="1"/>
  <c r="P140" i="85"/>
  <c r="U139" i="85"/>
  <c r="X139" i="85" s="1"/>
  <c r="Z139" i="85" s="1"/>
  <c r="T139" i="85"/>
  <c r="P139" i="85"/>
  <c r="U138" i="85"/>
  <c r="X138" i="85" s="1"/>
  <c r="Z138" i="85" s="1"/>
  <c r="T138" i="85"/>
  <c r="P138" i="85"/>
  <c r="U137" i="85"/>
  <c r="T137" i="85"/>
  <c r="X137" i="85" s="1"/>
  <c r="Z137" i="85" s="1"/>
  <c r="P137" i="85"/>
  <c r="U136" i="85"/>
  <c r="T136" i="85"/>
  <c r="X136" i="85" s="1"/>
  <c r="Z136" i="85" s="1"/>
  <c r="P136" i="85"/>
  <c r="U135" i="85"/>
  <c r="T135" i="85"/>
  <c r="X135" i="85" s="1"/>
  <c r="Z135" i="85" s="1"/>
  <c r="P135" i="85"/>
  <c r="X134" i="85"/>
  <c r="Z134" i="85" s="1"/>
  <c r="U134" i="85"/>
  <c r="T134" i="85"/>
  <c r="P134" i="85"/>
  <c r="X133" i="85"/>
  <c r="Z133" i="85" s="1"/>
  <c r="U133" i="85"/>
  <c r="T133" i="85"/>
  <c r="P133" i="85"/>
  <c r="U132" i="85"/>
  <c r="T132" i="85"/>
  <c r="X132" i="85" s="1"/>
  <c r="Z132" i="85" s="1"/>
  <c r="P132" i="85"/>
  <c r="U131" i="85"/>
  <c r="X131" i="85" s="1"/>
  <c r="Z131" i="85" s="1"/>
  <c r="T131" i="85"/>
  <c r="P131" i="85"/>
  <c r="U130" i="85"/>
  <c r="X130" i="85" s="1"/>
  <c r="Z130" i="85" s="1"/>
  <c r="T130" i="85"/>
  <c r="P130" i="85"/>
  <c r="U129" i="85"/>
  <c r="T129" i="85"/>
  <c r="X129" i="85" s="1"/>
  <c r="Z129" i="85" s="1"/>
  <c r="P129" i="85"/>
  <c r="U128" i="85"/>
  <c r="T128" i="85"/>
  <c r="X128" i="85" s="1"/>
  <c r="Z128" i="85" s="1"/>
  <c r="P128" i="85"/>
  <c r="U127" i="85"/>
  <c r="T127" i="85"/>
  <c r="X127" i="85" s="1"/>
  <c r="Z127" i="85" s="1"/>
  <c r="P127" i="85"/>
  <c r="X126" i="85"/>
  <c r="Z126" i="85" s="1"/>
  <c r="U126" i="85"/>
  <c r="T126" i="85"/>
  <c r="P126" i="85"/>
  <c r="U125" i="85"/>
  <c r="T125" i="85"/>
  <c r="X125" i="85" s="1"/>
  <c r="Z125" i="85" s="1"/>
  <c r="P125" i="85"/>
  <c r="U124" i="85"/>
  <c r="T124" i="85"/>
  <c r="X124" i="85" s="1"/>
  <c r="Z124" i="85" s="1"/>
  <c r="P124" i="85"/>
  <c r="U123" i="85"/>
  <c r="X123" i="85" s="1"/>
  <c r="Z123" i="85" s="1"/>
  <c r="T123" i="85"/>
  <c r="P123" i="85"/>
  <c r="U122" i="85"/>
  <c r="X122" i="85" s="1"/>
  <c r="Z122" i="85" s="1"/>
  <c r="T122" i="85"/>
  <c r="P122" i="85"/>
  <c r="U121" i="85"/>
  <c r="T121" i="85"/>
  <c r="X121" i="85" s="1"/>
  <c r="Z121" i="85" s="1"/>
  <c r="P121" i="85"/>
  <c r="U120" i="85"/>
  <c r="T120" i="85"/>
  <c r="X120" i="85" s="1"/>
  <c r="Z120" i="85" s="1"/>
  <c r="P120" i="85"/>
  <c r="U119" i="85"/>
  <c r="T119" i="85"/>
  <c r="X119" i="85" s="1"/>
  <c r="Z119" i="85" s="1"/>
  <c r="P119" i="85"/>
  <c r="U118" i="85"/>
  <c r="T118" i="85"/>
  <c r="X118" i="85" s="1"/>
  <c r="Z118" i="85" s="1"/>
  <c r="P118" i="85"/>
  <c r="X117" i="85"/>
  <c r="Z117" i="85" s="1"/>
  <c r="U117" i="85"/>
  <c r="T117" i="85"/>
  <c r="P117" i="85"/>
  <c r="U116" i="85"/>
  <c r="T116" i="85"/>
  <c r="X116" i="85" s="1"/>
  <c r="Z116" i="85" s="1"/>
  <c r="P116" i="85"/>
  <c r="U115" i="85"/>
  <c r="T115" i="85"/>
  <c r="P115" i="85"/>
  <c r="U114" i="85"/>
  <c r="X114" i="85" s="1"/>
  <c r="Z114" i="85" s="1"/>
  <c r="T114" i="85"/>
  <c r="P114" i="85"/>
  <c r="U113" i="85"/>
  <c r="T113" i="85"/>
  <c r="X113" i="85" s="1"/>
  <c r="Z113" i="85" s="1"/>
  <c r="P113" i="85"/>
  <c r="U112" i="85"/>
  <c r="T112" i="85"/>
  <c r="X112" i="85" s="1"/>
  <c r="Z112" i="85" s="1"/>
  <c r="P112" i="85"/>
  <c r="U111" i="85"/>
  <c r="T111" i="85"/>
  <c r="X111" i="85" s="1"/>
  <c r="Z111" i="85" s="1"/>
  <c r="P111" i="85"/>
  <c r="X110" i="85"/>
  <c r="Z110" i="85" s="1"/>
  <c r="U110" i="85"/>
  <c r="T110" i="85"/>
  <c r="P110" i="85"/>
  <c r="X109" i="85"/>
  <c r="Z109" i="85" s="1"/>
  <c r="U109" i="85"/>
  <c r="T109" i="85"/>
  <c r="P109" i="85"/>
  <c r="U108" i="85"/>
  <c r="T108" i="85"/>
  <c r="X108" i="85" s="1"/>
  <c r="Z108" i="85" s="1"/>
  <c r="P108" i="85"/>
  <c r="U107" i="85"/>
  <c r="X107" i="85" s="1"/>
  <c r="Z107" i="85" s="1"/>
  <c r="T107" i="85"/>
  <c r="P107" i="85"/>
  <c r="U106" i="85"/>
  <c r="X106" i="85" s="1"/>
  <c r="Z106" i="85" s="1"/>
  <c r="T106" i="85"/>
  <c r="P106" i="85"/>
  <c r="U105" i="85"/>
  <c r="T105" i="85"/>
  <c r="X105" i="85" s="1"/>
  <c r="Z105" i="85" s="1"/>
  <c r="P105" i="85"/>
  <c r="Z104" i="85"/>
  <c r="X104" i="85"/>
  <c r="U104" i="85"/>
  <c r="T104" i="85"/>
  <c r="P104" i="85"/>
  <c r="U103" i="85"/>
  <c r="T103" i="85"/>
  <c r="X103" i="85" s="1"/>
  <c r="Z103" i="85" s="1"/>
  <c r="P103" i="85"/>
  <c r="X102" i="85"/>
  <c r="Z102" i="85" s="1"/>
  <c r="U102" i="85"/>
  <c r="T102" i="85"/>
  <c r="P102" i="85"/>
  <c r="X101" i="85"/>
  <c r="Z101" i="85" s="1"/>
  <c r="U101" i="85"/>
  <c r="T101" i="85"/>
  <c r="P101" i="85"/>
  <c r="U100" i="85"/>
  <c r="T100" i="85"/>
  <c r="X100" i="85" s="1"/>
  <c r="Z100" i="85" s="1"/>
  <c r="P100" i="85"/>
  <c r="U99" i="85"/>
  <c r="X99" i="85" s="1"/>
  <c r="Z99" i="85" s="1"/>
  <c r="T99" i="85"/>
  <c r="P99" i="85"/>
  <c r="U98" i="85"/>
  <c r="X98" i="85" s="1"/>
  <c r="Z98" i="85" s="1"/>
  <c r="T98" i="85"/>
  <c r="P98" i="85"/>
  <c r="U97" i="85"/>
  <c r="T97" i="85"/>
  <c r="X97" i="85" s="1"/>
  <c r="Z97" i="85" s="1"/>
  <c r="P97" i="85"/>
  <c r="U96" i="85"/>
  <c r="X96" i="85" s="1"/>
  <c r="Z96" i="85" s="1"/>
  <c r="T96" i="85"/>
  <c r="P96" i="85"/>
  <c r="U95" i="85"/>
  <c r="T95" i="85"/>
  <c r="X95" i="85" s="1"/>
  <c r="Z95" i="85" s="1"/>
  <c r="P95" i="85"/>
  <c r="X94" i="85"/>
  <c r="Z94" i="85" s="1"/>
  <c r="U94" i="85"/>
  <c r="T94" i="85"/>
  <c r="P94" i="85"/>
  <c r="X93" i="85"/>
  <c r="Z93" i="85" s="1"/>
  <c r="U93" i="85"/>
  <c r="T93" i="85"/>
  <c r="P93" i="85"/>
  <c r="U92" i="85"/>
  <c r="T92" i="85"/>
  <c r="X92" i="85" s="1"/>
  <c r="Z92" i="85" s="1"/>
  <c r="P92" i="85"/>
  <c r="U91" i="85"/>
  <c r="X91" i="85" s="1"/>
  <c r="Z91" i="85" s="1"/>
  <c r="T91" i="85"/>
  <c r="P91" i="85"/>
  <c r="U90" i="85"/>
  <c r="X90" i="85" s="1"/>
  <c r="Z90" i="85" s="1"/>
  <c r="T90" i="85"/>
  <c r="P90" i="85"/>
  <c r="U89" i="85"/>
  <c r="T89" i="85"/>
  <c r="X89" i="85" s="1"/>
  <c r="Z89" i="85" s="1"/>
  <c r="P89" i="85"/>
  <c r="Z88" i="85"/>
  <c r="X88" i="85"/>
  <c r="U88" i="85"/>
  <c r="T88" i="85"/>
  <c r="P88" i="85"/>
  <c r="U87" i="85"/>
  <c r="T87" i="85"/>
  <c r="X87" i="85" s="1"/>
  <c r="Z87" i="85" s="1"/>
  <c r="P87" i="85"/>
  <c r="X86" i="85"/>
  <c r="Z86" i="85" s="1"/>
  <c r="U86" i="85"/>
  <c r="T86" i="85"/>
  <c r="P86" i="85"/>
  <c r="X85" i="85"/>
  <c r="Z85" i="85" s="1"/>
  <c r="U85" i="85"/>
  <c r="T85" i="85"/>
  <c r="P85" i="85"/>
  <c r="U84" i="85"/>
  <c r="T84" i="85"/>
  <c r="X84" i="85" s="1"/>
  <c r="Z84" i="85" s="1"/>
  <c r="P84" i="85"/>
  <c r="U83" i="85"/>
  <c r="X83" i="85" s="1"/>
  <c r="Z83" i="85" s="1"/>
  <c r="T83" i="85"/>
  <c r="P83" i="85"/>
  <c r="U82" i="85"/>
  <c r="X82" i="85" s="1"/>
  <c r="Z82" i="85" s="1"/>
  <c r="T82" i="85"/>
  <c r="P82" i="85"/>
  <c r="U81" i="85"/>
  <c r="T81" i="85"/>
  <c r="X81" i="85" s="1"/>
  <c r="Z81" i="85" s="1"/>
  <c r="P81" i="85"/>
  <c r="Z80" i="85"/>
  <c r="X80" i="85"/>
  <c r="U80" i="85"/>
  <c r="T80" i="85"/>
  <c r="P80" i="85"/>
  <c r="U79" i="85"/>
  <c r="T79" i="85"/>
  <c r="X79" i="85" s="1"/>
  <c r="Z79" i="85" s="1"/>
  <c r="P79" i="85"/>
  <c r="X78" i="85"/>
  <c r="Z78" i="85" s="1"/>
  <c r="U78" i="85"/>
  <c r="T78" i="85"/>
  <c r="P78" i="85"/>
  <c r="X77" i="85"/>
  <c r="Z77" i="85" s="1"/>
  <c r="U77" i="85"/>
  <c r="T77" i="85"/>
  <c r="P77" i="85"/>
  <c r="U76" i="85"/>
  <c r="T76" i="85"/>
  <c r="X76" i="85" s="1"/>
  <c r="Z76" i="85" s="1"/>
  <c r="P76" i="85"/>
  <c r="U75" i="85"/>
  <c r="X75" i="85" s="1"/>
  <c r="Z75" i="85" s="1"/>
  <c r="T75" i="85"/>
  <c r="P75" i="85"/>
  <c r="U74" i="85"/>
  <c r="X74" i="85" s="1"/>
  <c r="Z74" i="85" s="1"/>
  <c r="T74" i="85"/>
  <c r="P74" i="85"/>
  <c r="U73" i="85"/>
  <c r="T73" i="85"/>
  <c r="X73" i="85" s="1"/>
  <c r="Z73" i="85" s="1"/>
  <c r="P73" i="85"/>
  <c r="U72" i="85"/>
  <c r="T72" i="85"/>
  <c r="X72" i="85" s="1"/>
  <c r="Z72" i="85" s="1"/>
  <c r="P72" i="85"/>
  <c r="U71" i="85"/>
  <c r="T71" i="85"/>
  <c r="X71" i="85" s="1"/>
  <c r="Z71" i="85" s="1"/>
  <c r="P71" i="85"/>
  <c r="X70" i="85"/>
  <c r="Z70" i="85" s="1"/>
  <c r="U70" i="85"/>
  <c r="T70" i="85"/>
  <c r="P70" i="85"/>
  <c r="X69" i="85"/>
  <c r="Z69" i="85" s="1"/>
  <c r="U69" i="85"/>
  <c r="T69" i="85"/>
  <c r="P69" i="85"/>
  <c r="U68" i="85"/>
  <c r="T68" i="85"/>
  <c r="X68" i="85" s="1"/>
  <c r="Z68" i="85" s="1"/>
  <c r="P68" i="85"/>
  <c r="U67" i="85"/>
  <c r="X67" i="85" s="1"/>
  <c r="Z67" i="85" s="1"/>
  <c r="T67" i="85"/>
  <c r="P67" i="85"/>
  <c r="U66" i="85"/>
  <c r="X66" i="85" s="1"/>
  <c r="Z66" i="85" s="1"/>
  <c r="T66" i="85"/>
  <c r="P66" i="85"/>
  <c r="U65" i="85"/>
  <c r="T65" i="85"/>
  <c r="X65" i="85" s="1"/>
  <c r="Z65" i="85" s="1"/>
  <c r="P65" i="85"/>
  <c r="U64" i="85"/>
  <c r="T64" i="85"/>
  <c r="X64" i="85" s="1"/>
  <c r="Z64" i="85" s="1"/>
  <c r="P64" i="85"/>
  <c r="U63" i="85"/>
  <c r="T63" i="85"/>
  <c r="X63" i="85" s="1"/>
  <c r="Z63" i="85" s="1"/>
  <c r="P63" i="85"/>
  <c r="X62" i="85"/>
  <c r="Z62" i="85" s="1"/>
  <c r="U62" i="85"/>
  <c r="T62" i="85"/>
  <c r="P62" i="85"/>
  <c r="X61" i="85"/>
  <c r="Z61" i="85" s="1"/>
  <c r="U61" i="85"/>
  <c r="T61" i="85"/>
  <c r="P61" i="85"/>
  <c r="U60" i="85"/>
  <c r="T60" i="85"/>
  <c r="X60" i="85" s="1"/>
  <c r="Z60" i="85" s="1"/>
  <c r="P60" i="85"/>
  <c r="U59" i="85"/>
  <c r="X59" i="85" s="1"/>
  <c r="Z59" i="85" s="1"/>
  <c r="T59" i="85"/>
  <c r="P59" i="85"/>
  <c r="U58" i="85"/>
  <c r="X58" i="85" s="1"/>
  <c r="Z58" i="85" s="1"/>
  <c r="T58" i="85"/>
  <c r="P58" i="85"/>
  <c r="U57" i="85"/>
  <c r="T57" i="85"/>
  <c r="X57" i="85" s="1"/>
  <c r="Z57" i="85" s="1"/>
  <c r="P57" i="85"/>
  <c r="U56" i="85"/>
  <c r="T56" i="85"/>
  <c r="X56" i="85" s="1"/>
  <c r="Z56" i="85" s="1"/>
  <c r="P56" i="85"/>
  <c r="U55" i="85"/>
  <c r="T55" i="85"/>
  <c r="X55" i="85" s="1"/>
  <c r="Z55" i="85" s="1"/>
  <c r="P55" i="85"/>
  <c r="X54" i="85"/>
  <c r="Z54" i="85" s="1"/>
  <c r="U54" i="85"/>
  <c r="T54" i="85"/>
  <c r="P54" i="85"/>
  <c r="X53" i="85"/>
  <c r="Z53" i="85" s="1"/>
  <c r="U53" i="85"/>
  <c r="T53" i="85"/>
  <c r="P53" i="85"/>
  <c r="U52" i="85"/>
  <c r="T52" i="85"/>
  <c r="X52" i="85" s="1"/>
  <c r="Z52" i="85" s="1"/>
  <c r="P52" i="85"/>
  <c r="U51" i="85"/>
  <c r="X51" i="85" s="1"/>
  <c r="Z51" i="85" s="1"/>
  <c r="T51" i="85"/>
  <c r="P51" i="85"/>
  <c r="U50" i="85"/>
  <c r="X50" i="85" s="1"/>
  <c r="Z50" i="85" s="1"/>
  <c r="T50" i="85"/>
  <c r="P50" i="85"/>
  <c r="U49" i="85"/>
  <c r="T49" i="85"/>
  <c r="X49" i="85" s="1"/>
  <c r="Z49" i="85" s="1"/>
  <c r="P49" i="85"/>
  <c r="U48" i="85"/>
  <c r="T48" i="85"/>
  <c r="X48" i="85" s="1"/>
  <c r="Z48" i="85" s="1"/>
  <c r="P48" i="85"/>
  <c r="U47" i="85"/>
  <c r="T47" i="85"/>
  <c r="P47" i="85"/>
  <c r="X46" i="85"/>
  <c r="Z46" i="85" s="1"/>
  <c r="U46" i="85"/>
  <c r="T46" i="85"/>
  <c r="P46" i="85"/>
  <c r="X45" i="85"/>
  <c r="Z45" i="85" s="1"/>
  <c r="U45" i="85"/>
  <c r="P45" i="85"/>
  <c r="U44" i="85"/>
  <c r="T44" i="85"/>
  <c r="X44" i="85" s="1"/>
  <c r="Z44" i="85" s="1"/>
  <c r="P44" i="85"/>
  <c r="Z43" i="85"/>
  <c r="X43" i="85"/>
  <c r="U43" i="85"/>
  <c r="T43" i="85"/>
  <c r="P43" i="85"/>
  <c r="U42" i="85"/>
  <c r="T42" i="85"/>
  <c r="X42" i="85" s="1"/>
  <c r="Z42" i="85" s="1"/>
  <c r="P42" i="85"/>
  <c r="X41" i="85"/>
  <c r="Z41" i="85" s="1"/>
  <c r="U41" i="85"/>
  <c r="T41" i="85"/>
  <c r="P41" i="85"/>
  <c r="X40" i="85"/>
  <c r="Z40" i="85" s="1"/>
  <c r="U40" i="85"/>
  <c r="T40" i="85"/>
  <c r="P40" i="85"/>
  <c r="T39" i="85"/>
  <c r="X39" i="85" s="1"/>
  <c r="Z39" i="85" s="1"/>
  <c r="P39" i="85"/>
  <c r="P180" i="85" s="1"/>
  <c r="U38" i="85"/>
  <c r="T38" i="85"/>
  <c r="X38" i="85" s="1"/>
  <c r="P38" i="85"/>
  <c r="W35" i="85"/>
  <c r="W182" i="85" s="1"/>
  <c r="V35" i="85"/>
  <c r="V182" i="85" s="1"/>
  <c r="U35" i="85"/>
  <c r="O35" i="85"/>
  <c r="O182" i="85" s="1"/>
  <c r="N35" i="85"/>
  <c r="N182" i="85" s="1"/>
  <c r="M35" i="85"/>
  <c r="M182" i="85" s="1"/>
  <c r="L35" i="85"/>
  <c r="L182" i="85" s="1"/>
  <c r="J35" i="85"/>
  <c r="J182" i="85" s="1"/>
  <c r="I35" i="85"/>
  <c r="H35" i="85"/>
  <c r="C35" i="85"/>
  <c r="C182" i="85" s="1"/>
  <c r="R34" i="85"/>
  <c r="T34" i="85" s="1"/>
  <c r="X34" i="85" s="1"/>
  <c r="Z34" i="85" s="1"/>
  <c r="P34" i="85"/>
  <c r="R33" i="85"/>
  <c r="T33" i="85" s="1"/>
  <c r="X33" i="85" s="1"/>
  <c r="Z33" i="85" s="1"/>
  <c r="P33" i="85"/>
  <c r="X32" i="85"/>
  <c r="Z32" i="85" s="1"/>
  <c r="T32" i="85"/>
  <c r="R32" i="85"/>
  <c r="P32" i="85"/>
  <c r="R31" i="85"/>
  <c r="T31" i="85" s="1"/>
  <c r="X31" i="85" s="1"/>
  <c r="Z31" i="85" s="1"/>
  <c r="P31" i="85"/>
  <c r="T30" i="85"/>
  <c r="X30" i="85" s="1"/>
  <c r="Z30" i="85" s="1"/>
  <c r="R30" i="85"/>
  <c r="P30" i="85"/>
  <c r="T29" i="85"/>
  <c r="X29" i="85" s="1"/>
  <c r="Z29" i="85" s="1"/>
  <c r="P29" i="85"/>
  <c r="R28" i="85"/>
  <c r="T28" i="85" s="1"/>
  <c r="X28" i="85" s="1"/>
  <c r="Z28" i="85" s="1"/>
  <c r="P28" i="85"/>
  <c r="X27" i="85"/>
  <c r="Z27" i="85" s="1"/>
  <c r="T27" i="85"/>
  <c r="R27" i="85"/>
  <c r="P27" i="85"/>
  <c r="R26" i="85"/>
  <c r="T26" i="85" s="1"/>
  <c r="X26" i="85" s="1"/>
  <c r="Z26" i="85" s="1"/>
  <c r="P26" i="85"/>
  <c r="T25" i="85"/>
  <c r="X25" i="85" s="1"/>
  <c r="Z25" i="85" s="1"/>
  <c r="R25" i="85"/>
  <c r="P25" i="85"/>
  <c r="T24" i="85"/>
  <c r="X24" i="85" s="1"/>
  <c r="Z24" i="85" s="1"/>
  <c r="R24" i="85"/>
  <c r="P24" i="85"/>
  <c r="T23" i="85"/>
  <c r="X23" i="85" s="1"/>
  <c r="Z23" i="85" s="1"/>
  <c r="R23" i="85"/>
  <c r="P23" i="85"/>
  <c r="R22" i="85"/>
  <c r="T22" i="85" s="1"/>
  <c r="X22" i="85" s="1"/>
  <c r="Z22" i="85" s="1"/>
  <c r="P22" i="85"/>
  <c r="R21" i="85"/>
  <c r="T21" i="85" s="1"/>
  <c r="X21" i="85" s="1"/>
  <c r="Z21" i="85" s="1"/>
  <c r="P21" i="85"/>
  <c r="R20" i="85"/>
  <c r="T20" i="85" s="1"/>
  <c r="X20" i="85" s="1"/>
  <c r="Z20" i="85" s="1"/>
  <c r="P20" i="85"/>
  <c r="X19" i="85"/>
  <c r="Z19" i="85" s="1"/>
  <c r="T19" i="85"/>
  <c r="R19" i="85"/>
  <c r="P19" i="85"/>
  <c r="R18" i="85"/>
  <c r="T18" i="85" s="1"/>
  <c r="X18" i="85" s="1"/>
  <c r="Z18" i="85" s="1"/>
  <c r="P18" i="85"/>
  <c r="T17" i="85"/>
  <c r="X17" i="85" s="1"/>
  <c r="Z17" i="85" s="1"/>
  <c r="R17" i="85"/>
  <c r="P17" i="85"/>
  <c r="T16" i="85"/>
  <c r="X16" i="85" s="1"/>
  <c r="Z16" i="85" s="1"/>
  <c r="P16" i="85"/>
  <c r="T15" i="85"/>
  <c r="X15" i="85" s="1"/>
  <c r="Z15" i="85" s="1"/>
  <c r="R15" i="85"/>
  <c r="P15" i="85"/>
  <c r="R14" i="85"/>
  <c r="T14" i="85" s="1"/>
  <c r="X14" i="85" s="1"/>
  <c r="Z14" i="85" s="1"/>
  <c r="P14" i="85"/>
  <c r="R13" i="85"/>
  <c r="T13" i="85" s="1"/>
  <c r="P13" i="85"/>
  <c r="X12" i="85"/>
  <c r="Z12" i="85" s="1"/>
  <c r="T12" i="85"/>
  <c r="P12" i="85"/>
  <c r="P35" i="85" s="1"/>
  <c r="P182" i="85" s="1"/>
  <c r="F10" i="85"/>
  <c r="H10" i="85" s="1"/>
  <c r="I10" i="85" s="1"/>
  <c r="J10" i="85" s="1"/>
  <c r="L10" i="85" s="1"/>
  <c r="M10" i="85" s="1"/>
  <c r="N10" i="85" s="1"/>
  <c r="O10" i="85" s="1"/>
  <c r="P10" i="85" s="1"/>
  <c r="R10" i="85" s="1"/>
  <c r="T10" i="85" s="1"/>
  <c r="U10" i="85" s="1"/>
  <c r="V10" i="85" s="1"/>
  <c r="W10" i="85" s="1"/>
  <c r="X10" i="85" s="1"/>
  <c r="Z10" i="85" s="1"/>
  <c r="D10" i="85"/>
  <c r="L211" i="84"/>
  <c r="L205" i="84"/>
  <c r="K184" i="84"/>
  <c r="J184" i="84"/>
  <c r="I184" i="84"/>
  <c r="H184" i="84"/>
  <c r="C184" i="84"/>
  <c r="L183" i="84"/>
  <c r="M183" i="84" s="1"/>
  <c r="L182" i="84"/>
  <c r="M182" i="84" s="1"/>
  <c r="L181" i="84"/>
  <c r="M181" i="84" s="1"/>
  <c r="L180" i="84"/>
  <c r="M180" i="84" s="1"/>
  <c r="L179" i="84"/>
  <c r="M179" i="84" s="1"/>
  <c r="L178" i="84"/>
  <c r="M178" i="84" s="1"/>
  <c r="L177" i="84"/>
  <c r="M177" i="84" s="1"/>
  <c r="L176" i="84"/>
  <c r="M176" i="84" s="1"/>
  <c r="L175" i="84"/>
  <c r="M175" i="84" s="1"/>
  <c r="L174" i="84"/>
  <c r="M174" i="84" s="1"/>
  <c r="L173" i="84"/>
  <c r="M173" i="84" s="1"/>
  <c r="L172" i="84"/>
  <c r="M172" i="84" s="1"/>
  <c r="L171" i="84"/>
  <c r="M171" i="84" s="1"/>
  <c r="L170" i="84"/>
  <c r="M170" i="84" s="1"/>
  <c r="L169" i="84"/>
  <c r="M169" i="84" s="1"/>
  <c r="L168" i="84"/>
  <c r="M168" i="84" s="1"/>
  <c r="L167" i="84"/>
  <c r="M167" i="84" s="1"/>
  <c r="L166" i="84"/>
  <c r="M166" i="84" s="1"/>
  <c r="L165" i="84"/>
  <c r="M165" i="84" s="1"/>
  <c r="L164" i="84"/>
  <c r="M164" i="84" s="1"/>
  <c r="L163" i="84"/>
  <c r="M163" i="84" s="1"/>
  <c r="L162" i="84"/>
  <c r="M162" i="84" s="1"/>
  <c r="L161" i="84"/>
  <c r="M161" i="84" s="1"/>
  <c r="L160" i="84"/>
  <c r="M160" i="84" s="1"/>
  <c r="L159" i="84"/>
  <c r="M159" i="84" s="1"/>
  <c r="L158" i="84"/>
  <c r="M158" i="84" s="1"/>
  <c r="L157" i="84"/>
  <c r="M157" i="84" s="1"/>
  <c r="L156" i="84"/>
  <c r="M156" i="84" s="1"/>
  <c r="L155" i="84"/>
  <c r="M155" i="84" s="1"/>
  <c r="L154" i="84"/>
  <c r="M154" i="84" s="1"/>
  <c r="L153" i="84"/>
  <c r="M153" i="84" s="1"/>
  <c r="L152" i="84"/>
  <c r="M152" i="84" s="1"/>
  <c r="L151" i="84"/>
  <c r="M151" i="84" s="1"/>
  <c r="L150" i="84"/>
  <c r="M150" i="84" s="1"/>
  <c r="L149" i="84"/>
  <c r="M149" i="84" s="1"/>
  <c r="L148" i="84"/>
  <c r="M148" i="84" s="1"/>
  <c r="L147" i="84"/>
  <c r="M147" i="84" s="1"/>
  <c r="L146" i="84"/>
  <c r="M146" i="84" s="1"/>
  <c r="L145" i="84"/>
  <c r="M145" i="84" s="1"/>
  <c r="L144" i="84"/>
  <c r="M144" i="84" s="1"/>
  <c r="L143" i="84"/>
  <c r="M143" i="84" s="1"/>
  <c r="L142" i="84"/>
  <c r="M142" i="84" s="1"/>
  <c r="L141" i="84"/>
  <c r="M141" i="84" s="1"/>
  <c r="L140" i="84"/>
  <c r="M140" i="84" s="1"/>
  <c r="L139" i="84"/>
  <c r="M139" i="84" s="1"/>
  <c r="L138" i="84"/>
  <c r="M138" i="84" s="1"/>
  <c r="L137" i="84"/>
  <c r="M137" i="84" s="1"/>
  <c r="L136" i="84"/>
  <c r="M136" i="84" s="1"/>
  <c r="L135" i="84"/>
  <c r="M135" i="84" s="1"/>
  <c r="L134" i="84"/>
  <c r="M134" i="84" s="1"/>
  <c r="L133" i="84"/>
  <c r="M133" i="84" s="1"/>
  <c r="L132" i="84"/>
  <c r="M132" i="84" s="1"/>
  <c r="L131" i="84"/>
  <c r="M131" i="84" s="1"/>
  <c r="L130" i="84"/>
  <c r="M130" i="84" s="1"/>
  <c r="L129" i="84"/>
  <c r="M129" i="84" s="1"/>
  <c r="L128" i="84"/>
  <c r="M128" i="84" s="1"/>
  <c r="L127" i="84"/>
  <c r="M127" i="84" s="1"/>
  <c r="L126" i="84"/>
  <c r="M126" i="84" s="1"/>
  <c r="L125" i="84"/>
  <c r="M125" i="84" s="1"/>
  <c r="L124" i="84"/>
  <c r="M124" i="84" s="1"/>
  <c r="L123" i="84"/>
  <c r="M123" i="84" s="1"/>
  <c r="L122" i="84"/>
  <c r="M122" i="84" s="1"/>
  <c r="L121" i="84"/>
  <c r="M121" i="84" s="1"/>
  <c r="L120" i="84"/>
  <c r="M120" i="84" s="1"/>
  <c r="L119" i="84"/>
  <c r="M119" i="84" s="1"/>
  <c r="L118" i="84"/>
  <c r="M118" i="84" s="1"/>
  <c r="L117" i="84"/>
  <c r="M117" i="84" s="1"/>
  <c r="L116" i="84"/>
  <c r="M116" i="84" s="1"/>
  <c r="L115" i="84"/>
  <c r="M115" i="84" s="1"/>
  <c r="L114" i="84"/>
  <c r="M114" i="84" s="1"/>
  <c r="L113" i="84"/>
  <c r="M113" i="84" s="1"/>
  <c r="L112" i="84"/>
  <c r="M112" i="84" s="1"/>
  <c r="L111" i="84"/>
  <c r="M111" i="84" s="1"/>
  <c r="L110" i="84"/>
  <c r="M110" i="84" s="1"/>
  <c r="L109" i="84"/>
  <c r="M109" i="84" s="1"/>
  <c r="L108" i="84"/>
  <c r="M108" i="84" s="1"/>
  <c r="L107" i="84"/>
  <c r="M107" i="84" s="1"/>
  <c r="L106" i="84"/>
  <c r="M106" i="84" s="1"/>
  <c r="L105" i="84"/>
  <c r="M105" i="84" s="1"/>
  <c r="L104" i="84"/>
  <c r="M104" i="84" s="1"/>
  <c r="L103" i="84"/>
  <c r="M103" i="84" s="1"/>
  <c r="L102" i="84"/>
  <c r="M102" i="84" s="1"/>
  <c r="L101" i="84"/>
  <c r="M101" i="84" s="1"/>
  <c r="L100" i="84"/>
  <c r="M100" i="84" s="1"/>
  <c r="L99" i="84"/>
  <c r="M99" i="84" s="1"/>
  <c r="L98" i="84"/>
  <c r="M98" i="84" s="1"/>
  <c r="L97" i="84"/>
  <c r="M97" i="84" s="1"/>
  <c r="L96" i="84"/>
  <c r="M96" i="84" s="1"/>
  <c r="L95" i="84"/>
  <c r="M95" i="84" s="1"/>
  <c r="L94" i="84"/>
  <c r="M94" i="84" s="1"/>
  <c r="L93" i="84"/>
  <c r="M93" i="84" s="1"/>
  <c r="L92" i="84"/>
  <c r="M92" i="84" s="1"/>
  <c r="L91" i="84"/>
  <c r="M91" i="84" s="1"/>
  <c r="L90" i="84"/>
  <c r="M90" i="84" s="1"/>
  <c r="L89" i="84"/>
  <c r="M89" i="84" s="1"/>
  <c r="L88" i="84"/>
  <c r="M88" i="84" s="1"/>
  <c r="L87" i="84"/>
  <c r="M87" i="84" s="1"/>
  <c r="L86" i="84"/>
  <c r="M86" i="84" s="1"/>
  <c r="L85" i="84"/>
  <c r="M85" i="84" s="1"/>
  <c r="L84" i="84"/>
  <c r="M84" i="84" s="1"/>
  <c r="L83" i="84"/>
  <c r="M83" i="84" s="1"/>
  <c r="L82" i="84"/>
  <c r="M82" i="84" s="1"/>
  <c r="L81" i="84"/>
  <c r="M81" i="84" s="1"/>
  <c r="L80" i="84"/>
  <c r="M80" i="84" s="1"/>
  <c r="L79" i="84"/>
  <c r="M79" i="84" s="1"/>
  <c r="L78" i="84"/>
  <c r="M78" i="84" s="1"/>
  <c r="L77" i="84"/>
  <c r="M77" i="84" s="1"/>
  <c r="L76" i="84"/>
  <c r="M76" i="84" s="1"/>
  <c r="L75" i="84"/>
  <c r="M75" i="84" s="1"/>
  <c r="L74" i="84"/>
  <c r="M74" i="84" s="1"/>
  <c r="L73" i="84"/>
  <c r="M73" i="84" s="1"/>
  <c r="L72" i="84"/>
  <c r="M72" i="84" s="1"/>
  <c r="L71" i="84"/>
  <c r="M71" i="84" s="1"/>
  <c r="L70" i="84"/>
  <c r="M70" i="84" s="1"/>
  <c r="L69" i="84"/>
  <c r="M69" i="84" s="1"/>
  <c r="L68" i="84"/>
  <c r="M68" i="84" s="1"/>
  <c r="L67" i="84"/>
  <c r="M67" i="84" s="1"/>
  <c r="L66" i="84"/>
  <c r="M66" i="84" s="1"/>
  <c r="L65" i="84"/>
  <c r="M65" i="84" s="1"/>
  <c r="L64" i="84"/>
  <c r="M64" i="84" s="1"/>
  <c r="L63" i="84"/>
  <c r="M63" i="84" s="1"/>
  <c r="L62" i="84"/>
  <c r="M62" i="84" s="1"/>
  <c r="L61" i="84"/>
  <c r="M61" i="84" s="1"/>
  <c r="L60" i="84"/>
  <c r="M60" i="84" s="1"/>
  <c r="L59" i="84"/>
  <c r="M59" i="84" s="1"/>
  <c r="L58" i="84"/>
  <c r="M58" i="84" s="1"/>
  <c r="L57" i="84"/>
  <c r="M57" i="84" s="1"/>
  <c r="L56" i="84"/>
  <c r="M56" i="84" s="1"/>
  <c r="L55" i="84"/>
  <c r="M55" i="84" s="1"/>
  <c r="L54" i="84"/>
  <c r="M54" i="84" s="1"/>
  <c r="L53" i="84"/>
  <c r="M53" i="84" s="1"/>
  <c r="L52" i="84"/>
  <c r="M52" i="84" s="1"/>
  <c r="L51" i="84"/>
  <c r="M51" i="84" s="1"/>
  <c r="L50" i="84"/>
  <c r="M50" i="84" s="1"/>
  <c r="L49" i="84"/>
  <c r="M49" i="84" s="1"/>
  <c r="L48" i="84"/>
  <c r="M48" i="84" s="1"/>
  <c r="L47" i="84"/>
  <c r="M47" i="84" s="1"/>
  <c r="L46" i="84"/>
  <c r="M46" i="84" s="1"/>
  <c r="L45" i="84"/>
  <c r="M45" i="84" s="1"/>
  <c r="L44" i="84"/>
  <c r="M44" i="84" s="1"/>
  <c r="M43" i="84"/>
  <c r="L42" i="84"/>
  <c r="M42" i="84" s="1"/>
  <c r="K39" i="84"/>
  <c r="J39" i="84"/>
  <c r="I39" i="84"/>
  <c r="H39" i="84"/>
  <c r="L38" i="84"/>
  <c r="M38" i="84" s="1"/>
  <c r="L37" i="84"/>
  <c r="M37" i="84" s="1"/>
  <c r="L36" i="84"/>
  <c r="M36" i="84" s="1"/>
  <c r="L35" i="84"/>
  <c r="M35" i="84" s="1"/>
  <c r="L34" i="84"/>
  <c r="M34" i="84" s="1"/>
  <c r="L33" i="84"/>
  <c r="M33" i="84" s="1"/>
  <c r="L32" i="84"/>
  <c r="M32" i="84" s="1"/>
  <c r="L31" i="84"/>
  <c r="M31" i="84" s="1"/>
  <c r="L30" i="84"/>
  <c r="M30" i="84" s="1"/>
  <c r="L29" i="84"/>
  <c r="M29" i="84" s="1"/>
  <c r="L28" i="84"/>
  <c r="M28" i="84" s="1"/>
  <c r="L27" i="84"/>
  <c r="M27" i="84" s="1"/>
  <c r="L26" i="84"/>
  <c r="M26" i="84" s="1"/>
  <c r="L25" i="84"/>
  <c r="M25" i="84" s="1"/>
  <c r="L24" i="84"/>
  <c r="M24" i="84" s="1"/>
  <c r="L23" i="84"/>
  <c r="M23" i="84" s="1"/>
  <c r="L22" i="84"/>
  <c r="M22" i="84" s="1"/>
  <c r="L21" i="84"/>
  <c r="M21" i="84" s="1"/>
  <c r="M20" i="84"/>
  <c r="M19" i="84"/>
  <c r="M18" i="84"/>
  <c r="L16" i="84"/>
  <c r="M16" i="84" s="1"/>
  <c r="C39" i="84"/>
  <c r="L13" i="84"/>
  <c r="M13" i="84" s="1"/>
  <c r="D13" i="84"/>
  <c r="G13" i="84" s="1"/>
  <c r="D61" i="80"/>
  <c r="D58" i="80"/>
  <c r="I44" i="80"/>
  <c r="E40" i="80"/>
  <c r="D40" i="80"/>
  <c r="I38" i="80"/>
  <c r="I37" i="80"/>
  <c r="I36" i="80"/>
  <c r="I35" i="80"/>
  <c r="I34" i="80"/>
  <c r="I33" i="80"/>
  <c r="I32" i="80"/>
  <c r="H31" i="80"/>
  <c r="H40" i="80" s="1"/>
  <c r="I31" i="80"/>
  <c r="E26" i="80"/>
  <c r="I25" i="80"/>
  <c r="I24" i="80"/>
  <c r="I23" i="80"/>
  <c r="H22" i="80"/>
  <c r="D22" i="80"/>
  <c r="G22" i="80" s="1"/>
  <c r="I22" i="80" s="1"/>
  <c r="I21" i="80"/>
  <c r="I20" i="80"/>
  <c r="I19" i="80"/>
  <c r="I18" i="80"/>
  <c r="I17" i="80"/>
  <c r="I16" i="80"/>
  <c r="H15" i="80"/>
  <c r="H26" i="80" s="1"/>
  <c r="D15" i="80"/>
  <c r="I14" i="80"/>
  <c r="G13" i="80"/>
  <c r="I13" i="80" s="1"/>
  <c r="A12" i="80"/>
  <c r="A13" i="80" s="1"/>
  <c r="A14" i="80" s="1"/>
  <c r="A15" i="80" s="1"/>
  <c r="A16" i="80" s="1"/>
  <c r="A17" i="80" s="1"/>
  <c r="A18" i="80" s="1"/>
  <c r="A19" i="80" s="1"/>
  <c r="A20" i="80" s="1"/>
  <c r="A21" i="80" s="1"/>
  <c r="A22" i="80" s="1"/>
  <c r="A23" i="80" s="1"/>
  <c r="A24" i="80" s="1"/>
  <c r="A25" i="80" s="1"/>
  <c r="A26" i="80" s="1"/>
  <c r="A27" i="80" s="1"/>
  <c r="A28" i="80" s="1"/>
  <c r="A29" i="80" s="1"/>
  <c r="A30" i="80" s="1"/>
  <c r="A31" i="80" s="1"/>
  <c r="A32" i="80" s="1"/>
  <c r="A33" i="80" s="1"/>
  <c r="A34" i="80" s="1"/>
  <c r="A35" i="80" s="1"/>
  <c r="A36" i="80" s="1"/>
  <c r="A37" i="80" s="1"/>
  <c r="A38" i="80" s="1"/>
  <c r="A39" i="80" s="1"/>
  <c r="A40" i="80" s="1"/>
  <c r="A41" i="80" s="1"/>
  <c r="A42" i="80" s="1"/>
  <c r="A43" i="80" s="1"/>
  <c r="A44" i="80" s="1"/>
  <c r="A45" i="80" s="1"/>
  <c r="A46" i="80" s="1"/>
  <c r="A47" i="80" s="1"/>
  <c r="A48" i="80" s="1"/>
  <c r="A49" i="80" s="1"/>
  <c r="A50" i="80" s="1"/>
  <c r="A51" i="80" s="1"/>
  <c r="A52" i="80" s="1"/>
  <c r="A53" i="80" s="1"/>
  <c r="A54" i="80" s="1"/>
  <c r="A55" i="80" s="1"/>
  <c r="A56" i="80" s="1"/>
  <c r="A57" i="80" s="1"/>
  <c r="A58" i="80" s="1"/>
  <c r="A59" i="80" s="1"/>
  <c r="A60" i="80" s="1"/>
  <c r="A61" i="80" s="1"/>
  <c r="A62" i="80" s="1"/>
  <c r="A63" i="80" s="1"/>
  <c r="E10" i="48"/>
  <c r="D10" i="48"/>
  <c r="O69" i="88" l="1"/>
  <c r="O125" i="88"/>
  <c r="O132" i="88"/>
  <c r="O93" i="88"/>
  <c r="O110" i="88"/>
  <c r="O77" i="88"/>
  <c r="O160" i="88"/>
  <c r="O36" i="88"/>
  <c r="O152" i="88"/>
  <c r="O88" i="88"/>
  <c r="O150" i="88"/>
  <c r="O96" i="88"/>
  <c r="C186" i="84"/>
  <c r="I186" i="84"/>
  <c r="M188" i="84" s="1"/>
  <c r="K186" i="84"/>
  <c r="H186" i="84"/>
  <c r="J186" i="84"/>
  <c r="O44" i="88"/>
  <c r="O52" i="88"/>
  <c r="O55" i="88"/>
  <c r="O162" i="88"/>
  <c r="O128" i="88"/>
  <c r="O168" i="88"/>
  <c r="G182" i="88"/>
  <c r="O59" i="88"/>
  <c r="O124" i="88"/>
  <c r="O70" i="88"/>
  <c r="O181" i="88"/>
  <c r="O49" i="88"/>
  <c r="O104" i="88"/>
  <c r="O141" i="88"/>
  <c r="O158" i="88"/>
  <c r="O101" i="88"/>
  <c r="O62" i="88"/>
  <c r="O64" i="88"/>
  <c r="O85" i="88"/>
  <c r="O102" i="88"/>
  <c r="O137" i="88"/>
  <c r="O173" i="88"/>
  <c r="O112" i="88"/>
  <c r="O149" i="88"/>
  <c r="O166" i="88"/>
  <c r="O133" i="88"/>
  <c r="O43" i="88"/>
  <c r="O117" i="88"/>
  <c r="O165" i="88"/>
  <c r="O63" i="88"/>
  <c r="O118" i="88"/>
  <c r="O56" i="88"/>
  <c r="O144" i="88"/>
  <c r="O176" i="88"/>
  <c r="O57" i="88"/>
  <c r="O98" i="88"/>
  <c r="O79" i="88"/>
  <c r="O142" i="88"/>
  <c r="O174" i="88"/>
  <c r="O126" i="88"/>
  <c r="O94" i="88"/>
  <c r="O80" i="88"/>
  <c r="O120" i="88"/>
  <c r="O134" i="88"/>
  <c r="O136" i="88"/>
  <c r="O157" i="88"/>
  <c r="O24" i="88"/>
  <c r="K37" i="88"/>
  <c r="M37" i="88"/>
  <c r="O29" i="88"/>
  <c r="G37" i="88"/>
  <c r="O23" i="88"/>
  <c r="I37" i="88"/>
  <c r="O30" i="88"/>
  <c r="O26" i="88"/>
  <c r="O22" i="88"/>
  <c r="X168" i="85"/>
  <c r="Z168" i="85" s="1"/>
  <c r="X115" i="85"/>
  <c r="Z115" i="85" s="1"/>
  <c r="I109" i="90"/>
  <c r="J109" i="90" s="1"/>
  <c r="I32" i="90"/>
  <c r="J32" i="90" s="1"/>
  <c r="I42" i="90"/>
  <c r="J42" i="90" s="1"/>
  <c r="H35" i="90"/>
  <c r="J35" i="90" s="1"/>
  <c r="H45" i="90"/>
  <c r="J45" i="90" s="1"/>
  <c r="I99" i="90"/>
  <c r="I56" i="90"/>
  <c r="J56" i="90" s="1"/>
  <c r="I67" i="90"/>
  <c r="J67" i="90" s="1"/>
  <c r="H147" i="90"/>
  <c r="J147" i="90" s="1"/>
  <c r="I46" i="90"/>
  <c r="J46" i="90" s="1"/>
  <c r="H174" i="90"/>
  <c r="J174" i="90" s="1"/>
  <c r="I86" i="90"/>
  <c r="J86" i="90" s="1"/>
  <c r="I23" i="90"/>
  <c r="J23" i="90" s="1"/>
  <c r="X47" i="85"/>
  <c r="Z47" i="85" s="1"/>
  <c r="I171" i="90"/>
  <c r="J171" i="90" s="1"/>
  <c r="U180" i="85"/>
  <c r="U182" i="85" s="1"/>
  <c r="I144" i="90"/>
  <c r="I50" i="90"/>
  <c r="J50" i="90" s="1"/>
  <c r="H60" i="90"/>
  <c r="J60" i="90" s="1"/>
  <c r="I80" i="90"/>
  <c r="J80" i="90" s="1"/>
  <c r="I101" i="90"/>
  <c r="J101" i="90" s="1"/>
  <c r="H155" i="90"/>
  <c r="J155" i="90" s="1"/>
  <c r="I166" i="90"/>
  <c r="J166" i="90" s="1"/>
  <c r="I124" i="90"/>
  <c r="J124" i="90" s="1"/>
  <c r="I61" i="90"/>
  <c r="J61" i="90" s="1"/>
  <c r="I71" i="90"/>
  <c r="J71" i="90" s="1"/>
  <c r="I136" i="90"/>
  <c r="J136" i="90" s="1"/>
  <c r="R23" i="36"/>
  <c r="I38" i="90"/>
  <c r="H53" i="90"/>
  <c r="J53" i="90" s="1"/>
  <c r="I75" i="90"/>
  <c r="J75" i="90" s="1"/>
  <c r="H104" i="90"/>
  <c r="J104" i="90" s="1"/>
  <c r="H115" i="90"/>
  <c r="H22" i="90"/>
  <c r="J22" i="90" s="1"/>
  <c r="H49" i="90"/>
  <c r="J49" i="90" s="1"/>
  <c r="I59" i="90"/>
  <c r="J59" i="90" s="1"/>
  <c r="I63" i="90"/>
  <c r="J63" i="90" s="1"/>
  <c r="H100" i="90"/>
  <c r="J100" i="90" s="1"/>
  <c r="H120" i="90"/>
  <c r="I140" i="90"/>
  <c r="J140" i="90" s="1"/>
  <c r="H151" i="90"/>
  <c r="I156" i="90"/>
  <c r="J156" i="90" s="1"/>
  <c r="I15" i="90"/>
  <c r="J15" i="90" s="1"/>
  <c r="I27" i="90"/>
  <c r="J27" i="90" s="1"/>
  <c r="H79" i="90"/>
  <c r="J79" i="90" s="1"/>
  <c r="I90" i="90"/>
  <c r="J90" i="90" s="1"/>
  <c r="I95" i="90"/>
  <c r="J95" i="90" s="1"/>
  <c r="I130" i="90"/>
  <c r="I160" i="90"/>
  <c r="J160" i="90" s="1"/>
  <c r="I39" i="90"/>
  <c r="I54" i="90"/>
  <c r="J54" i="90" s="1"/>
  <c r="I105" i="90"/>
  <c r="J105" i="90" s="1"/>
  <c r="H116" i="90"/>
  <c r="J116" i="90" s="1"/>
  <c r="I126" i="90"/>
  <c r="J126" i="90" s="1"/>
  <c r="I131" i="90"/>
  <c r="H98" i="90"/>
  <c r="J98" i="90" s="1"/>
  <c r="H113" i="90"/>
  <c r="J113" i="90" s="1"/>
  <c r="H170" i="90"/>
  <c r="J170" i="90" s="1"/>
  <c r="I19" i="90"/>
  <c r="J19" i="90" s="1"/>
  <c r="H31" i="90"/>
  <c r="J31" i="90" s="1"/>
  <c r="I36" i="90"/>
  <c r="I41" i="90"/>
  <c r="H78" i="90"/>
  <c r="J78" i="90" s="1"/>
  <c r="H94" i="90"/>
  <c r="J94" i="90" s="1"/>
  <c r="I117" i="90"/>
  <c r="J117" i="90" s="1"/>
  <c r="H123" i="90"/>
  <c r="J123" i="90" s="1"/>
  <c r="I133" i="90"/>
  <c r="J133" i="90" s="1"/>
  <c r="H137" i="90"/>
  <c r="H143" i="90"/>
  <c r="J143" i="90" s="1"/>
  <c r="I148" i="90"/>
  <c r="J148" i="90" s="1"/>
  <c r="H159" i="90"/>
  <c r="J159" i="90" s="1"/>
  <c r="H52" i="90"/>
  <c r="J52" i="90" s="1"/>
  <c r="I82" i="90"/>
  <c r="J82" i="90" s="1"/>
  <c r="I114" i="90"/>
  <c r="H129" i="90"/>
  <c r="J129" i="90" s="1"/>
  <c r="J144" i="90"/>
  <c r="H41" i="80"/>
  <c r="H47" i="80" s="1"/>
  <c r="G15" i="80"/>
  <c r="G26" i="80" s="1"/>
  <c r="D63" i="80"/>
  <c r="G40" i="80"/>
  <c r="I40" i="80" s="1"/>
  <c r="I30" i="80"/>
  <c r="E41" i="80"/>
  <c r="E47" i="80" s="1"/>
  <c r="I33" i="90"/>
  <c r="H33" i="90"/>
  <c r="I153" i="90"/>
  <c r="H153" i="90"/>
  <c r="I43" i="90"/>
  <c r="H43" i="90"/>
  <c r="I125" i="90"/>
  <c r="H125" i="90"/>
  <c r="I55" i="90"/>
  <c r="H55" i="90"/>
  <c r="I51" i="90"/>
  <c r="H51" i="90"/>
  <c r="I161" i="90"/>
  <c r="H161" i="90"/>
  <c r="I157" i="90"/>
  <c r="H157" i="90"/>
  <c r="I47" i="90"/>
  <c r="H47" i="90"/>
  <c r="I146" i="90"/>
  <c r="H146" i="90"/>
  <c r="I141" i="90"/>
  <c r="H141" i="90"/>
  <c r="H158" i="90"/>
  <c r="J158" i="90" s="1"/>
  <c r="H162" i="90"/>
  <c r="I69" i="90"/>
  <c r="H69" i="90"/>
  <c r="I76" i="90"/>
  <c r="H76" i="90"/>
  <c r="H97" i="90"/>
  <c r="J97" i="90" s="1"/>
  <c r="H108" i="90"/>
  <c r="J108" i="90" s="1"/>
  <c r="I134" i="90"/>
  <c r="H134" i="90"/>
  <c r="H139" i="90"/>
  <c r="J139" i="90" s="1"/>
  <c r="I154" i="90"/>
  <c r="J154" i="90" s="1"/>
  <c r="I17" i="90"/>
  <c r="H17" i="90"/>
  <c r="I24" i="90"/>
  <c r="H24" i="90"/>
  <c r="H37" i="90"/>
  <c r="J37" i="90" s="1"/>
  <c r="I64" i="90"/>
  <c r="H64" i="90"/>
  <c r="H74" i="90"/>
  <c r="J74" i="90" s="1"/>
  <c r="I83" i="90"/>
  <c r="H83" i="90"/>
  <c r="H93" i="90"/>
  <c r="I111" i="90"/>
  <c r="H111" i="90"/>
  <c r="H119" i="90"/>
  <c r="J119" i="90" s="1"/>
  <c r="I128" i="90"/>
  <c r="H128" i="90"/>
  <c r="H132" i="90"/>
  <c r="J132" i="90" s="1"/>
  <c r="I142" i="90"/>
  <c r="H142" i="90"/>
  <c r="I149" i="90"/>
  <c r="H149" i="90"/>
  <c r="I152" i="90"/>
  <c r="H152" i="90"/>
  <c r="I163" i="90"/>
  <c r="H163" i="90"/>
  <c r="H169" i="90"/>
  <c r="J169" i="90" s="1"/>
  <c r="I176" i="90"/>
  <c r="H176" i="90"/>
  <c r="I21" i="90"/>
  <c r="H21" i="90"/>
  <c r="I87" i="90"/>
  <c r="H87" i="90"/>
  <c r="I168" i="90"/>
  <c r="H168" i="90"/>
  <c r="I58" i="90"/>
  <c r="H58" i="90"/>
  <c r="I62" i="90"/>
  <c r="H62" i="90"/>
  <c r="I77" i="90"/>
  <c r="H77" i="90"/>
  <c r="I81" i="90"/>
  <c r="H81" i="90"/>
  <c r="I106" i="90"/>
  <c r="H106" i="90"/>
  <c r="I135" i="90"/>
  <c r="H135" i="90"/>
  <c r="I118" i="90"/>
  <c r="H118" i="90"/>
  <c r="H165" i="90"/>
  <c r="I165" i="90"/>
  <c r="I57" i="90"/>
  <c r="H57" i="90"/>
  <c r="H66" i="90"/>
  <c r="J66" i="90" s="1"/>
  <c r="H85" i="90"/>
  <c r="J85" i="90" s="1"/>
  <c r="I103" i="90"/>
  <c r="H103" i="90"/>
  <c r="I110" i="90"/>
  <c r="H110" i="90"/>
  <c r="I175" i="90"/>
  <c r="H175" i="90"/>
  <c r="I29" i="90"/>
  <c r="H29" i="90"/>
  <c r="I25" i="90"/>
  <c r="H25" i="90"/>
  <c r="H34" i="90"/>
  <c r="J34" i="90" s="1"/>
  <c r="H44" i="90"/>
  <c r="J44" i="90" s="1"/>
  <c r="H48" i="90"/>
  <c r="J48" i="90" s="1"/>
  <c r="I65" i="90"/>
  <c r="H65" i="90"/>
  <c r="I72" i="90"/>
  <c r="H72" i="90"/>
  <c r="I84" i="90"/>
  <c r="H84" i="90"/>
  <c r="I91" i="90"/>
  <c r="H91" i="90"/>
  <c r="I150" i="90"/>
  <c r="H150" i="90"/>
  <c r="I164" i="90"/>
  <c r="H164" i="90"/>
  <c r="H177" i="90"/>
  <c r="I177" i="90"/>
  <c r="I28" i="90"/>
  <c r="H28" i="90"/>
  <c r="I16" i="90"/>
  <c r="H16" i="90"/>
  <c r="H26" i="90"/>
  <c r="J26" i="90" s="1"/>
  <c r="I127" i="90"/>
  <c r="H127" i="90"/>
  <c r="H14" i="90"/>
  <c r="J14" i="90" s="1"/>
  <c r="H173" i="90"/>
  <c r="J173" i="90" s="1"/>
  <c r="I20" i="90"/>
  <c r="H20" i="90"/>
  <c r="H30" i="90"/>
  <c r="H70" i="90"/>
  <c r="J70" i="90" s="1"/>
  <c r="H89" i="90"/>
  <c r="J89" i="90" s="1"/>
  <c r="I107" i="90"/>
  <c r="H107" i="90"/>
  <c r="H112" i="90"/>
  <c r="J112" i="90" s="1"/>
  <c r="H122" i="90"/>
  <c r="I138" i="90"/>
  <c r="H138" i="90"/>
  <c r="I145" i="90"/>
  <c r="H145" i="90"/>
  <c r="I167" i="90"/>
  <c r="H167" i="90"/>
  <c r="I68" i="90"/>
  <c r="H68" i="90"/>
  <c r="I88" i="90"/>
  <c r="H88" i="90"/>
  <c r="I121" i="90"/>
  <c r="H121" i="90"/>
  <c r="H18" i="90"/>
  <c r="J18" i="90" s="1"/>
  <c r="H40" i="90"/>
  <c r="J40" i="90" s="1"/>
  <c r="I73" i="90"/>
  <c r="H73" i="90"/>
  <c r="I92" i="90"/>
  <c r="H92" i="90"/>
  <c r="I96" i="90"/>
  <c r="H96" i="90"/>
  <c r="I102" i="90"/>
  <c r="H102" i="90"/>
  <c r="I172" i="90"/>
  <c r="H172" i="90"/>
  <c r="H13" i="90"/>
  <c r="K46" i="89"/>
  <c r="I14" i="89"/>
  <c r="J57" i="89"/>
  <c r="J63" i="89" s="1"/>
  <c r="J65" i="89" s="1"/>
  <c r="I46" i="89"/>
  <c r="O18" i="88"/>
  <c r="O21" i="88"/>
  <c r="O31" i="88"/>
  <c r="O34" i="88"/>
  <c r="O41" i="88"/>
  <c r="O71" i="88"/>
  <c r="O78" i="88"/>
  <c r="O17" i="88"/>
  <c r="O33" i="88"/>
  <c r="O47" i="88"/>
  <c r="O50" i="88"/>
  <c r="O53" i="88"/>
  <c r="O67" i="88"/>
  <c r="O73" i="88"/>
  <c r="O20" i="88"/>
  <c r="O46" i="88"/>
  <c r="O16" i="88"/>
  <c r="O32" i="88"/>
  <c r="O72" i="88"/>
  <c r="O19" i="88"/>
  <c r="O35" i="88"/>
  <c r="O75" i="88"/>
  <c r="O25" i="88"/>
  <c r="L182" i="88"/>
  <c r="O42" i="88"/>
  <c r="O45" i="88"/>
  <c r="O48" i="88"/>
  <c r="O28" i="88"/>
  <c r="N182" i="88"/>
  <c r="O51" i="88"/>
  <c r="O54" i="88"/>
  <c r="O65" i="88"/>
  <c r="J182" i="88"/>
  <c r="O76" i="88"/>
  <c r="O106" i="88"/>
  <c r="O111" i="88"/>
  <c r="O115" i="88"/>
  <c r="O140" i="88"/>
  <c r="O145" i="88"/>
  <c r="O170" i="88"/>
  <c r="O175" i="88"/>
  <c r="K182" i="88"/>
  <c r="K184" i="88" s="1"/>
  <c r="O74" i="88"/>
  <c r="O100" i="88"/>
  <c r="O105" i="88"/>
  <c r="O130" i="88"/>
  <c r="O135" i="88"/>
  <c r="O139" i="88"/>
  <c r="O164" i="88"/>
  <c r="O169" i="88"/>
  <c r="O90" i="88"/>
  <c r="O95" i="88"/>
  <c r="O129" i="88"/>
  <c r="O154" i="88"/>
  <c r="O159" i="88"/>
  <c r="N37" i="88"/>
  <c r="O66" i="88"/>
  <c r="O84" i="88"/>
  <c r="O89" i="88"/>
  <c r="O114" i="88"/>
  <c r="O119" i="88"/>
  <c r="O123" i="88"/>
  <c r="O148" i="88"/>
  <c r="O153" i="88"/>
  <c r="O177" i="88"/>
  <c r="O68" i="88"/>
  <c r="O99" i="88"/>
  <c r="O163" i="88"/>
  <c r="O178" i="88"/>
  <c r="H14" i="88"/>
  <c r="O60" i="88"/>
  <c r="O83" i="88"/>
  <c r="O108" i="88"/>
  <c r="O113" i="88"/>
  <c r="O138" i="88"/>
  <c r="O143" i="88"/>
  <c r="O147" i="88"/>
  <c r="O172" i="88"/>
  <c r="O107" i="88"/>
  <c r="O171" i="88"/>
  <c r="M182" i="88"/>
  <c r="J14" i="88"/>
  <c r="J37" i="88" s="1"/>
  <c r="H40" i="88"/>
  <c r="O82" i="88"/>
  <c r="O92" i="88"/>
  <c r="O97" i="88"/>
  <c r="O122" i="88"/>
  <c r="O127" i="88"/>
  <c r="O131" i="88"/>
  <c r="O156" i="88"/>
  <c r="O161" i="88"/>
  <c r="O180" i="88"/>
  <c r="O58" i="88"/>
  <c r="O103" i="88"/>
  <c r="O167" i="88"/>
  <c r="I182" i="88"/>
  <c r="I184" i="88" s="1"/>
  <c r="O81" i="88"/>
  <c r="O87" i="88"/>
  <c r="O91" i="88"/>
  <c r="O116" i="88"/>
  <c r="O121" i="88"/>
  <c r="O146" i="88"/>
  <c r="O151" i="88"/>
  <c r="O155" i="88"/>
  <c r="O179" i="88"/>
  <c r="F354" i="86"/>
  <c r="E17" i="48" s="1"/>
  <c r="Z38" i="85"/>
  <c r="Z180" i="85" s="1"/>
  <c r="X180" i="85"/>
  <c r="T35" i="85"/>
  <c r="X13" i="85"/>
  <c r="T180" i="85"/>
  <c r="I229" i="85"/>
  <c r="J195" i="85" s="1"/>
  <c r="J196" i="85" s="1"/>
  <c r="J204" i="85" s="1"/>
  <c r="M184" i="84"/>
  <c r="M39" i="84"/>
  <c r="E60" i="80"/>
  <c r="E61" i="80" s="1"/>
  <c r="E55" i="80"/>
  <c r="E54" i="80"/>
  <c r="E57" i="80"/>
  <c r="E53" i="80"/>
  <c r="E56" i="80"/>
  <c r="D26" i="80"/>
  <c r="D41" i="80" s="1"/>
  <c r="D47" i="80" s="1"/>
  <c r="E9" i="48"/>
  <c r="M184" i="88" l="1"/>
  <c r="G184" i="88"/>
  <c r="N184" i="88"/>
  <c r="N188" i="88" s="1"/>
  <c r="N190" i="88" s="1"/>
  <c r="O15" i="88"/>
  <c r="J177" i="90"/>
  <c r="J161" i="90"/>
  <c r="J83" i="90"/>
  <c r="J134" i="90"/>
  <c r="J84" i="90"/>
  <c r="J128" i="90"/>
  <c r="J17" i="90"/>
  <c r="J175" i="90"/>
  <c r="J138" i="90"/>
  <c r="J172" i="90"/>
  <c r="J110" i="90"/>
  <c r="J146" i="90"/>
  <c r="J92" i="90"/>
  <c r="J88" i="90"/>
  <c r="J87" i="90"/>
  <c r="I15" i="80"/>
  <c r="I26" i="80" s="1"/>
  <c r="I41" i="80" s="1"/>
  <c r="G41" i="80"/>
  <c r="G47" i="80" s="1"/>
  <c r="E58" i="80"/>
  <c r="I45" i="80" s="1"/>
  <c r="J73" i="90"/>
  <c r="J91" i="90"/>
  <c r="J186" i="90"/>
  <c r="J107" i="90"/>
  <c r="J29" i="90"/>
  <c r="J118" i="90"/>
  <c r="J58" i="90"/>
  <c r="J149" i="90"/>
  <c r="J64" i="90"/>
  <c r="J141" i="90"/>
  <c r="J157" i="90"/>
  <c r="J28" i="90"/>
  <c r="J65" i="90"/>
  <c r="J103" i="90"/>
  <c r="J106" i="90"/>
  <c r="J21" i="90"/>
  <c r="J153" i="90"/>
  <c r="J102" i="90"/>
  <c r="J68" i="90"/>
  <c r="J127" i="90"/>
  <c r="J176" i="90"/>
  <c r="J76" i="90"/>
  <c r="J145" i="90"/>
  <c r="J20" i="90"/>
  <c r="J164" i="90"/>
  <c r="J168" i="90"/>
  <c r="J142" i="90"/>
  <c r="J24" i="90"/>
  <c r="J69" i="90"/>
  <c r="J43" i="90"/>
  <c r="J96" i="90"/>
  <c r="J121" i="90"/>
  <c r="J16" i="90"/>
  <c r="J72" i="90"/>
  <c r="J25" i="90"/>
  <c r="J165" i="90"/>
  <c r="J163" i="90"/>
  <c r="J47" i="90"/>
  <c r="J51" i="90"/>
  <c r="J33" i="90"/>
  <c r="I63" i="89"/>
  <c r="H37" i="88"/>
  <c r="O14" i="88"/>
  <c r="L37" i="88"/>
  <c r="L184" i="88" s="1"/>
  <c r="L188" i="88" s="1"/>
  <c r="L190" i="88" s="1"/>
  <c r="H182" i="88"/>
  <c r="O40" i="88"/>
  <c r="O182" i="88" s="1"/>
  <c r="J184" i="88"/>
  <c r="I232" i="85"/>
  <c r="X35" i="85"/>
  <c r="X182" i="85" s="1"/>
  <c r="Z13" i="85"/>
  <c r="Z35" i="85" s="1"/>
  <c r="Z182" i="85" s="1"/>
  <c r="T182" i="85"/>
  <c r="M186" i="84"/>
  <c r="F25" i="77"/>
  <c r="O37" i="88" l="1"/>
  <c r="M190" i="84"/>
  <c r="M192" i="84" s="1"/>
  <c r="H184" i="88"/>
  <c r="O184" i="88" s="1"/>
  <c r="I47" i="80"/>
  <c r="E11" i="48" s="1"/>
  <c r="D22" i="64" s="1"/>
  <c r="E63" i="80"/>
  <c r="J188" i="90"/>
  <c r="J190" i="90" s="1"/>
  <c r="K63" i="89"/>
  <c r="K68" i="89" s="1"/>
  <c r="I65" i="89"/>
  <c r="M193" i="85"/>
  <c r="M199" i="85"/>
  <c r="M195" i="85"/>
  <c r="M201" i="85"/>
  <c r="M192" i="85"/>
  <c r="M194" i="85"/>
  <c r="M198" i="85"/>
  <c r="M200" i="85"/>
  <c r="M191" i="85"/>
  <c r="F12" i="87"/>
  <c r="E8" i="48"/>
  <c r="E7" i="48"/>
  <c r="M200" i="84" l="1"/>
  <c r="M204" i="84"/>
  <c r="M210" i="84"/>
  <c r="M209" i="84"/>
  <c r="M201" i="84"/>
  <c r="M207" i="84"/>
  <c r="M203" i="84"/>
  <c r="M202" i="84"/>
  <c r="M208" i="84"/>
  <c r="H188" i="88"/>
  <c r="H190" i="88" s="1"/>
  <c r="O190" i="88" s="1"/>
  <c r="D13" i="64"/>
  <c r="M202" i="85"/>
  <c r="H200" i="90"/>
  <c r="H199" i="90"/>
  <c r="H206" i="90"/>
  <c r="H198" i="90"/>
  <c r="H205" i="90"/>
  <c r="H197" i="90"/>
  <c r="H204" i="90"/>
  <c r="H196" i="90"/>
  <c r="H203" i="90"/>
  <c r="M196" i="85"/>
  <c r="C19" i="77"/>
  <c r="C20" i="77" s="1"/>
  <c r="C21" i="77" s="1"/>
  <c r="C22" i="77" s="1"/>
  <c r="C23" i="77" s="1"/>
  <c r="C24" i="77" s="1"/>
  <c r="C15" i="77"/>
  <c r="C16" i="77" s="1"/>
  <c r="C17" i="77" s="1"/>
  <c r="C14" i="77"/>
  <c r="B4" i="91"/>
  <c r="B3" i="91"/>
  <c r="B5" i="90"/>
  <c r="B4" i="90"/>
  <c r="A4" i="89"/>
  <c r="A3" i="89"/>
  <c r="A4" i="88"/>
  <c r="A3" i="88"/>
  <c r="A4" i="87"/>
  <c r="A3" i="87"/>
  <c r="A4" i="86"/>
  <c r="A3" i="86"/>
  <c r="A4" i="85"/>
  <c r="A3" i="85"/>
  <c r="A4" i="84"/>
  <c r="A3" i="84"/>
  <c r="A5" i="83"/>
  <c r="A4" i="83"/>
  <c r="A4" i="80"/>
  <c r="A3" i="80"/>
  <c r="A5" i="79"/>
  <c r="A4" i="79"/>
  <c r="A4" i="78"/>
  <c r="A3" i="78"/>
  <c r="A5" i="77"/>
  <c r="A4" i="77"/>
  <c r="A5" i="76"/>
  <c r="A4" i="76"/>
  <c r="F14" i="87"/>
  <c r="F18" i="87" s="1"/>
  <c r="F18" i="48" s="1"/>
  <c r="G57" i="79"/>
  <c r="F40" i="79" s="1"/>
  <c r="K45" i="79"/>
  <c r="J36" i="79"/>
  <c r="I36" i="79"/>
  <c r="H36" i="79"/>
  <c r="G36" i="79"/>
  <c r="F36" i="79"/>
  <c r="J26" i="79"/>
  <c r="J28" i="79" s="1"/>
  <c r="I26" i="79"/>
  <c r="I28" i="79" s="1"/>
  <c r="H26" i="79"/>
  <c r="H28" i="79" s="1"/>
  <c r="G26" i="79"/>
  <c r="G28" i="79" s="1"/>
  <c r="F26" i="79"/>
  <c r="F31" i="79" s="1"/>
  <c r="E16" i="78"/>
  <c r="E18" i="78" s="1"/>
  <c r="E20" i="78" s="1"/>
  <c r="E24" i="78" s="1"/>
  <c r="E26" i="78" s="1"/>
  <c r="A14" i="78"/>
  <c r="A15" i="78" s="1"/>
  <c r="A16" i="78" s="1"/>
  <c r="A17" i="78" s="1"/>
  <c r="A18" i="78" s="1"/>
  <c r="A19" i="78" s="1"/>
  <c r="A20" i="78" s="1"/>
  <c r="A21" i="78" s="1"/>
  <c r="A22" i="78" s="1"/>
  <c r="A23" i="78" s="1"/>
  <c r="A24" i="78" s="1"/>
  <c r="A25" i="78" s="1"/>
  <c r="A26" i="78" s="1"/>
  <c r="A13" i="78"/>
  <c r="A12" i="78"/>
  <c r="H25" i="77"/>
  <c r="H27" i="77" s="1"/>
  <c r="H31" i="77" s="1"/>
  <c r="F27" i="77"/>
  <c r="F31" i="77" s="1"/>
  <c r="D8" i="48" s="1"/>
  <c r="H25" i="76"/>
  <c r="H27" i="76" s="1"/>
  <c r="H31" i="76" s="1"/>
  <c r="F25" i="76"/>
  <c r="C14" i="76"/>
  <c r="C15" i="76" s="1"/>
  <c r="C16" i="76" s="1"/>
  <c r="C17" i="76" s="1"/>
  <c r="C19" i="76" s="1"/>
  <c r="C20" i="76" s="1"/>
  <c r="C21" i="76" s="1"/>
  <c r="C22" i="76" s="1"/>
  <c r="C23" i="76" s="1"/>
  <c r="C24" i="76" s="1"/>
  <c r="M211" i="84" l="1"/>
  <c r="M205" i="84"/>
  <c r="E15" i="48" s="1"/>
  <c r="O188" i="88"/>
  <c r="D35" i="64"/>
  <c r="F28" i="48"/>
  <c r="M213" i="84"/>
  <c r="M204" i="85"/>
  <c r="E16" i="48"/>
  <c r="H201" i="90"/>
  <c r="E21" i="48" s="1"/>
  <c r="H207" i="90"/>
  <c r="I202" i="88"/>
  <c r="I201" i="88"/>
  <c r="I208" i="88"/>
  <c r="I200" i="88"/>
  <c r="I207" i="88"/>
  <c r="I199" i="88"/>
  <c r="I206" i="88"/>
  <c r="I205" i="88"/>
  <c r="I198" i="88"/>
  <c r="G40" i="79"/>
  <c r="G41" i="79" s="1"/>
  <c r="I40" i="79"/>
  <c r="H31" i="79"/>
  <c r="H32" i="79" s="1"/>
  <c r="H37" i="79" s="1"/>
  <c r="G31" i="79"/>
  <c r="G32" i="79" s="1"/>
  <c r="G37" i="79" s="1"/>
  <c r="F27" i="76"/>
  <c r="F31" i="76" s="1"/>
  <c r="D7" i="48" s="1"/>
  <c r="H40" i="79"/>
  <c r="F28" i="79"/>
  <c r="F32" i="79" s="1"/>
  <c r="I31" i="79"/>
  <c r="I32" i="79" s="1"/>
  <c r="I37" i="79" s="1"/>
  <c r="J31" i="79"/>
  <c r="J32" i="79" s="1"/>
  <c r="J37" i="79" s="1"/>
  <c r="I209" i="88" l="1"/>
  <c r="D8" i="64"/>
  <c r="D10" i="64" s="1"/>
  <c r="H209" i="90"/>
  <c r="I203" i="88"/>
  <c r="K32" i="79"/>
  <c r="F41" i="79"/>
  <c r="F37" i="79"/>
  <c r="K37" i="79" s="1"/>
  <c r="F47" i="79" s="1"/>
  <c r="H41" i="79"/>
  <c r="J40" i="79"/>
  <c r="J41" i="79" s="1"/>
  <c r="I41" i="79"/>
  <c r="C9" i="64"/>
  <c r="C8" i="64" s="1"/>
  <c r="C10" i="64" s="1"/>
  <c r="I211" i="88" l="1"/>
  <c r="E19" i="48"/>
  <c r="D19" i="64" s="1"/>
  <c r="D20" i="64" s="1"/>
  <c r="D28" i="64" s="1"/>
  <c r="D30" i="64" s="1"/>
  <c r="D38" i="64" s="1"/>
  <c r="F49" i="79"/>
  <c r="K41" i="79"/>
  <c r="G47" i="79" s="1"/>
  <c r="G49" i="79" s="1"/>
  <c r="E28" i="48" l="1"/>
  <c r="K47" i="79"/>
  <c r="K49" i="79" s="1"/>
  <c r="E40" i="64"/>
  <c r="E36" i="64"/>
  <c r="E34" i="64"/>
  <c r="E33" i="64"/>
  <c r="E32" i="64"/>
  <c r="E26" i="64"/>
  <c r="E25" i="64"/>
  <c r="E14" i="64"/>
  <c r="E15" i="64"/>
  <c r="E16" i="64"/>
  <c r="E17" i="64"/>
  <c r="E18" i="64"/>
  <c r="E9" i="64" l="1"/>
  <c r="Q6" i="36" l="1"/>
  <c r="Q4" i="36"/>
  <c r="B1" i="36" l="1"/>
  <c r="A1" i="48"/>
  <c r="P6" i="36" l="1"/>
  <c r="P4" i="36"/>
  <c r="O6" i="36"/>
  <c r="O4" i="36"/>
  <c r="O40" i="36"/>
  <c r="O24" i="36"/>
  <c r="O12" i="36"/>
  <c r="N6" i="36"/>
  <c r="M6" i="36"/>
  <c r="L6" i="36"/>
  <c r="K6" i="36"/>
  <c r="J6" i="36"/>
  <c r="I6" i="36"/>
  <c r="H6" i="36"/>
  <c r="G6" i="36"/>
  <c r="F6" i="36"/>
  <c r="E6" i="36"/>
  <c r="D6" i="36"/>
  <c r="C6" i="36"/>
  <c r="A1" i="65" l="1"/>
  <c r="G27" i="48"/>
  <c r="E23" i="36" l="1"/>
  <c r="G9" i="48"/>
  <c r="E62" i="65"/>
  <c r="D62" i="65"/>
  <c r="E52" i="65"/>
  <c r="D52" i="65"/>
  <c r="E44" i="65"/>
  <c r="D44" i="65"/>
  <c r="E30" i="65"/>
  <c r="D30" i="65"/>
  <c r="E18" i="65"/>
  <c r="E12" i="65"/>
  <c r="D12" i="65"/>
  <c r="F8" i="65"/>
  <c r="A8" i="65"/>
  <c r="A9" i="65" s="1"/>
  <c r="A10" i="65" s="1"/>
  <c r="A11" i="65" s="1"/>
  <c r="A12" i="65" s="1"/>
  <c r="A13" i="65" s="1"/>
  <c r="A14" i="65" s="1"/>
  <c r="A15" i="65" s="1"/>
  <c r="A16" i="65" s="1"/>
  <c r="A17" i="65" s="1"/>
  <c r="A18" i="65" s="1"/>
  <c r="A19" i="65" s="1"/>
  <c r="A20" i="65" s="1"/>
  <c r="A21" i="65" s="1"/>
  <c r="A22" i="65" s="1"/>
  <c r="A23" i="65" s="1"/>
  <c r="A24" i="65" s="1"/>
  <c r="A25" i="65" s="1"/>
  <c r="A26" i="65" s="1"/>
  <c r="A27" i="65" s="1"/>
  <c r="A28" i="65" s="1"/>
  <c r="A29" i="65" s="1"/>
  <c r="A30" i="65" s="1"/>
  <c r="A31" i="65" s="1"/>
  <c r="A32" i="65" s="1"/>
  <c r="A33" i="65" s="1"/>
  <c r="A34" i="65" s="1"/>
  <c r="A35" i="65" s="1"/>
  <c r="A36" i="65" s="1"/>
  <c r="A37" i="65" s="1"/>
  <c r="A38" i="65" s="1"/>
  <c r="A39" i="65" s="1"/>
  <c r="A41" i="65" s="1"/>
  <c r="A42" i="65" s="1"/>
  <c r="A43" i="65" s="1"/>
  <c r="A44" i="65" s="1"/>
  <c r="A45" i="65" s="1"/>
  <c r="A46" i="65" s="1"/>
  <c r="A47" i="65" s="1"/>
  <c r="A48" i="65" s="1"/>
  <c r="D6" i="65"/>
  <c r="E6" i="65" s="1"/>
  <c r="C46" i="64"/>
  <c r="E45" i="64"/>
  <c r="F45" i="64" s="1"/>
  <c r="F40" i="64"/>
  <c r="F36" i="64"/>
  <c r="F34" i="64"/>
  <c r="F33" i="64"/>
  <c r="F32" i="64"/>
  <c r="F26" i="64"/>
  <c r="F25" i="64"/>
  <c r="C20" i="64"/>
  <c r="C28" i="64" s="1"/>
  <c r="F18" i="64"/>
  <c r="F17" i="64"/>
  <c r="F16" i="64"/>
  <c r="F15" i="64"/>
  <c r="F14" i="64"/>
  <c r="F9" i="64"/>
  <c r="A8" i="64"/>
  <c r="A9" i="64" s="1"/>
  <c r="A10" i="64" s="1"/>
  <c r="A11" i="64" s="1"/>
  <c r="A12" i="64" s="1"/>
  <c r="A13" i="64" s="1"/>
  <c r="A14" i="64" s="1"/>
  <c r="A15" i="64" s="1"/>
  <c r="A16" i="64" s="1"/>
  <c r="A17" i="64" s="1"/>
  <c r="A18" i="64" s="1"/>
  <c r="A19" i="64" s="1"/>
  <c r="A20" i="64" s="1"/>
  <c r="A21" i="64" s="1"/>
  <c r="A22" i="64" s="1"/>
  <c r="A23" i="64" s="1"/>
  <c r="A24" i="64" s="1"/>
  <c r="A25" i="64" s="1"/>
  <c r="A26" i="64" s="1"/>
  <c r="C6" i="64"/>
  <c r="A49" i="65" l="1"/>
  <c r="A51" i="65" s="1"/>
  <c r="A52" i="65" s="1"/>
  <c r="A53" i="65" s="1"/>
  <c r="A54" i="65" s="1"/>
  <c r="A55" i="65" s="1"/>
  <c r="A56" i="65" s="1"/>
  <c r="A57" i="65" s="1"/>
  <c r="A58" i="65" s="1"/>
  <c r="A59" i="65" s="1"/>
  <c r="A60" i="65" s="1"/>
  <c r="A61" i="65" s="1"/>
  <c r="A62" i="65" s="1"/>
  <c r="A63" i="65" s="1"/>
  <c r="A64" i="65" s="1"/>
  <c r="A65" i="65" s="1"/>
  <c r="A66" i="65" s="1"/>
  <c r="A50" i="65"/>
  <c r="E66" i="65"/>
  <c r="A27" i="64"/>
  <c r="A28" i="64" s="1"/>
  <c r="A29" i="64" s="1"/>
  <c r="A30" i="64" s="1"/>
  <c r="A31" i="64" s="1"/>
  <c r="A32" i="64" s="1"/>
  <c r="A33" i="64" s="1"/>
  <c r="A34" i="64" s="1"/>
  <c r="A35" i="64" s="1"/>
  <c r="A36" i="64" s="1"/>
  <c r="A37" i="64" s="1"/>
  <c r="A38" i="64" s="1"/>
  <c r="A39" i="64" s="1"/>
  <c r="A40" i="64" s="1"/>
  <c r="A41" i="64" s="1"/>
  <c r="A42" i="64" s="1"/>
  <c r="A43" i="64" s="1"/>
  <c r="A44" i="64" s="1"/>
  <c r="A46" i="64" s="1"/>
  <c r="A47" i="64" s="1"/>
  <c r="A48" i="64" s="1"/>
  <c r="A49" i="64" s="1"/>
  <c r="A50" i="64" s="1"/>
  <c r="D35" i="65"/>
  <c r="E35" i="65"/>
  <c r="I23" i="36"/>
  <c r="G13" i="48"/>
  <c r="N38" i="36"/>
  <c r="G18" i="48"/>
  <c r="C47" i="64"/>
  <c r="C30" i="64"/>
  <c r="D66" i="65"/>
  <c r="E35" i="64" l="1"/>
  <c r="F35" i="64" s="1"/>
  <c r="M23" i="36"/>
  <c r="G17" i="48"/>
  <c r="H23" i="36"/>
  <c r="G12" i="48"/>
  <c r="C38" i="64"/>
  <c r="C41" i="64"/>
  <c r="G14" i="48" l="1"/>
  <c r="C43" i="64"/>
  <c r="C42" i="64"/>
  <c r="C48" i="64"/>
  <c r="P28" i="36" l="1"/>
  <c r="E24" i="64"/>
  <c r="G20" i="48"/>
  <c r="N4" i="36"/>
  <c r="M4" i="36"/>
  <c r="L4" i="36"/>
  <c r="K4" i="36"/>
  <c r="J4" i="36"/>
  <c r="I4" i="36"/>
  <c r="H4" i="36"/>
  <c r="G4" i="36"/>
  <c r="F4" i="36"/>
  <c r="E4" i="36"/>
  <c r="D4" i="36"/>
  <c r="C4" i="36"/>
  <c r="G15" i="48" l="1"/>
  <c r="E46" i="64"/>
  <c r="F24" i="64"/>
  <c r="F46" i="64" l="1"/>
  <c r="G16" i="48"/>
  <c r="L23" i="36" l="1"/>
  <c r="Q23" i="36" l="1"/>
  <c r="G21" i="48"/>
  <c r="E19" i="64" l="1"/>
  <c r="F19" i="64" s="1"/>
  <c r="O27" i="36"/>
  <c r="O31" i="36" s="1"/>
  <c r="G19" i="48"/>
  <c r="E23" i="64" l="1"/>
  <c r="F23" i="64" s="1"/>
  <c r="O33" i="36"/>
  <c r="O42" i="36" s="1"/>
  <c r="X18" i="36" l="1"/>
  <c r="X19" i="36"/>
  <c r="X20" i="36"/>
  <c r="X21" i="36"/>
  <c r="X22" i="36"/>
  <c r="K23" i="36" l="1"/>
  <c r="G26" i="36" l="1"/>
  <c r="G11" i="48"/>
  <c r="G28" i="48" s="1"/>
  <c r="E22" i="64" l="1"/>
  <c r="F22" i="64" s="1"/>
  <c r="D5" i="48"/>
  <c r="E5" i="48" s="1"/>
  <c r="F5" i="48" s="1"/>
  <c r="G5" i="48" s="1"/>
  <c r="X39" i="36" l="1"/>
  <c r="X37" i="36"/>
  <c r="X35" i="36"/>
  <c r="X30" i="36"/>
  <c r="X29" i="36"/>
  <c r="W40" i="36" l="1"/>
  <c r="W24" i="36"/>
  <c r="W31" i="36" s="1"/>
  <c r="W33" i="36" l="1"/>
  <c r="W42" i="36" s="1"/>
  <c r="X27" i="36" l="1"/>
  <c r="X26" i="36" l="1"/>
  <c r="X28" i="36"/>
  <c r="S40" i="36" l="1"/>
  <c r="V40" i="36"/>
  <c r="R40" i="36"/>
  <c r="Q40" i="36"/>
  <c r="N40" i="36"/>
  <c r="M40" i="36"/>
  <c r="L40" i="36"/>
  <c r="K40" i="36"/>
  <c r="J40" i="36"/>
  <c r="I40" i="36"/>
  <c r="H40" i="36"/>
  <c r="F40" i="36"/>
  <c r="E40" i="36"/>
  <c r="D40" i="36"/>
  <c r="C40" i="36"/>
  <c r="Q24" i="36"/>
  <c r="Q31" i="36" s="1"/>
  <c r="P24" i="36"/>
  <c r="P31" i="36" s="1"/>
  <c r="L24" i="36"/>
  <c r="L31" i="36" s="1"/>
  <c r="K24" i="36"/>
  <c r="K31" i="36" s="1"/>
  <c r="G24" i="36"/>
  <c r="G31" i="36" s="1"/>
  <c r="Q12" i="36"/>
  <c r="P12" i="36"/>
  <c r="N12" i="36"/>
  <c r="M12" i="36"/>
  <c r="L12" i="36"/>
  <c r="K12" i="36"/>
  <c r="J12" i="36"/>
  <c r="I12" i="36"/>
  <c r="G12" i="36"/>
  <c r="E12" i="36"/>
  <c r="A8" i="36"/>
  <c r="A9" i="36" s="1"/>
  <c r="A10" i="36" s="1"/>
  <c r="A11" i="36" s="1"/>
  <c r="A12" i="36" s="1"/>
  <c r="A13" i="36" s="1"/>
  <c r="A14" i="36" s="1"/>
  <c r="L33" i="36" l="1"/>
  <c r="L42" i="36" s="1"/>
  <c r="Q33" i="36"/>
  <c r="Q42" i="36" s="1"/>
  <c r="A15" i="36"/>
  <c r="A16" i="36" s="1"/>
  <c r="A17" i="36" s="1"/>
  <c r="A18" i="36" s="1"/>
  <c r="A19" i="36" s="1"/>
  <c r="A20" i="36" s="1"/>
  <c r="A21" i="36" s="1"/>
  <c r="A22" i="36" s="1"/>
  <c r="A23" i="36" s="1"/>
  <c r="A24" i="36" s="1"/>
  <c r="A25" i="36" s="1"/>
  <c r="A26" i="36" s="1"/>
  <c r="A27" i="36" s="1"/>
  <c r="A28" i="36" s="1"/>
  <c r="A29" i="36" s="1"/>
  <c r="A30" i="36" s="1"/>
  <c r="A31" i="36" s="1"/>
  <c r="A32" i="36" s="1"/>
  <c r="A33" i="36" s="1"/>
  <c r="G33" i="36"/>
  <c r="K33" i="36"/>
  <c r="K42" i="36" s="1"/>
  <c r="P33" i="36"/>
  <c r="A34" i="36" l="1"/>
  <c r="A35" i="36" s="1"/>
  <c r="A37" i="36" s="1"/>
  <c r="A38" i="36" s="1"/>
  <c r="A39" i="36" s="1"/>
  <c r="A40" i="36" s="1"/>
  <c r="A41" i="36" s="1"/>
  <c r="A42" i="36" s="1"/>
  <c r="M24" i="36" l="1"/>
  <c r="M31" i="36" s="1"/>
  <c r="E24" i="36" l="1"/>
  <c r="E31" i="36" s="1"/>
  <c r="V24" i="36"/>
  <c r="V31" i="36" s="1"/>
  <c r="N24" i="36"/>
  <c r="N31" i="36" s="1"/>
  <c r="M33" i="36"/>
  <c r="M42" i="36" s="1"/>
  <c r="I24" i="36"/>
  <c r="F16" i="36" l="1"/>
  <c r="G10" i="48"/>
  <c r="F9" i="36"/>
  <c r="X15" i="36"/>
  <c r="F24" i="36"/>
  <c r="F31" i="36" s="1"/>
  <c r="J23" i="36"/>
  <c r="E33" i="36"/>
  <c r="E42" i="36" s="1"/>
  <c r="I31" i="36"/>
  <c r="N33" i="36"/>
  <c r="N42" i="36" s="1"/>
  <c r="P40" i="36"/>
  <c r="X9" i="36" l="1"/>
  <c r="F12" i="36"/>
  <c r="G40" i="36"/>
  <c r="X38" i="36"/>
  <c r="J24" i="36"/>
  <c r="J31" i="36" s="1"/>
  <c r="X23" i="36"/>
  <c r="I33" i="36"/>
  <c r="V33" i="36"/>
  <c r="V42" i="36" s="1"/>
  <c r="P42" i="36"/>
  <c r="X40" i="36" l="1"/>
  <c r="H24" i="36"/>
  <c r="H31" i="36" s="1"/>
  <c r="X16" i="36"/>
  <c r="H12" i="36"/>
  <c r="X11" i="36"/>
  <c r="F33" i="36"/>
  <c r="F42" i="36" s="1"/>
  <c r="J33" i="36"/>
  <c r="J42" i="36" s="1"/>
  <c r="G42" i="36"/>
  <c r="I42" i="36"/>
  <c r="H33" i="36" l="1"/>
  <c r="H42" i="36" s="1"/>
  <c r="S12" i="36" l="1"/>
  <c r="E8" i="64"/>
  <c r="C10" i="36"/>
  <c r="C12" i="36" s="1"/>
  <c r="C17" i="36"/>
  <c r="C24" i="36" s="1"/>
  <c r="C31" i="36" s="1"/>
  <c r="G7" i="48"/>
  <c r="S24" i="36"/>
  <c r="S31" i="36" s="1"/>
  <c r="E13" i="64"/>
  <c r="R24" i="36"/>
  <c r="R12" i="36"/>
  <c r="S33" i="36" l="1"/>
  <c r="S42" i="36" s="1"/>
  <c r="D10" i="36"/>
  <c r="D12" i="36" s="1"/>
  <c r="G8" i="48"/>
  <c r="C33" i="36"/>
  <c r="C42" i="36" s="1"/>
  <c r="D17" i="36"/>
  <c r="R31" i="36"/>
  <c r="R33" i="36" s="1"/>
  <c r="X12" i="36" l="1"/>
  <c r="X10" i="36"/>
  <c r="E10" i="64"/>
  <c r="E20" i="64"/>
  <c r="E28" i="64" s="1"/>
  <c r="F13" i="64"/>
  <c r="D24" i="36"/>
  <c r="X17" i="36"/>
  <c r="R42" i="36"/>
  <c r="F20" i="64" l="1"/>
  <c r="E47" i="64"/>
  <c r="E30" i="64"/>
  <c r="D31" i="36"/>
  <c r="X24" i="36"/>
  <c r="F28" i="64" l="1"/>
  <c r="E41" i="64"/>
  <c r="E38" i="64"/>
  <c r="D33" i="36"/>
  <c r="X31" i="36"/>
  <c r="F47" i="64" l="1"/>
  <c r="E42" i="64"/>
  <c r="E43" i="64"/>
  <c r="E48" i="64"/>
  <c r="D42" i="36"/>
  <c r="X42" i="36" s="1"/>
  <c r="X33" i="36"/>
  <c r="E50" i="64" l="1"/>
  <c r="F51" i="64" s="1"/>
  <c r="F8" i="64" l="1"/>
  <c r="F10" i="64" s="1"/>
  <c r="F30" i="64" l="1"/>
  <c r="F38" i="64" s="1"/>
  <c r="F42" i="64" s="1"/>
  <c r="F41" i="64" l="1"/>
  <c r="F50" i="64"/>
  <c r="F48" i="64"/>
  <c r="F43" i="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Carrie Bessinger</author>
  </authors>
  <commentList>
    <comment ref="K12" authorId="0" shapeId="0" xr:uid="{EF74BF94-D6C7-42A9-A270-1FFC1C005828}">
      <text>
        <r>
          <rPr>
            <b/>
            <sz val="9"/>
            <color indexed="81"/>
            <rFont val="Tahoma"/>
            <family val="2"/>
          </rPr>
          <t>Carrie Bessinger:</t>
        </r>
        <r>
          <rPr>
            <sz val="9"/>
            <color indexed="81"/>
            <rFont val="Tahoma"/>
            <family val="2"/>
          </rPr>
          <t xml:space="preserve">
KEC Annual Meeting</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<sst xmlns="http://schemas.openxmlformats.org/spreadsheetml/2006/main" count="4395" uniqueCount="1233">
  <si>
    <t>Line</t>
  </si>
  <si>
    <t>Description</t>
  </si>
  <si>
    <t>Sep</t>
  </si>
  <si>
    <t>Oct</t>
  </si>
  <si>
    <t>Nov</t>
  </si>
  <si>
    <t>Dec</t>
  </si>
  <si>
    <t>Jan</t>
  </si>
  <si>
    <t>Feb</t>
  </si>
  <si>
    <t>Mar</t>
  </si>
  <si>
    <t>Apr</t>
  </si>
  <si>
    <t>May</t>
  </si>
  <si>
    <t>Jun</t>
  </si>
  <si>
    <t>Jul</t>
  </si>
  <si>
    <t>Aug</t>
  </si>
  <si>
    <t>TOTAL</t>
  </si>
  <si>
    <t>Adjustment</t>
  </si>
  <si>
    <t>Year</t>
  </si>
  <si>
    <t>Month</t>
  </si>
  <si>
    <t>(1)</t>
  </si>
  <si>
    <t>(3)</t>
  </si>
  <si>
    <t>(2)</t>
  </si>
  <si>
    <t>#</t>
  </si>
  <si>
    <t>Subtotal</t>
  </si>
  <si>
    <t>Revenue</t>
  </si>
  <si>
    <t>Expense</t>
  </si>
  <si>
    <t>(4)</t>
  </si>
  <si>
    <t>Reference Schedule:  1.02</t>
  </si>
  <si>
    <t>Reference Schedule:  1.01</t>
  </si>
  <si>
    <t>Reference Schedule:  1.08</t>
  </si>
  <si>
    <t>Depreciation</t>
  </si>
  <si>
    <t>Rate Case Expenses</t>
  </si>
  <si>
    <t>G&amp;T Capital Credits</t>
  </si>
  <si>
    <t xml:space="preserve">Revenue </t>
  </si>
  <si>
    <t>Total Cost of Electric Service</t>
  </si>
  <si>
    <t>Non-Operating Margins - Interest</t>
  </si>
  <si>
    <t>Non-Operating Margins - Other</t>
  </si>
  <si>
    <t>Test Year Amount</t>
  </si>
  <si>
    <t>Pro Forma Year Amount</t>
  </si>
  <si>
    <t>This adjustment removes the FAC revenues and expenses from the test period.</t>
  </si>
  <si>
    <t>This adjustment removes the Envionmental Surcharge revenues and expenses from the test period.</t>
  </si>
  <si>
    <t>Item</t>
  </si>
  <si>
    <t>Total Amount</t>
  </si>
  <si>
    <t>Amortization Period (Years)</t>
  </si>
  <si>
    <t>Total</t>
  </si>
  <si>
    <t>Annual Amortization Amount</t>
  </si>
  <si>
    <t>This adjustment estimates the rate case costs amortized over a 3 year period, consistent with standard Commission practice.</t>
  </si>
  <si>
    <t>Year-End Customers</t>
  </si>
  <si>
    <t>(5)</t>
  </si>
  <si>
    <t>(6)</t>
  </si>
  <si>
    <t>(7)</t>
  </si>
  <si>
    <t>(8)</t>
  </si>
  <si>
    <t>Average</t>
  </si>
  <si>
    <t>Total kWh</t>
  </si>
  <si>
    <t>Average kWh</t>
  </si>
  <si>
    <t>Year-End kWh Adjustment</t>
  </si>
  <si>
    <t>Current Base Rate Revenue</t>
  </si>
  <si>
    <t>Average Revenue per kWh</t>
  </si>
  <si>
    <t>Year End Revenue Adj</t>
  </si>
  <si>
    <t>Revenue Adjustment</t>
  </si>
  <si>
    <t>Expense Adjustment</t>
  </si>
  <si>
    <t>Year End Expense Adj</t>
  </si>
  <si>
    <t>Total Purchased Power Expense</t>
  </si>
  <si>
    <t>Less Environmental Surcharge</t>
  </si>
  <si>
    <t>Less Fuel Adjustment Clause</t>
  </si>
  <si>
    <t>Adjusted Purchased Power Expense</t>
  </si>
  <si>
    <t>Total Purchased Power kWh</t>
  </si>
  <si>
    <t>End of Period Increase over Avg</t>
  </si>
  <si>
    <t>For Expense Adjustment:</t>
  </si>
  <si>
    <t>Avg Adj Purchase Exp per kWh</t>
  </si>
  <si>
    <t>Net Rev</t>
  </si>
  <si>
    <t>Interest on LTD</t>
  </si>
  <si>
    <t>TIER</t>
  </si>
  <si>
    <t>Operating Revenues</t>
  </si>
  <si>
    <t>Operating Expenses:</t>
  </si>
  <si>
    <t>Purchased Power</t>
  </si>
  <si>
    <t>Distribution Operations</t>
  </si>
  <si>
    <t>Distribution Maintenance</t>
  </si>
  <si>
    <t>Customer Accounts</t>
  </si>
  <si>
    <t>Customer Service</t>
  </si>
  <si>
    <t>Sales Expense</t>
  </si>
  <si>
    <t>A&amp;G</t>
  </si>
  <si>
    <t>Total O&amp;M Expense</t>
  </si>
  <si>
    <t xml:space="preserve">Depreciation </t>
  </si>
  <si>
    <t>Taxes - Other</t>
  </si>
  <si>
    <t>Interest - Other</t>
  </si>
  <si>
    <t>Other Deductions</t>
  </si>
  <si>
    <t>Utility Operating Margins</t>
  </si>
  <si>
    <t>Other Capital Credits</t>
  </si>
  <si>
    <t>Net Margins</t>
  </si>
  <si>
    <t>TIER excluding GTCC</t>
  </si>
  <si>
    <t>OTIER</t>
  </si>
  <si>
    <t>Operating Revenues:</t>
  </si>
  <si>
    <t>Services</t>
  </si>
  <si>
    <t>Total Revenues</t>
  </si>
  <si>
    <t xml:space="preserve">        Base Rates</t>
  </si>
  <si>
    <t xml:space="preserve">    Total Operating Expenses</t>
  </si>
  <si>
    <t>Total Non-Operating Margins</t>
  </si>
  <si>
    <t>Interest on Long Term Debt</t>
  </si>
  <si>
    <t>Interest Expense - Other</t>
  </si>
  <si>
    <t>Base Rates</t>
  </si>
  <si>
    <t>Other Electric Revenue</t>
  </si>
  <si>
    <t>Distribution - Operations</t>
  </si>
  <si>
    <t>Distribution - Maintenance</t>
  </si>
  <si>
    <t>Consumer Accounts</t>
  </si>
  <si>
    <t>Sales</t>
  </si>
  <si>
    <t>Administrative and General</t>
  </si>
  <si>
    <t>Consulting - Catalyst Consulting LLC</t>
  </si>
  <si>
    <t>Actual Test Yr</t>
  </si>
  <si>
    <t>Pro Forma Test Yr</t>
  </si>
  <si>
    <t>Check</t>
  </si>
  <si>
    <t>Reference Schedule:  1.05</t>
  </si>
  <si>
    <t>Reference Schedule:  1.10</t>
  </si>
  <si>
    <t>Environmental Surcharge</t>
  </si>
  <si>
    <t xml:space="preserve">Fuel Adjustment Clause </t>
  </si>
  <si>
    <t>Transportation</t>
  </si>
  <si>
    <t>Administrative &amp; General</t>
  </si>
  <si>
    <t>580-589</t>
  </si>
  <si>
    <t>Operations</t>
  </si>
  <si>
    <t>590-598</t>
  </si>
  <si>
    <t>Maintenance</t>
  </si>
  <si>
    <t>901-905</t>
  </si>
  <si>
    <t>920-935</t>
  </si>
  <si>
    <t>Pro Forma Adj</t>
  </si>
  <si>
    <t>A</t>
  </si>
  <si>
    <t>B</t>
  </si>
  <si>
    <t>Alloc</t>
  </si>
  <si>
    <t>Labor $</t>
  </si>
  <si>
    <t>Test Yr Ending Bal</t>
  </si>
  <si>
    <t>Normalized Expense</t>
  </si>
  <si>
    <t>Test Year Expense</t>
  </si>
  <si>
    <t>Acct #</t>
  </si>
  <si>
    <t>Fully Depr Items</t>
  </si>
  <si>
    <t>Distribution Plant</t>
  </si>
  <si>
    <t>Station equipment</t>
  </si>
  <si>
    <t>Poles, towers &amp; fixtures</t>
  </si>
  <si>
    <t>Overhead conductors &amp; devices</t>
  </si>
  <si>
    <t>Underground conductor &amp; devices</t>
  </si>
  <si>
    <t>Line transformers</t>
  </si>
  <si>
    <t>Land</t>
  </si>
  <si>
    <t>General Plant</t>
  </si>
  <si>
    <t>Transporation Charged to Clearing</t>
  </si>
  <si>
    <t>Allocation of Clearing to O&amp;M</t>
  </si>
  <si>
    <t>Depr $</t>
  </si>
  <si>
    <t>Distribution &amp; General Subtotal</t>
  </si>
  <si>
    <t>Total Operating Revenue</t>
  </si>
  <si>
    <t>Total Sales of Electric Energy</t>
  </si>
  <si>
    <t>Cash Receipts from Lenders</t>
  </si>
  <si>
    <t>Pro Forma Amount</t>
  </si>
  <si>
    <t>Summary of Pro Forma Adjustments</t>
  </si>
  <si>
    <t>Fuel Adjustment Clause</t>
  </si>
  <si>
    <t>Non-Operating Income</t>
  </si>
  <si>
    <t>Net Margin</t>
  </si>
  <si>
    <t>This adjustment adjusts the test year expenses and revenues to reflect the number of customers at the end of the test year.</t>
  </si>
  <si>
    <t>Reference Schedule</t>
  </si>
  <si>
    <t>Summary of Adjustments to Test Year Statement of Operations</t>
  </si>
  <si>
    <t>Summary of Adjustments to Test Year Balance Sheet</t>
  </si>
  <si>
    <t>Assets and Other Debits</t>
  </si>
  <si>
    <t>Total Utility Plant in Service</t>
  </si>
  <si>
    <t>Construction Work in Progress</t>
  </si>
  <si>
    <t>Accum Provision for Depr and Amort</t>
  </si>
  <si>
    <t>Net Utility Plant</t>
  </si>
  <si>
    <t>Investment in Assoc Org - Patr Capital</t>
  </si>
  <si>
    <t>Investment in Assoc Org - Other Gen Fnd</t>
  </si>
  <si>
    <t>Investment in Assoc Org - Non Gen Fnd</t>
  </si>
  <si>
    <t>Other Investment</t>
  </si>
  <si>
    <t>Total Other Prop &amp; Investments</t>
  </si>
  <si>
    <t>Cash - General Funds</t>
  </si>
  <si>
    <t>Cash - Construction Fund Trust</t>
  </si>
  <si>
    <t>Special Deposits</t>
  </si>
  <si>
    <t>Temporary Investments</t>
  </si>
  <si>
    <t>Accts Receivable - Other (Net)</t>
  </si>
  <si>
    <t>Accts Receivable - Sales Energy (Net)</t>
  </si>
  <si>
    <t>Renewable Energy Credits</t>
  </si>
  <si>
    <t>Material &amp; Supplies - Elec &amp; Other</t>
  </si>
  <si>
    <t>Prepayments</t>
  </si>
  <si>
    <t>Other Current &amp; Accr Assets</t>
  </si>
  <si>
    <t>Total Current &amp; Accr Assets</t>
  </si>
  <si>
    <t>Other Regulatory Assets</t>
  </si>
  <si>
    <t>Other Deferred Debits</t>
  </si>
  <si>
    <t>Total Assets &amp; Other Debits</t>
  </si>
  <si>
    <t>Liabilities &amp; Other Credits</t>
  </si>
  <si>
    <t>Memberships</t>
  </si>
  <si>
    <t>Patronage Capital</t>
  </si>
  <si>
    <t>Operating Margins - Current Year</t>
  </si>
  <si>
    <t>Non-Operating Margins</t>
  </si>
  <si>
    <t>Other Margins &amp; Equities</t>
  </si>
  <si>
    <t>Total Margins &amp; Equities</t>
  </si>
  <si>
    <t>Long Term Debt - FFB - RUS GUAR</t>
  </si>
  <si>
    <t>Long Term Debt - Other (Net)</t>
  </si>
  <si>
    <t>Long Term Debt - RUS -Econ Dev - Net</t>
  </si>
  <si>
    <t>Total Long Term Debt</t>
  </si>
  <si>
    <t>Accum Operating Provisions</t>
  </si>
  <si>
    <t>Notes Payable</t>
  </si>
  <si>
    <t>Accounts Payable</t>
  </si>
  <si>
    <t>Consumer Deposits</t>
  </si>
  <si>
    <t>Other Current &amp; Accr Liabilities</t>
  </si>
  <si>
    <t>Total Current &amp; Accr Liabilities</t>
  </si>
  <si>
    <t>Regulatory Liabilities</t>
  </si>
  <si>
    <t>Other Deferred Credits</t>
  </si>
  <si>
    <t>Total Liabilities &amp; Other Credits</t>
  </si>
  <si>
    <t>Pro Forma Adjs</t>
  </si>
  <si>
    <t>Statement of Operations &amp; Revenue Requirement</t>
  </si>
  <si>
    <t>Income(Loss) from Equity Investments</t>
  </si>
  <si>
    <t>29a</t>
  </si>
  <si>
    <t>Income(Loss) from Equity Invstmts</t>
  </si>
  <si>
    <t>Revenue Requirement</t>
  </si>
  <si>
    <t>Revenue Deficiency (Excess)</t>
  </si>
  <si>
    <t>Target OTIER</t>
  </si>
  <si>
    <t>Margins at Target OTIER</t>
  </si>
  <si>
    <t>Life Insurance Premiums</t>
  </si>
  <si>
    <t xml:space="preserve">Test Period </t>
  </si>
  <si>
    <t>Depreciation Expense Normalization</t>
  </si>
  <si>
    <t>Actual Test Year</t>
  </si>
  <si>
    <t>Directors Expense</t>
  </si>
  <si>
    <t>Year-End Customer Normalization</t>
  </si>
  <si>
    <t>A+B</t>
  </si>
  <si>
    <t>Balance Sheet Accounts</t>
  </si>
  <si>
    <t>This adjustment normalizes depreciation expenses by replacing test year actual expenses with test year end balances, less any fully depreciated items, at approved depreciation rates.</t>
  </si>
  <si>
    <t>907-912</t>
  </si>
  <si>
    <t>Capital</t>
  </si>
  <si>
    <t>Pro Forma Adjustments</t>
  </si>
  <si>
    <t xml:space="preserve">Reference Schedule &gt;     </t>
  </si>
  <si>
    <t xml:space="preserve">Item  &gt;     </t>
  </si>
  <si>
    <t>Reference Schedule:  1.06</t>
  </si>
  <si>
    <t>Wages &amp; Salaries</t>
  </si>
  <si>
    <t>C</t>
  </si>
  <si>
    <t>E</t>
  </si>
  <si>
    <t>F</t>
  </si>
  <si>
    <t>G</t>
  </si>
  <si>
    <t>Directors Expenses</t>
  </si>
  <si>
    <t>This adjustment removes certain Director expenses consistent with recent Commission orders and standard Commission practices.</t>
  </si>
  <si>
    <t>Hours Worked</t>
  </si>
  <si>
    <t>Actual Test Year Wages</t>
  </si>
  <si>
    <t>Pro Forma Wages at 2,080 Hours</t>
  </si>
  <si>
    <t>Pro Forma Adjustment</t>
  </si>
  <si>
    <t>ID</t>
  </si>
  <si>
    <t>Actual ID</t>
  </si>
  <si>
    <t>Regular</t>
  </si>
  <si>
    <t>Overtime</t>
  </si>
  <si>
    <t>&lt; Hide &gt;</t>
  </si>
  <si>
    <t>Empl #</t>
  </si>
  <si>
    <t>Note</t>
  </si>
  <si>
    <t>Employee</t>
  </si>
  <si>
    <t>All</t>
  </si>
  <si>
    <t>Retirement Plan Contributions</t>
  </si>
  <si>
    <t>Life Insurance</t>
  </si>
  <si>
    <t>D</t>
  </si>
  <si>
    <t>Total Premium</t>
  </si>
  <si>
    <t>Lesser of $50k or Salary</t>
  </si>
  <si>
    <t>Amount to Exclude</t>
  </si>
  <si>
    <t>Allowed Total</t>
  </si>
  <si>
    <t>This adjustment removes Life insurance premiums for coverage above the lesser of an employee's annual salary or $50,000 from the test period.</t>
  </si>
  <si>
    <t>Rate Riders</t>
  </si>
  <si>
    <t xml:space="preserve">        Rate Riders</t>
  </si>
  <si>
    <t>Reference Schedule:  1.12</t>
  </si>
  <si>
    <t>Structures and improvements</t>
  </si>
  <si>
    <t>Tools, shop and garage</t>
  </si>
  <si>
    <t>Communications</t>
  </si>
  <si>
    <t>Miscellaneous</t>
  </si>
  <si>
    <t>Total Utility Plant</t>
  </si>
  <si>
    <t>Long Term Debt - RUS (Net)</t>
  </si>
  <si>
    <t>Long Term Debt - Other - RUS GUAR</t>
  </si>
  <si>
    <t>Current Maturities Long-Term Debt</t>
  </si>
  <si>
    <t>Current Maturities Long-Term Debt-Econ Dev</t>
  </si>
  <si>
    <t>Reference Schedule:  1.15</t>
  </si>
  <si>
    <t>Health Insurance Paid by Directors</t>
  </si>
  <si>
    <t>Items to be removed:</t>
  </si>
  <si>
    <t>Amount</t>
  </si>
  <si>
    <t>Total to be removed:</t>
  </si>
  <si>
    <t>Items to be added:</t>
  </si>
  <si>
    <t>Total to be added:</t>
  </si>
  <si>
    <t xml:space="preserve">Meters       </t>
  </si>
  <si>
    <t>Meters - Solid State</t>
  </si>
  <si>
    <t>Installations on customer premises</t>
  </si>
  <si>
    <t>Office furn and eqt</t>
  </si>
  <si>
    <t>Laboratory</t>
  </si>
  <si>
    <t>Power operated</t>
  </si>
  <si>
    <t>Donations, Promotional Advertising, Dues &amp; Other</t>
  </si>
  <si>
    <t>Account</t>
  </si>
  <si>
    <t>DONATIONS</t>
  </si>
  <si>
    <t>SOMERSET COMMUNITY COLLEGE</t>
  </si>
  <si>
    <t>KRUS</t>
  </si>
  <si>
    <t>Professional Services</t>
  </si>
  <si>
    <t>To Be</t>
  </si>
  <si>
    <t>Date</t>
  </si>
  <si>
    <t>Removed</t>
  </si>
  <si>
    <t>ACCOUNTING SERVICES</t>
  </si>
  <si>
    <t>LEGAL SERVICES</t>
  </si>
  <si>
    <t>CONSULTING SERVICES</t>
  </si>
  <si>
    <t>AUDIT</t>
  </si>
  <si>
    <t>This adjustment removes certain outside professional services costs from the test period, consistent with Commission practice.</t>
  </si>
  <si>
    <t>Reference Schedule:  1.13</t>
  </si>
  <si>
    <t>East Kentucky Power Cooperative</t>
  </si>
  <si>
    <t>This adjustment removes the G&amp;T Capital Credits from the test period, consistent with Commission practice.</t>
  </si>
  <si>
    <t>Count</t>
  </si>
  <si>
    <t>Vac P.Out</t>
  </si>
  <si>
    <t>Other</t>
  </si>
  <si>
    <t>Hourly Employees</t>
  </si>
  <si>
    <t xml:space="preserve"> </t>
  </si>
  <si>
    <t>NOTES:</t>
  </si>
  <si>
    <t>No longer employed</t>
  </si>
  <si>
    <t>Used Test Year Hours for Pro Forma Wages</t>
  </si>
  <si>
    <t>This adjustment normalizes wages and salaries to account for changes due to wage increases, promotions, retirements, terminations, or new hires for standard year of 2,080 hours.</t>
  </si>
  <si>
    <t>Labor Expense Summary</t>
  </si>
  <si>
    <t>907-910</t>
  </si>
  <si>
    <t>101-120</t>
  </si>
  <si>
    <t>Utility Plant</t>
  </si>
  <si>
    <t>131-174</t>
  </si>
  <si>
    <t>Current &amp; Accrued Assets</t>
  </si>
  <si>
    <t>181-190</t>
  </si>
  <si>
    <t>Deferred Debits</t>
  </si>
  <si>
    <t>231-283</t>
  </si>
  <si>
    <t>Current &amp; Accrued Liabilities</t>
  </si>
  <si>
    <t>Labor Expense Detail by Account</t>
  </si>
  <si>
    <t>No.</t>
  </si>
  <si>
    <t>Acct</t>
  </si>
  <si>
    <t>Labor Amt</t>
  </si>
  <si>
    <t>Share</t>
  </si>
  <si>
    <t>Payroll Taxes</t>
  </si>
  <si>
    <t>Social Security</t>
  </si>
  <si>
    <t>Medicare</t>
  </si>
  <si>
    <t>Federal Unemployment</t>
  </si>
  <si>
    <t>State Unemployment</t>
  </si>
  <si>
    <t>Normalized</t>
  </si>
  <si>
    <t>Up To</t>
  </si>
  <si>
    <t>At</t>
  </si>
  <si>
    <t>(6)+(8)+</t>
  </si>
  <si>
    <t>Wages</t>
  </si>
  <si>
    <t>(10)+(12)</t>
  </si>
  <si>
    <t>Salary Employees</t>
  </si>
  <si>
    <t>&lt;---(6) + (8)</t>
  </si>
  <si>
    <t>&lt;-- (6) + (8)</t>
  </si>
  <si>
    <t xml:space="preserve">A - </t>
  </si>
  <si>
    <t>B -</t>
  </si>
  <si>
    <t>This adjustment normalizes test year payroll taxes for FICA, Medicare, FUTA and SUTA based on most recent effective rates.</t>
  </si>
  <si>
    <t>Allocation to Accounts</t>
  </si>
  <si>
    <t>Type of Debt Issued</t>
  </si>
  <si>
    <t>Date of Issue</t>
  </si>
  <si>
    <t>Date of Maturity</t>
  </si>
  <si>
    <t>Cost Rate to Maturity</t>
  </si>
  <si>
    <t>Pro Forma Interest Cost</t>
  </si>
  <si>
    <t>Test Year Interest Cost</t>
  </si>
  <si>
    <t>(9)</t>
  </si>
  <si>
    <t>RUS Loans</t>
  </si>
  <si>
    <t>FFB Loans</t>
  </si>
  <si>
    <t>CoBank Loans</t>
  </si>
  <si>
    <t>Sub-Total</t>
  </si>
  <si>
    <t>Annualized Cost Rate</t>
  </si>
  <si>
    <t>Total Adjustment</t>
  </si>
  <si>
    <t xml:space="preserve">This adjustment normalizes the interest on Long-Term Debt.  Test year cost of debt is normalized to annualized cost rate (by multiplying the test year end debt amounts by the interest rate in effect at the end of the test year for each loan). </t>
  </si>
  <si>
    <t>Retirement Plan &amp; 401(k)</t>
  </si>
  <si>
    <t>R&amp;S Rate:</t>
  </si>
  <si>
    <t>Retirement Cost</t>
  </si>
  <si>
    <t>Normalized Wages</t>
  </si>
  <si>
    <t>Retirement Cost Rate</t>
  </si>
  <si>
    <t>Retirement Cost Accrual</t>
  </si>
  <si>
    <t>This adjustment normalizes test year utility contributions to NRECA Retirement &amp; Security Program and NRECA Savings Plan 401(k) based on most recent contribution rates.</t>
  </si>
  <si>
    <t>Advertising</t>
  </si>
  <si>
    <t>Supplies / Misc</t>
  </si>
  <si>
    <t>Donations, Advertising, Dues, &amp; Other</t>
  </si>
  <si>
    <t>Payroll Tax</t>
  </si>
  <si>
    <t>Interest</t>
  </si>
  <si>
    <t>Less Other Rate Mechanisms</t>
  </si>
  <si>
    <t>Coverage - 3x Salary</t>
  </si>
  <si>
    <t xml:space="preserve">C - </t>
  </si>
  <si>
    <t>H</t>
  </si>
  <si>
    <t>(E * 3)</t>
  </si>
  <si>
    <t>((G-F)/G)*C</t>
  </si>
  <si>
    <t>- No longer employed</t>
  </si>
  <si>
    <t>Reference Schedule:  1.03</t>
  </si>
  <si>
    <t>Reference Schedule:  1.04</t>
  </si>
  <si>
    <t>Reference Schedule:  1.09</t>
  </si>
  <si>
    <t>Reference Schedule:  1.11</t>
  </si>
  <si>
    <t>Reference Schedule:  1.14</t>
  </si>
  <si>
    <t xml:space="preserve">Expense Adjustment &gt; </t>
  </si>
  <si>
    <t>Total Difference</t>
  </si>
  <si>
    <t>Difference</t>
  </si>
  <si>
    <t>Line #</t>
  </si>
  <si>
    <t>Removed 100%; non-recurring.</t>
  </si>
  <si>
    <t>Notes</t>
  </si>
  <si>
    <t>Removed 2/3; related to union contract negotiation that occurs every three years</t>
  </si>
  <si>
    <t>Legal - Honaker Law Office</t>
  </si>
  <si>
    <t>SOUTH KENTUCKY R.E.C.C.</t>
  </si>
  <si>
    <t>For the 12 Months Ended May 2024</t>
  </si>
  <si>
    <t>HDHP Health Insurance Premiums</t>
  </si>
  <si>
    <t>H.S.A./H.R.A. Contributions</t>
  </si>
  <si>
    <t>Option</t>
  </si>
  <si>
    <t>Total Cost $</t>
  </si>
  <si>
    <t>Employee %</t>
  </si>
  <si>
    <t>Employee $</t>
  </si>
  <si>
    <t>Utility %</t>
  </si>
  <si>
    <t>Utility $</t>
  </si>
  <si>
    <t>Total Utility $</t>
  </si>
  <si>
    <t>Normalized Test Year</t>
  </si>
  <si>
    <t>Employee &amp; Spouse</t>
  </si>
  <si>
    <t>Employee &amp; Child(ren)</t>
  </si>
  <si>
    <t>Employee &amp; Family</t>
  </si>
  <si>
    <t>Pro Forma Year</t>
  </si>
  <si>
    <t>Dental Insurance Premiums</t>
  </si>
  <si>
    <t xml:space="preserve">This adjustment adjusts contributions to employee premiums for medical and dental insurance to reflect the change in health care plans </t>
  </si>
  <si>
    <t>Cost</t>
  </si>
  <si>
    <t>Rate 1</t>
  </si>
  <si>
    <t>Rate 2</t>
  </si>
  <si>
    <t>Rate 3</t>
  </si>
  <si>
    <t>Rate 4</t>
  </si>
  <si>
    <t>Rate 5</t>
  </si>
  <si>
    <t>LP</t>
  </si>
  <si>
    <t>AES</t>
  </si>
  <si>
    <t>OPS</t>
  </si>
  <si>
    <t>Structures &amp; Improvements</t>
  </si>
  <si>
    <t>Underground conduit</t>
  </si>
  <si>
    <t>Street Lighting &amp; Signal Systems</t>
  </si>
  <si>
    <t>Computer Processing &amp; Equip</t>
  </si>
  <si>
    <t>Stores Equipment</t>
  </si>
  <si>
    <t>401(k) Match:</t>
  </si>
  <si>
    <t>Test Year Regular Wages</t>
  </si>
  <si>
    <t>Test Year R &amp; S Pension Cost</t>
  </si>
  <si>
    <t>Test Year 401(k) Match Cost</t>
  </si>
  <si>
    <t>S01</t>
  </si>
  <si>
    <t>S02</t>
  </si>
  <si>
    <t>S03</t>
  </si>
  <si>
    <t>S04</t>
  </si>
  <si>
    <t>S05</t>
  </si>
  <si>
    <t>S06</t>
  </si>
  <si>
    <t>S07</t>
  </si>
  <si>
    <t>S08</t>
  </si>
  <si>
    <t>S09</t>
  </si>
  <si>
    <t>S10</t>
  </si>
  <si>
    <t>S11</t>
  </si>
  <si>
    <t>S12</t>
  </si>
  <si>
    <t>S13</t>
  </si>
  <si>
    <t>S14</t>
  </si>
  <si>
    <t>S15</t>
  </si>
  <si>
    <t>S16</t>
  </si>
  <si>
    <t>S17</t>
  </si>
  <si>
    <t>S18</t>
  </si>
  <si>
    <t>S19</t>
  </si>
  <si>
    <t>S20</t>
  </si>
  <si>
    <t>S21</t>
  </si>
  <si>
    <t>S22</t>
  </si>
  <si>
    <t>S23</t>
  </si>
  <si>
    <t>- Hired During or After the Test Year</t>
  </si>
  <si>
    <t>1/1/25 Wage Rate with Union</t>
  </si>
  <si>
    <t>H01</t>
  </si>
  <si>
    <t>H02</t>
  </si>
  <si>
    <t>H03</t>
  </si>
  <si>
    <t>H04</t>
  </si>
  <si>
    <t>H05</t>
  </si>
  <si>
    <t>H06</t>
  </si>
  <si>
    <t>H07</t>
  </si>
  <si>
    <t>H08</t>
  </si>
  <si>
    <t>H09</t>
  </si>
  <si>
    <t>H10</t>
  </si>
  <si>
    <t>H11</t>
  </si>
  <si>
    <t>H12</t>
  </si>
  <si>
    <t>H13</t>
  </si>
  <si>
    <t>H14</t>
  </si>
  <si>
    <t>H15</t>
  </si>
  <si>
    <t>H16</t>
  </si>
  <si>
    <t>H17</t>
  </si>
  <si>
    <t>H18</t>
  </si>
  <si>
    <t>H19</t>
  </si>
  <si>
    <t>H20</t>
  </si>
  <si>
    <t>H21</t>
  </si>
  <si>
    <t>H22</t>
  </si>
  <si>
    <t>H23</t>
  </si>
  <si>
    <t>H24</t>
  </si>
  <si>
    <t>H25</t>
  </si>
  <si>
    <t>H26</t>
  </si>
  <si>
    <t>H27</t>
  </si>
  <si>
    <t>H28</t>
  </si>
  <si>
    <t>H29</t>
  </si>
  <si>
    <t>H30</t>
  </si>
  <si>
    <t>H31</t>
  </si>
  <si>
    <t>H32</t>
  </si>
  <si>
    <t>H33</t>
  </si>
  <si>
    <t>H34</t>
  </si>
  <si>
    <t>H35</t>
  </si>
  <si>
    <t>H36</t>
  </si>
  <si>
    <t>H37</t>
  </si>
  <si>
    <t>H38</t>
  </si>
  <si>
    <t>H39</t>
  </si>
  <si>
    <t>H40</t>
  </si>
  <si>
    <t>H41</t>
  </si>
  <si>
    <t>H42</t>
  </si>
  <si>
    <t>H43</t>
  </si>
  <si>
    <t>H44</t>
  </si>
  <si>
    <t>H45</t>
  </si>
  <si>
    <t>H46</t>
  </si>
  <si>
    <t>H47</t>
  </si>
  <si>
    <t>H48</t>
  </si>
  <si>
    <t>H49</t>
  </si>
  <si>
    <t>H50</t>
  </si>
  <si>
    <t>H51</t>
  </si>
  <si>
    <t>H52</t>
  </si>
  <si>
    <t>H53</t>
  </si>
  <si>
    <t>H54</t>
  </si>
  <si>
    <t>H55</t>
  </si>
  <si>
    <t>H56</t>
  </si>
  <si>
    <t>H57</t>
  </si>
  <si>
    <t>H58</t>
  </si>
  <si>
    <t>H59</t>
  </si>
  <si>
    <t>H60</t>
  </si>
  <si>
    <t>H61</t>
  </si>
  <si>
    <t>H62</t>
  </si>
  <si>
    <t>H63</t>
  </si>
  <si>
    <t>H64</t>
  </si>
  <si>
    <t>H65</t>
  </si>
  <si>
    <t>H66</t>
  </si>
  <si>
    <t>H67</t>
  </si>
  <si>
    <t>H68</t>
  </si>
  <si>
    <t>H69</t>
  </si>
  <si>
    <t>H70</t>
  </si>
  <si>
    <t>H71</t>
  </si>
  <si>
    <t>H72</t>
  </si>
  <si>
    <t>H73</t>
  </si>
  <si>
    <t>H74</t>
  </si>
  <si>
    <t>H75</t>
  </si>
  <si>
    <t>H76</t>
  </si>
  <si>
    <t>H77</t>
  </si>
  <si>
    <t>H78</t>
  </si>
  <si>
    <t>H79</t>
  </si>
  <si>
    <t>H80</t>
  </si>
  <si>
    <t>H81</t>
  </si>
  <si>
    <t>H82</t>
  </si>
  <si>
    <t>H83</t>
  </si>
  <si>
    <t>H84</t>
  </si>
  <si>
    <t>H85</t>
  </si>
  <si>
    <t>H86</t>
  </si>
  <si>
    <t>H87</t>
  </si>
  <si>
    <t>H88</t>
  </si>
  <si>
    <t>H89</t>
  </si>
  <si>
    <t>H90</t>
  </si>
  <si>
    <t>H91</t>
  </si>
  <si>
    <t>H92</t>
  </si>
  <si>
    <t>H93</t>
  </si>
  <si>
    <t>H94</t>
  </si>
  <si>
    <t>H95</t>
  </si>
  <si>
    <t>H96</t>
  </si>
  <si>
    <t>H97</t>
  </si>
  <si>
    <t>H98</t>
  </si>
  <si>
    <t>H99</t>
  </si>
  <si>
    <t>H100</t>
  </si>
  <si>
    <t>H101</t>
  </si>
  <si>
    <t>H102</t>
  </si>
  <si>
    <t>H103</t>
  </si>
  <si>
    <t>H104</t>
  </si>
  <si>
    <t>H105</t>
  </si>
  <si>
    <t>H106</t>
  </si>
  <si>
    <t>H107</t>
  </si>
  <si>
    <t>H108</t>
  </si>
  <si>
    <t>H109</t>
  </si>
  <si>
    <t>H110</t>
  </si>
  <si>
    <t>H111</t>
  </si>
  <si>
    <t>H112</t>
  </si>
  <si>
    <t>H113</t>
  </si>
  <si>
    <t>C, B</t>
  </si>
  <si>
    <t>H114</t>
  </si>
  <si>
    <t>H115</t>
  </si>
  <si>
    <t>H116</t>
  </si>
  <si>
    <t>H117</t>
  </si>
  <si>
    <t>H118</t>
  </si>
  <si>
    <t>H119</t>
  </si>
  <si>
    <t>H120</t>
  </si>
  <si>
    <t>H121</t>
  </si>
  <si>
    <t>H122</t>
  </si>
  <si>
    <t>H123</t>
  </si>
  <si>
    <t>H124</t>
  </si>
  <si>
    <t>H125</t>
  </si>
  <si>
    <t>H126</t>
  </si>
  <si>
    <t>H127</t>
  </si>
  <si>
    <t>H128</t>
  </si>
  <si>
    <t>H129</t>
  </si>
  <si>
    <t>H130</t>
  </si>
  <si>
    <t>H131</t>
  </si>
  <si>
    <t>H132</t>
  </si>
  <si>
    <t>H133</t>
  </si>
  <si>
    <t>H134</t>
  </si>
  <si>
    <t>H135</t>
  </si>
  <si>
    <t>H136</t>
  </si>
  <si>
    <t>H137</t>
  </si>
  <si>
    <t>H138</t>
  </si>
  <si>
    <t>H139</t>
  </si>
  <si>
    <t>H140</t>
  </si>
  <si>
    <t>H141</t>
  </si>
  <si>
    <t>H142</t>
  </si>
  <si>
    <t>- Used Test Year Overtime Hours for Pro Forma Wages</t>
  </si>
  <si>
    <t>CONST WORK IN PROGRESS-F A</t>
  </si>
  <si>
    <t>RETIREMENT WORK IN PROGRESS</t>
  </si>
  <si>
    <t>STORES EXPENSE UNDISTRIBUTED</t>
  </si>
  <si>
    <t>TRANSPORTATION EXPENSE-CLEARING</t>
  </si>
  <si>
    <t>UNPRODUCTIVE PAY</t>
  </si>
  <si>
    <t>ACCRUED EMPLOYEES' SICK LEAVE</t>
  </si>
  <si>
    <t>OPER SUPERVISION &amp; ENGINEERING</t>
  </si>
  <si>
    <t>METER EXPENSES</t>
  </si>
  <si>
    <t>MISC DISTRIBUTION EXPENSE</t>
  </si>
  <si>
    <t>MISC DISTRIBUTION EXP - MAPPING</t>
  </si>
  <si>
    <t>MAINTENANCE OF OVERHEAD LINES</t>
  </si>
  <si>
    <t>STORM DAMAGE EXP</t>
  </si>
  <si>
    <t>MAINT OF OVERHEAD LINES - R/W</t>
  </si>
  <si>
    <t>CUST RECORDS &amp; COLLECTION EXP</t>
  </si>
  <si>
    <t>CUSTOMER ASSISTANCE EXPENSE</t>
  </si>
  <si>
    <t>INFORMATIONAL &amp; INSTR ADVT EXP</t>
  </si>
  <si>
    <t>ADMINISTRATIVE&amp;GENERAL SALARIES</t>
  </si>
  <si>
    <t>INJURIES AND DAMAGES</t>
  </si>
  <si>
    <t>MISC GEN EXP-STAFF LEGAL COUNSEL</t>
  </si>
  <si>
    <t>MAINTENANCE OF GENERAL PLANT</t>
  </si>
  <si>
    <t>Added</t>
  </si>
  <si>
    <t>ABBOTT, LLOYD</t>
  </si>
  <si>
    <t>JANITORIAL SERVICES</t>
  </si>
  <si>
    <t>ABNER, TYLER LUCAS</t>
  </si>
  <si>
    <t>MEMBER APPRECIATION DAY SECURITY</t>
  </si>
  <si>
    <t>CATALYST CONSULTING</t>
  </si>
  <si>
    <t>RATE CONSULTING</t>
  </si>
  <si>
    <t>CHANEY, GREGORY DEAN</t>
  </si>
  <si>
    <t>CHERRY BEKAERT LLP</t>
  </si>
  <si>
    <t> </t>
  </si>
  <si>
    <t>CUNI, RUST &amp; STRENK INC</t>
  </si>
  <si>
    <t>ANNUAL ACTUARIAL STUDY</t>
  </si>
  <si>
    <t>EASTHAM, JAMES C</t>
  </si>
  <si>
    <t>SAFETY CONTRACTOR</t>
  </si>
  <si>
    <t>EEO ASSOCIATES</t>
  </si>
  <si>
    <t>AFFIRMATIVE ACTION PROGRAM</t>
  </si>
  <si>
    <t>FRACAS, ANN</t>
  </si>
  <si>
    <t>IT CONSULTING</t>
  </si>
  <si>
    <t>IT CONSULTING EXPENSE REIMBURSEMENT</t>
  </si>
  <si>
    <t>FROST BROWN TODD LLP</t>
  </si>
  <si>
    <t>GOLDEN, RONALD</t>
  </si>
  <si>
    <t>HOLIDAY INN EXPRESS</t>
  </si>
  <si>
    <t>HONAKER LAW OFFICE</t>
  </si>
  <si>
    <t>HOWARD AND SMITH</t>
  </si>
  <si>
    <t>INTANDEM LLC</t>
  </si>
  <si>
    <t>COMPENSATION PLAN UPDATE</t>
  </si>
  <si>
    <t>COMPENSATION SYSTEM</t>
  </si>
  <si>
    <t>JONES, NALE &amp; MATTINGLY PLC</t>
  </si>
  <si>
    <t>LAKE CUMB ELECTRICAL INSPECT</t>
  </si>
  <si>
    <t>ELECTRICAL INSPECTIONS</t>
  </si>
  <si>
    <t>N R T C</t>
  </si>
  <si>
    <t>NISC INC</t>
  </si>
  <si>
    <t>BILL PRINT SERVICES</t>
  </si>
  <si>
    <t>ONLINE COLLECTIONS</t>
  </si>
  <si>
    <t>BAD DEBT COLLECTIONS</t>
  </si>
  <si>
    <t>ONLINE INFORMATION SVCS INC</t>
  </si>
  <si>
    <t>CONSUMER VERIFICATION</t>
  </si>
  <si>
    <t>PATTERSON &amp; DEWAR ENG INC</t>
  </si>
  <si>
    <t>ANNUAL CONTRACTOR BIDDING</t>
  </si>
  <si>
    <t>PHILLIPS &amp; PHILLIPS ATTORNEYS</t>
  </si>
  <si>
    <t>LEGAL SERVICES-NORMALIZED</t>
  </si>
  <si>
    <t>SOMERSET POLICE DEPARTMENT</t>
  </si>
  <si>
    <t>SOUTH CENTRAL KY JANITORIAL</t>
  </si>
  <si>
    <t>SOUTH KY ELECTRICAL INSPECT</t>
  </si>
  <si>
    <t>SYNERGI PARTNERS</t>
  </si>
  <si>
    <t>THE AME GROUP</t>
  </si>
  <si>
    <t>VULNERABILITY ASSESSMENT/TESTING</t>
  </si>
  <si>
    <t>THE JOB SHOP</t>
  </si>
  <si>
    <t>TEMPORARY / INTERN LABOR</t>
  </si>
  <si>
    <t>USIC LOCATING SERVICES, LLC</t>
  </si>
  <si>
    <t>LINE LOCATING</t>
  </si>
  <si>
    <t>Billed/Paid in test year but for work completed outside of test year.</t>
  </si>
  <si>
    <t>Services performed in test year but billed/recorded after test year.</t>
  </si>
  <si>
    <t>Services previously completed using staff labor will be contracted beginning July 2024.</t>
  </si>
  <si>
    <t>Outstanding Amount as of 6/30/2024</t>
  </si>
  <si>
    <t>RET 8-1</t>
  </si>
  <si>
    <t>***Int. rate increased Dec 2023</t>
  </si>
  <si>
    <t>RET 8-2</t>
  </si>
  <si>
    <t>FFB 1-1</t>
  </si>
  <si>
    <t>FFB 1-2</t>
  </si>
  <si>
    <t>***Used period 07/2023-06/2024</t>
  </si>
  <si>
    <t>FFB 2-1</t>
  </si>
  <si>
    <t>FFB 2-2</t>
  </si>
  <si>
    <t>FFB 4-1</t>
  </si>
  <si>
    <t>FFB 4-2</t>
  </si>
  <si>
    <t>FFB 4-3</t>
  </si>
  <si>
    <t>Var</t>
  </si>
  <si>
    <t>FFB 4-4</t>
  </si>
  <si>
    <t>FFB 4-5</t>
  </si>
  <si>
    <t>FFB 4-6</t>
  </si>
  <si>
    <t>B, C</t>
  </si>
  <si>
    <t>Var - rate increased</t>
  </si>
  <si>
    <t>FFB 4-7</t>
  </si>
  <si>
    <t>FFB 4-9</t>
  </si>
  <si>
    <t>FFB 4-10</t>
  </si>
  <si>
    <t>FFB 4-11</t>
  </si>
  <si>
    <t>FFB 4-12</t>
  </si>
  <si>
    <t>FFB 4-13</t>
  </si>
  <si>
    <t>FFB 4-14</t>
  </si>
  <si>
    <t>FFB 4-15</t>
  </si>
  <si>
    <t>FFB 5-1</t>
  </si>
  <si>
    <t>FFB 5-2</t>
  </si>
  <si>
    <t>FFB 5-3</t>
  </si>
  <si>
    <t>FFB 5-4</t>
  </si>
  <si>
    <t>FFB 5-5</t>
  </si>
  <si>
    <t>FFB 5-6</t>
  </si>
  <si>
    <t>FFB 5-7</t>
  </si>
  <si>
    <t>FFB 6-1</t>
  </si>
  <si>
    <t>FFB 6-2</t>
  </si>
  <si>
    <t>FFB 6-3</t>
  </si>
  <si>
    <t>***Draw was taken August 2024</t>
  </si>
  <si>
    <t>0087244T01</t>
  </si>
  <si>
    <t>CFC Loans</t>
  </si>
  <si>
    <t>Paid off August 2024</t>
  </si>
  <si>
    <t>Paid off Oct 2024</t>
  </si>
  <si>
    <t>City of Monticello</t>
  </si>
  <si>
    <t>Outstanding balance used to calculate proforma interest expense is as of 6/30/2024.</t>
  </si>
  <si>
    <t xml:space="preserve">Quarterly payment due date and test year do not end on the same month, </t>
  </si>
  <si>
    <t>Interest rate increased from test year.</t>
  </si>
  <si>
    <t>New debt since test year.</t>
  </si>
  <si>
    <t>Debt paid in full during or after test year.</t>
  </si>
  <si>
    <t>2025 Wage Rate with Union</t>
  </si>
  <si>
    <t>ProForma Regular Wages</t>
  </si>
  <si>
    <t>Health Insurance Premiums</t>
  </si>
  <si>
    <t>Reference Schedule:  1.16</t>
  </si>
  <si>
    <t>Halloran</t>
  </si>
  <si>
    <t>Hurd</t>
  </si>
  <si>
    <t>Haynes</t>
  </si>
  <si>
    <t>Tackett</t>
  </si>
  <si>
    <t>Epperson</t>
  </si>
  <si>
    <t>Hansford</t>
  </si>
  <si>
    <t>Redmon</t>
  </si>
  <si>
    <t>Nelson</t>
  </si>
  <si>
    <t>General Board Expenses</t>
  </si>
  <si>
    <t>Fees for Regular and Committee Meetings</t>
  </si>
  <si>
    <t>Travel Expenses Related to Regular and Committee Meetings</t>
  </si>
  <si>
    <t>Fees for KEC and Other Association Meetings</t>
  </si>
  <si>
    <t>Winter School</t>
  </si>
  <si>
    <t>Other Training</t>
  </si>
  <si>
    <t>Travel Expenses Related to Training and Other Meetings</t>
  </si>
  <si>
    <t>NRECA Regional Meeting Training</t>
  </si>
  <si>
    <t>NRECA Regional Meeting Travel Expenses</t>
  </si>
  <si>
    <t>Meeting Supplies</t>
  </si>
  <si>
    <t>Attorney Misc Costs</t>
  </si>
  <si>
    <t>Background Check</t>
  </si>
  <si>
    <t>RE Magazine Subscription</t>
  </si>
  <si>
    <t>Business Travel Insurance</t>
  </si>
  <si>
    <t>Director's Liability Insurance</t>
  </si>
  <si>
    <t>Technology Services</t>
  </si>
  <si>
    <t>KEC and Other Associating Meeting Attendance for non-officers</t>
  </si>
  <si>
    <t>Missing Months of Fees and Travel for 1 Board Member</t>
  </si>
  <si>
    <t>DONATIONS(CHAR, SOCIAL OR COMM)</t>
  </si>
  <si>
    <t>7310 - DONATIONS</t>
  </si>
  <si>
    <t>HUTTON, DOUGLAS EDWARD</t>
  </si>
  <si>
    <t>BLEVINS, MORGHAN D</t>
  </si>
  <si>
    <t>MARCH OF DIMES</t>
  </si>
  <si>
    <t>MARCH OF DIMES SPONSOR</t>
  </si>
  <si>
    <t>BURNSIDE ELEMENTARY</t>
  </si>
  <si>
    <t>BURNSIDE ELEMENTARY SCHOOL-ROBOTICS TEAM</t>
  </si>
  <si>
    <t>PULASKI COUNTY PUBLIC LIBRARY</t>
  </si>
  <si>
    <t>PULASKI COUNTY IMAGINATION LIBRARY</t>
  </si>
  <si>
    <t>THE CENTER FOR RURAL DEVELOP</t>
  </si>
  <si>
    <t>ROGERS SCHOLARS PROGRAM</t>
  </si>
  <si>
    <t>YOUNG PROFESSIONAL LAKE CUMB</t>
  </si>
  <si>
    <t>GOLF SCRAMBLE-DOUBLE TEE PACKAGE</t>
  </si>
  <si>
    <t>SOMERSET HIGH SCHOOL</t>
  </si>
  <si>
    <t>SOMERSET HIGH SCHOOL-SCIENCE PRIZE</t>
  </si>
  <si>
    <t>SOMERSET HIGH SCHOOL DRAMA</t>
  </si>
  <si>
    <t>SHS DRAMA-THE LITTLE MERMAID</t>
  </si>
  <si>
    <t>FRIENDS OF WOLF CREEK NFH</t>
  </si>
  <si>
    <t>FRIENDS OF WOLF CREEK-FISHING DERBY</t>
  </si>
  <si>
    <t>SHOPVILLE ELEMENTARY SCHOOL</t>
  </si>
  <si>
    <t>SHOPVILLE ELEMENTARY-GOLF SCRAMBLE</t>
  </si>
  <si>
    <t>WAYNE CO HS CHEER BOOSTERS</t>
  </si>
  <si>
    <t>WAYNE CO VARSITY CHEER-DONATION</t>
  </si>
  <si>
    <t>AMERICAN CANCER SOCIETY</t>
  </si>
  <si>
    <t>AMERICAN CANCER-RELAY FOR LIFE</t>
  </si>
  <si>
    <t>DONATIONS-OLLIE'S</t>
  </si>
  <si>
    <t>DONATIONS-TJ MAXX</t>
  </si>
  <si>
    <t>PULASKI COUNTY DANCE TEAM</t>
  </si>
  <si>
    <t>BRANSCUM, TERRY</t>
  </si>
  <si>
    <t>HOMELESS CHRISTMAS DINNERS</t>
  </si>
  <si>
    <t>THINKING OF YOU LLC</t>
  </si>
  <si>
    <t>CHAMBER OF COMMERCE-AUCTION</t>
  </si>
  <si>
    <t>Miscellaneous Charges</t>
  </si>
  <si>
    <t>TURPIN, JOYCE</t>
  </si>
  <si>
    <t>KEC CONFERENCE BASKET</t>
  </si>
  <si>
    <t>0 - Unassigned Activity</t>
  </si>
  <si>
    <t>8100 - TRANSPORTATION</t>
  </si>
  <si>
    <t>TRANSPORTATION DISTRIBUTION</t>
  </si>
  <si>
    <t>9200 - EMPLOYEE BENEFITS</t>
  </si>
  <si>
    <t>OAK HILL ELEMENTARY SCHOOL</t>
  </si>
  <si>
    <t>OAK HILL ELEMENTARY PTO</t>
  </si>
  <si>
    <t>CFC-INTEGRITY FUND CONTRIBUTION</t>
  </si>
  <si>
    <t>FRIENDS OF WOLF CREEK-FISHING DERBIES</t>
  </si>
  <si>
    <t>WHITLEY CITY ELEMENTARY</t>
  </si>
  <si>
    <t>WHITLEY CITY ELEMENTARY FOOTBALL</t>
  </si>
  <si>
    <t>RUSSELL CO BAND BOOSTERS</t>
  </si>
  <si>
    <t>RUSSELL CO BAND</t>
  </si>
  <si>
    <t>KRUS GOLF SCRAMBLE</t>
  </si>
  <si>
    <t>KEC WIRE AUCTION GIFT</t>
  </si>
  <si>
    <t>DENIM &amp; DIAMONDS TABLE</t>
  </si>
  <si>
    <t>UNITED WAY OF SO CENTRAL KY</t>
  </si>
  <si>
    <t>UNITED WAY-GOLF SCRAMBLE TEAM</t>
  </si>
  <si>
    <t>ALBANY CLINTON CO CHAMBER</t>
  </si>
  <si>
    <t>CLINTON CHAMBER FIREWORKS</t>
  </si>
  <si>
    <t>BLUE GRASS COUNCIL, BSA</t>
  </si>
  <si>
    <t>BSA-HAL ROGERS DINNER</t>
  </si>
  <si>
    <t>CHAMBER GOLF PRIZE</t>
  </si>
  <si>
    <t>PENALTIES</t>
  </si>
  <si>
    <t>2175 - PENALTIES</t>
  </si>
  <si>
    <t>COM OF KY-WITHHOLDING TAX PEN</t>
  </si>
  <si>
    <t>EXP FOR CER CIVIC,POL &amp; REL ACT</t>
  </si>
  <si>
    <t>7305 - CIVIC CLUBS MEALS &amp; EXPENSE</t>
  </si>
  <si>
    <t>SOMERSET ROTARY CLUB</t>
  </si>
  <si>
    <t>ROTARY CLUB-ELECTION PANCAKE BREAKFAST</t>
  </si>
  <si>
    <t>7300 - PUBLIC RELATIONS/GOODWILL</t>
  </si>
  <si>
    <t>SOM PUL CHAMBER OF COMMERCE</t>
  </si>
  <si>
    <t>RE: OPERATION BEAUTIFICATION</t>
  </si>
  <si>
    <t>7140 - DUES &amp; SUBSCRIPTIONS</t>
  </si>
  <si>
    <t>KEC INC</t>
  </si>
  <si>
    <t>KY CHAMBER OF COMMERCE DUES</t>
  </si>
  <si>
    <t>YOUNG ENTREPRENEURS ACADEMY</t>
  </si>
  <si>
    <t>CLINTON CO CHAMBER OF COMMERCE DUES</t>
  </si>
  <si>
    <t>ROTARY INTERNATIONAL DINNER SPONSORSHIP</t>
  </si>
  <si>
    <t>ROTARY CLUB-INTERNATIONAL DINNER</t>
  </si>
  <si>
    <t>MONTICELLO-WAYNE CO C OF C</t>
  </si>
  <si>
    <t>MONT/WAYNE CHAMBER DUES</t>
  </si>
  <si>
    <t>LIBERTY CASEY CO CHAMBER</t>
  </si>
  <si>
    <t>LIBERTY CHAMBER DUES</t>
  </si>
  <si>
    <t>RUSSELL CHAMBER OF COMMERCE</t>
  </si>
  <si>
    <t>RUSSELL CHAMBER DUES</t>
  </si>
  <si>
    <t>SOM PUL CHAMBER OF COMM AWARDS BANQUET</t>
  </si>
  <si>
    <t>RUSSELL CHAMBER OF COMMERCE BANQUET</t>
  </si>
  <si>
    <t>7250 - ADVERTISING-LEGAL/PSC</t>
  </si>
  <si>
    <t>MONT-WAYNE COC 2024 LUNCHEON SPONSOR</t>
  </si>
  <si>
    <t>OTHER DEDUCTIONS</t>
  </si>
  <si>
    <t>9755 - DIRECTOR EXP - SPOUSE EXPENSE</t>
  </si>
  <si>
    <t>DIRECTOR SPOUSE EXPENSE-KAEC</t>
  </si>
  <si>
    <t>Account Desc</t>
  </si>
  <si>
    <t>Activity</t>
  </si>
  <si>
    <t>Last Check/Tran</t>
  </si>
  <si>
    <t>Vendor Name</t>
  </si>
  <si>
    <t>REMOVE</t>
  </si>
  <si>
    <t>Reference</t>
  </si>
  <si>
    <t>GENERAL ADVERTISING EXPENSE</t>
  </si>
  <si>
    <t>Cash Register</t>
  </si>
  <si>
    <t>CASH REGISTER</t>
  </si>
  <si>
    <t>2130 - TAX- SALES &amp; USE TAX</t>
  </si>
  <si>
    <t>SALES &amp; USE TAX</t>
  </si>
  <si>
    <t>MORRIS PROMO</t>
  </si>
  <si>
    <t>MONTHLY PLANNERS</t>
  </si>
  <si>
    <t>KWIK STICK CALENDARS</t>
  </si>
  <si>
    <t>WMKZ</t>
  </si>
  <si>
    <t>ADVT-RADIO/TV/NWSPAPER/PAMPHLT/DIRECTORY</t>
  </si>
  <si>
    <t>LOGO STORE USA</t>
  </si>
  <si>
    <t>(150) HATS FOR GIVEAWAYS</t>
  </si>
  <si>
    <t>EAST KENTUCKY POWER COOP</t>
  </si>
  <si>
    <t>ADVERTISING HANDOUTS</t>
  </si>
  <si>
    <t>(150) BACKPACKS FOR GIVEAWAYS</t>
  </si>
  <si>
    <t>7260 - ADVERTISING</t>
  </si>
  <si>
    <t>PROFESSIONAL PARTNERSHIP GROUP</t>
  </si>
  <si>
    <t>READING SERVICE-PULASKI/MCCREARY</t>
  </si>
  <si>
    <t>READING SERVICE-CLINTON/WAYNE</t>
  </si>
  <si>
    <t>CLINTON HIGH SCHOOL BASEBALL</t>
  </si>
  <si>
    <t>CLINTON CO BASEBALL SIGN RENEWAL</t>
  </si>
  <si>
    <t>WAYNE CO SOFTBALL BOOSTERS</t>
  </si>
  <si>
    <t>WAYNE CO SOFTBALL SIGN RENEWAL</t>
  </si>
  <si>
    <t>SWHS BASEBALL BOOSTERS</t>
  </si>
  <si>
    <t>SWHS BASEBALL SIGN RENEWAL</t>
  </si>
  <si>
    <t>NEWS ENTERPRISE, KY STAND</t>
  </si>
  <si>
    <t>FFA WEEK AD</t>
  </si>
  <si>
    <t>MCCREARY COUNTY VOICE</t>
  </si>
  <si>
    <t>P C HIGH SCHOOL ATHLETICS</t>
  </si>
  <si>
    <t>PCHS-REGION BASKETBALL SPONSORSHIP</t>
  </si>
  <si>
    <t>MONT-WAYNE PARKS/RECREATION</t>
  </si>
  <si>
    <t>MONT WAYNE PARKS-3 SIGNS</t>
  </si>
  <si>
    <t>DUCKS UNLIMITED</t>
  </si>
  <si>
    <t>GOLD SPONSOR-DUCKS UNLIMITED</t>
  </si>
  <si>
    <t>NORTHERN MIDDLE SOFTBALL</t>
  </si>
  <si>
    <t>NMS SOFTBALL-SIGN</t>
  </si>
  <si>
    <t>SOUTHERN MIDDLE BASEBALL</t>
  </si>
  <si>
    <t>SOUTHERN MIDDLE BASEBALL-BRONZE SPONSOR</t>
  </si>
  <si>
    <t>MCCREARY CENTRAL BASEBALL</t>
  </si>
  <si>
    <t>MCCREARY CENTRAL BASEBALL-SIGN RENEWAL</t>
  </si>
  <si>
    <t>WINTER SPORTS &amp; LETTERS TO SANTA AD</t>
  </si>
  <si>
    <t>P C MAROONS HOMERUN CLUB</t>
  </si>
  <si>
    <t>PCHS BASEBALL SIGN RENEWAL</t>
  </si>
  <si>
    <t>JOBE PUBLISHING INC</t>
  </si>
  <si>
    <t>READING SERVICE-BURNSIDE/CASEY</t>
  </si>
  <si>
    <t>WAYNE CO CHEER BOOSTERS SPONSORSHIP</t>
  </si>
  <si>
    <t>SOMERSET HIGH SCHOOL BOYS BASKETBALL</t>
  </si>
  <si>
    <t>SHS BANNER SPONSORSHIP</t>
  </si>
  <si>
    <t>RUSSELL CO SHERIFF OFFICE</t>
  </si>
  <si>
    <t>RUSSELL CO SHERIFF CALENDAR AD</t>
  </si>
  <si>
    <t>RUSSELL COUNTY HIGH SCHOOL</t>
  </si>
  <si>
    <t>RCHS YEARBOOK AD</t>
  </si>
  <si>
    <t>CLINTON CO NEWS</t>
  </si>
  <si>
    <t>FALL SPORTS AD</t>
  </si>
  <si>
    <t>SWHS FOOTBALL BOOSTER CLUB</t>
  </si>
  <si>
    <t>SWHS FOOTBALL-SIGN RENEWAL</t>
  </si>
  <si>
    <t>LAKE CUMB CHILDREN'S THEATRE</t>
  </si>
  <si>
    <t>LCCT-GOLD SPONSOR</t>
  </si>
  <si>
    <t>MAROONS BOYS SOCCER BOOSTERS</t>
  </si>
  <si>
    <t>PCHS BOYS SOCCER-SIGN RENEWAL</t>
  </si>
  <si>
    <t>YOUTH INSIDER MAGAZINE-PAID LOGO</t>
  </si>
  <si>
    <t>WAYNE COUNTY HIGH SCHOOL</t>
  </si>
  <si>
    <t>WCHS SOCCER-SIGN SPONSORSHIP</t>
  </si>
  <si>
    <t>RUSSELL CHAMBER OF COMMERCE-GOLF SCRAMBL</t>
  </si>
  <si>
    <t>SOUTHWESTERN HIGH SCHOOL</t>
  </si>
  <si>
    <t>CHK#206119-SWHS-NEVER RECEIVED PAYMENT</t>
  </si>
  <si>
    <t>SWHS FOOTBALL - SIGN RENEWAL</t>
  </si>
  <si>
    <t>SWHS SOCCER BOOSTER CLUB</t>
  </si>
  <si>
    <t>SWHS SOCCER-BRONZE SPONSORSHIP</t>
  </si>
  <si>
    <t>RUSSELL CO SOCCER BOOSTERS</t>
  </si>
  <si>
    <t>RCHS BOYS SOCCER-SILVER SPONSORSHIP</t>
  </si>
  <si>
    <t>P C BOYS GOLF BOOSTER</t>
  </si>
  <si>
    <t>PCHS BOYS GOLF-INDIVIDUAL SPONSORSHIP</t>
  </si>
  <si>
    <t>NORTHERN GIRLS BASKETBALL</t>
  </si>
  <si>
    <t>NMS GIRLS BASKETBALL-BRONZE SPONSORSHIP</t>
  </si>
  <si>
    <t>SOMERSET HIGH ATHLETICS</t>
  </si>
  <si>
    <t>SHS ATHLETIC PROGRAM 1/4 PG AD</t>
  </si>
  <si>
    <t>SOMERSET PARKS &amp; RECREATION</t>
  </si>
  <si>
    <t>ROCKY HOLLOW 3X3 GYM SIGN</t>
  </si>
  <si>
    <t>WAYNE CO BASKETBALL PROGRAM</t>
  </si>
  <si>
    <t>CASEY APPLE FESTIVAL &amp; FAIR</t>
  </si>
  <si>
    <t>CASEY CO APP FEST-1/2 PAGE AD</t>
  </si>
  <si>
    <t>P C MAROON FOOTBALL CLUB</t>
  </si>
  <si>
    <t>FENCE SIGN RENEWAL</t>
  </si>
  <si>
    <t>P C HIGH SCHOOL CHEERLEADERS</t>
  </si>
  <si>
    <t>ELECTRONIC MESSAGE BOARD</t>
  </si>
  <si>
    <t>COMMONWEALTH JOURNAL</t>
  </si>
  <si>
    <t>ADVERTISING-CHAMBER MAGAZINE</t>
  </si>
  <si>
    <t>EKPC-APPLE FESTIVAL SPONSOR</t>
  </si>
  <si>
    <t>LAKE CUMBERLAND AIR SHOW INC</t>
  </si>
  <si>
    <t>LAKE CUMB AIR SHOW SPONSORSHIP</t>
  </si>
  <si>
    <t>RUSSELL CO LAKER BASEBALL</t>
  </si>
  <si>
    <t>HOLE SPONSOR-RUSS CO BASEBALL</t>
  </si>
  <si>
    <t>HABITAT FOR HUMANITY PULASKI</t>
  </si>
  <si>
    <t>HABITAT FOR HUMANITY GOLF SCRAMBLE</t>
  </si>
  <si>
    <t>ALZHEIMERS ASSOCIATION</t>
  </si>
  <si>
    <t>WALK TO END ALZHEIMER'S-SILVER SPONSOR</t>
  </si>
  <si>
    <t>PC CHAMBER WORLD CLASS SPONSOR</t>
  </si>
  <si>
    <t>MASTER MUSICIANS FESTIVAL</t>
  </si>
  <si>
    <t>SHOPVILLE ELEMENTARY-HOLE SPONSOR</t>
  </si>
  <si>
    <t>NORTHERN MIDDLE VOLLEYBALL</t>
  </si>
  <si>
    <t>NMS VOLLEYBALL-SPONSORSHIP</t>
  </si>
  <si>
    <t>SOMERNITES CRUISE INC</t>
  </si>
  <si>
    <t>EAST KENTUCKY-SOMERNITES CRUISE</t>
  </si>
  <si>
    <t>SOMERNITES CRUISE</t>
  </si>
  <si>
    <t>BURNSIDE TOURISM</t>
  </si>
  <si>
    <t>CHRISTMAS ISLAND</t>
  </si>
  <si>
    <t>AMBASSADOR COMPANY</t>
  </si>
  <si>
    <t>MCCREARY CO MUSEUM</t>
  </si>
  <si>
    <t>MCCREARY CO MUSEUM-DONATION</t>
  </si>
  <si>
    <t>MWC TOURISM COMMISSION</t>
  </si>
  <si>
    <t>MWC-SILVER SPONSORSHIP</t>
  </si>
  <si>
    <t>SOUTHERN MIDDLE SCHOOL-GOLF</t>
  </si>
  <si>
    <t>SMS-HOLE SPONSORSHIP</t>
  </si>
  <si>
    <t>CLINTON COUNTY GOLF BOOSTERS</t>
  </si>
  <si>
    <t>CCHS HOLE SPONSORSHIP</t>
  </si>
  <si>
    <t>MCCREARY CO HERITAGE</t>
  </si>
  <si>
    <t>OVC CHARITY GOLF-HOLE SPONSORSHIP</t>
  </si>
  <si>
    <t>KRUS GOLF HOLE SPONSOR</t>
  </si>
  <si>
    <t>COBB-VANTRESS</t>
  </si>
  <si>
    <t>KENTUCKY POULTRY FESTIVAL</t>
  </si>
  <si>
    <t>SOMERSET HIGH BOYS GOLF TEAM</t>
  </si>
  <si>
    <t>SHS BOYS GOLF-HOLE SPONSORSHIP</t>
  </si>
  <si>
    <t>LAKE CUMB BLUEGRASS FESTIVAL</t>
  </si>
  <si>
    <t>BLUEGRASS FESTIVAL - GOLD SPONSORHIP</t>
  </si>
  <si>
    <t>MR Invoice</t>
  </si>
  <si>
    <t>GEN ADVERTISING (FAIRS &amp; PARADE)</t>
  </si>
  <si>
    <t>7150 - FEES/LICENSES/SVS CHGS</t>
  </si>
  <si>
    <t>COFFEY, TIMOTHY A</t>
  </si>
  <si>
    <t>RUSSELL COUNTY CHRISTMAS PARADE</t>
  </si>
  <si>
    <t>LUMBER KING INC - WC</t>
  </si>
  <si>
    <t>CHRISTMAS PARADE</t>
  </si>
  <si>
    <t>H T HACKNEY COMPANY</t>
  </si>
  <si>
    <t>CANDY-H T HACKNEY</t>
  </si>
  <si>
    <t>PUBLIC RELATIONS</t>
  </si>
  <si>
    <t>MISCELLANEOUS GENERAL EXPENSES</t>
  </si>
  <si>
    <t>EKPC LED REIMBURSEMENT</t>
  </si>
  <si>
    <t>7000 - OFFICE SUPPLIES &amp; MISC EXP</t>
  </si>
  <si>
    <t>BALANCE ADJUSTMENTS DUE TO CONVERSION</t>
  </si>
  <si>
    <t>7090 - OFFICE SUPPLIES AND MISC</t>
  </si>
  <si>
    <t>PHOTOGRAPHY BY TOMMY WILSON</t>
  </si>
  <si>
    <t>BOARD OF DIRECTORS PHOTOS</t>
  </si>
  <si>
    <t>JE#48455-CORRECTING ENTRY-WRONG ACCT</t>
  </si>
  <si>
    <t>GRADUATION</t>
  </si>
  <si>
    <t>NEW HORIZON GRAPHICS</t>
  </si>
  <si>
    <t>VINYL COVER UP-MEMBER APPRECIATION DAY</t>
  </si>
  <si>
    <t>HNR FLGHT/SPEC OLMPCS/RON MCDON HOUSE</t>
  </si>
  <si>
    <t>(54) SIGNS-MEMBER APPRECIATION DAY</t>
  </si>
  <si>
    <t>MAGIC MONOGRAMS INC</t>
  </si>
  <si>
    <t>(182)SHIRTS-MEMBERSHIP DAY</t>
  </si>
  <si>
    <t>CARTER, DAKOTA</t>
  </si>
  <si>
    <t>DAKOTA CARTER-SUCKERS REIMBURSEMENT</t>
  </si>
  <si>
    <t>JOHNSON, MELISSA</t>
  </si>
  <si>
    <t>CAREER DAY-SOUTHERN MIDDLE</t>
  </si>
  <si>
    <t>WILSON, MARK P</t>
  </si>
  <si>
    <t>PUBLIC RELATIONS EXPENSE</t>
  </si>
  <si>
    <t>PUBLIC RELATIONS EXP</t>
  </si>
  <si>
    <t>LEADERSHIP LAKE CUMBERLAND</t>
  </si>
  <si>
    <t>7320 - KENTUCKY LIVING</t>
  </si>
  <si>
    <t>KENTUCKY LIVING</t>
  </si>
  <si>
    <t>7330 - ANNUAL MEETING/MEMBERSHIP DAY</t>
  </si>
  <si>
    <t>VERIZON</t>
  </si>
  <si>
    <t>TABLETS-MEM APP DAY</t>
  </si>
  <si>
    <t>WHITAKER ARTS LLC</t>
  </si>
  <si>
    <t>LIVE STREAM-ANNUAL MEETING</t>
  </si>
  <si>
    <t>TABLETS-MEMBER APP DAY</t>
  </si>
  <si>
    <t>HUNTERS BAR-B-Q</t>
  </si>
  <si>
    <t>ALBANY MEMBER APP DAY MEALS</t>
  </si>
  <si>
    <t>TUTTLE, TRE</t>
  </si>
  <si>
    <t>MEMBERSHIP DAY</t>
  </si>
  <si>
    <t>MEMBER APPRECIATION DAY</t>
  </si>
  <si>
    <t>ANNUAL MEETING</t>
  </si>
  <si>
    <t>SMITH, JACKSON</t>
  </si>
  <si>
    <t>ANNUAL MEETING/MEMBER APP DAY</t>
  </si>
  <si>
    <t>NEWTON, KEVIN</t>
  </si>
  <si>
    <t>WOOD, REGINA</t>
  </si>
  <si>
    <t>ERISMAN, GREGORY S</t>
  </si>
  <si>
    <t>BREAKFAST-MONTICELLO ANN MEETING/MEM APP</t>
  </si>
  <si>
    <t>HONEYCUTT, SHANA L</t>
  </si>
  <si>
    <t>MEMBER APPRECIATION DAY-MEAL</t>
  </si>
  <si>
    <t>TAYLOR, STANLEY B</t>
  </si>
  <si>
    <t>MEMBER APPRECIATION DAY-WHITLEY</t>
  </si>
  <si>
    <t>TABLET POWER BANKS</t>
  </si>
  <si>
    <t>BUTTE, MELISA</t>
  </si>
  <si>
    <t>ANNUAL MEETING/MEM APP DAY</t>
  </si>
  <si>
    <t>SHADOAN, TONI</t>
  </si>
  <si>
    <t>AD-MEMB APP DAYS</t>
  </si>
  <si>
    <t>7365 - EMPLOYEE EXP-OUTING/PARTY</t>
  </si>
  <si>
    <t>BEAR WALLOW FARM</t>
  </si>
  <si>
    <t>BEAR WALLOW FARM-EMPLOYEE PICNIC</t>
  </si>
  <si>
    <t>EMPLOYEE OUTING EXP</t>
  </si>
  <si>
    <t>CORRECT 48528-TRK#426 SLAVEY</t>
  </si>
  <si>
    <t>SOUTH KY RECC - WHITLEY CITY</t>
  </si>
  <si>
    <t>CARD-JUSTIN WATTERS-GRANDMOTHER</t>
  </si>
  <si>
    <t>CARD-NANCY DUNCAN</t>
  </si>
  <si>
    <t>JAMES VANHOOK (JEANNIE WOOD)</t>
  </si>
  <si>
    <t>SIMPLY THE BEST</t>
  </si>
  <si>
    <t>SYMPATHY-JEANNIE WOOD</t>
  </si>
  <si>
    <t>FLOWERS, GIFTS, ETC.</t>
  </si>
  <si>
    <t>EMPLOYEE CONTEST GIFT CARDS</t>
  </si>
  <si>
    <t>TYREE, TOMMY D</t>
  </si>
  <si>
    <t>PENDERGRASS, ROBIN</t>
  </si>
  <si>
    <t>SIMMONS, KENNETH E</t>
  </si>
  <si>
    <t>RETIREMENT-PARKEY/TRIMBLE</t>
  </si>
  <si>
    <t>CAUDILL, AMY</t>
  </si>
  <si>
    <t>EMP APPRECIATION EXP-FLOWERS, GIFTS, ETC</t>
  </si>
  <si>
    <t>9610 - EMPLOYEE TRAVEL/MTG/MEAL EXP</t>
  </si>
  <si>
    <t>MODERN DISTRIBUTORS INC</t>
  </si>
  <si>
    <t>02/22 MODERN DISTRIBUTORS</t>
  </si>
  <si>
    <t>12/08/23 MANAGER'S CHIRSTMAS MEETING</t>
  </si>
  <si>
    <t>9620 - EMPLOYEE APPRECIATION/WELLNESS</t>
  </si>
  <si>
    <t>CHOICE DIGITAL CORP</t>
  </si>
  <si>
    <t>(75) GIFT CARDS-EMPLOYEE APPRECIATION</t>
  </si>
  <si>
    <t>SWEETS BY SHANDI</t>
  </si>
  <si>
    <t>VOID CHK#207540-SWEETS BY SHANDI</t>
  </si>
  <si>
    <t>RETIREMENT CAKE (MELISA BUTTE)</t>
  </si>
  <si>
    <t>(51) GIFT CARDS-LINEMEN APPRECIATION</t>
  </si>
  <si>
    <t>BERSOK, ROBERT</t>
  </si>
  <si>
    <t>RAMSEY, MICHAEL</t>
  </si>
  <si>
    <t>MIKE RAMSEY-JAMES EASTHAM RETIREMENT</t>
  </si>
  <si>
    <t>ARBOR DAY TRIVIA GIFT CARDS</t>
  </si>
  <si>
    <t>BAKER, KENDRA</t>
  </si>
  <si>
    <t>HENDERLIGHT, MARY LOU</t>
  </si>
  <si>
    <t>SHELLEY FAREWELL PARTY</t>
  </si>
  <si>
    <t>FAREWELL-SHELLEY YOUNG</t>
  </si>
  <si>
    <t>FLOWERS, GIFTS, ETC</t>
  </si>
  <si>
    <t>RETIREE LUNCHEON</t>
  </si>
  <si>
    <t>MELISA BUTTE-RETIREMENT CAKE</t>
  </si>
  <si>
    <t>WESLEY, BRANDON</t>
  </si>
  <si>
    <t>RETIREMENT PARTY-EASTHAM</t>
  </si>
  <si>
    <t>CHUMBLEY, ERIC</t>
  </si>
  <si>
    <t>RETIREMENT BREAKFAST-EASTHAM</t>
  </si>
  <si>
    <t>FLETCHER, RICKY W</t>
  </si>
  <si>
    <t>EMPLOYEE CHRISTMAS BREAKFAST</t>
  </si>
  <si>
    <t>GOSS, MARK D</t>
  </si>
  <si>
    <t>EXECUTIVE TEAM CHRISTMAS DINNER</t>
  </si>
  <si>
    <t>RETIREE BREAKFAST</t>
  </si>
  <si>
    <t>9630 - EMPLOYEE MISC EXPENSE</t>
  </si>
  <si>
    <t>HOMECOURT MOVING CO.</t>
  </si>
  <si>
    <t>CARRIE BESSINGER-MOVING EXPENSES</t>
  </si>
  <si>
    <t>EMPLOYEE MISC EXPENSE</t>
  </si>
  <si>
    <t>9740 - DIRECTOR EXP - DIRECTOR ELECTION</t>
  </si>
  <si>
    <t>WFLW-WKYM</t>
  </si>
  <si>
    <t>DIRECTOR ELECTION-ADS FOR MEMBERSHIP DAY</t>
  </si>
  <si>
    <t>AD-DIRECTOR ELECTION</t>
  </si>
  <si>
    <t>HANCOCK, JAMES M</t>
  </si>
  <si>
    <t>ELECTIONS/CREDENTIALS COMMITTEE</t>
  </si>
  <si>
    <t>JONES II, JOHN PAUL</t>
  </si>
  <si>
    <t>ELMORE, GEORGE JAMES</t>
  </si>
  <si>
    <t>ELECTIONSOURCE</t>
  </si>
  <si>
    <t>DIRECTOR ELECTION-BALLOT BOXES</t>
  </si>
  <si>
    <t>TLO BROADCASTING</t>
  </si>
  <si>
    <t>DIRECTOR ELECTION-ADS FOR MEM APP DAY</t>
  </si>
  <si>
    <t>WJRS</t>
  </si>
  <si>
    <t>IHEARTMEDIA</t>
  </si>
  <si>
    <t>AD-MEM APP DAY/DIRECTOR ELECTION</t>
  </si>
  <si>
    <t>ALBANY BROADCASTING COMPANY</t>
  </si>
  <si>
    <t>HARP ENTERPRISES, INC.</t>
  </si>
  <si>
    <t>DIRECTOR EXP-DIRECTOR ELECTION</t>
  </si>
  <si>
    <t>HIRERIGHT LLC</t>
  </si>
  <si>
    <t>2024 DIRECTOR ELECTION-BACKGROUND CHECKS</t>
  </si>
  <si>
    <t>SURVEY &amp; BALLOT SYSTEMS INC</t>
  </si>
  <si>
    <t>SURVERY &amp; BALLOT-2024 DIRECTOR ELECTION</t>
  </si>
  <si>
    <t>STAPLES ADVANTAGE</t>
  </si>
  <si>
    <t>DIRECTOR ELECTION-CLIPBOARD/PADLOCK</t>
  </si>
  <si>
    <t>MILEAGE REIMBURSEMENT</t>
  </si>
  <si>
    <t>DIRECTOR ELECTIONS EXPENSE</t>
  </si>
  <si>
    <t>9750 - DIRECTOR EXP-MISC</t>
  </si>
  <si>
    <t>HOMESTEAD ADVISERS CORP</t>
  </si>
  <si>
    <t>457(B) PLAN-DIRECTORS</t>
  </si>
  <si>
    <t>BORIS HAYNES-APPRECIATION</t>
  </si>
  <si>
    <t>7130 - MAG/NEWPAPER SUBSCRIPTIONS</t>
  </si>
  <si>
    <t>N R E C A</t>
  </si>
  <si>
    <t>MAGAZINE/NEWSPAPER SUBSCRIPTIONS</t>
  </si>
  <si>
    <t>DUES &amp; EXPENSE - ASSOC COMPANIES</t>
  </si>
  <si>
    <t>8519 - AMORTIZE NRECA DUES</t>
  </si>
  <si>
    <t>AMORTIZE NRECA DUES</t>
  </si>
  <si>
    <t>8520 - AMORTIZE KEC DUES</t>
  </si>
  <si>
    <t>AMORTIZE KEC DUES</t>
  </si>
  <si>
    <t>ANNUAL MEETING EXPENSE</t>
  </si>
  <si>
    <t>7340 - SCHOLARSHIPS-YOUTH</t>
  </si>
  <si>
    <t>SCHOLARSHIP-PATRICK MEYER</t>
  </si>
  <si>
    <t>SCHOLARSHIP-ELIZABETH HOSKINS</t>
  </si>
  <si>
    <t>UNIVERSITY OF LOUISVILLE</t>
  </si>
  <si>
    <t>SCHOLARSHIP-CHARLES MCGUIRE</t>
  </si>
  <si>
    <t>SCHOLARSHIP-ADDISON LANGFORD</t>
  </si>
  <si>
    <t>SCHOLARSHIP-CHLOE ELAINE MOORE</t>
  </si>
  <si>
    <t>MURRAY STATE UNIVERSITY</t>
  </si>
  <si>
    <t>SCHOLARSHIP-ETHAN MEGGS</t>
  </si>
  <si>
    <t>UNIVERSITY OF CUMBERLANDS</t>
  </si>
  <si>
    <t>SCHOLARSHIP-EMILY BURNS</t>
  </si>
  <si>
    <t>7110 - POSTAGE/SHIPPING</t>
  </si>
  <si>
    <t>POSTAGE/SHIPPING</t>
  </si>
  <si>
    <t>MEMBERSHIP FEE-KY BAR ASSOC.</t>
  </si>
  <si>
    <t>FEES/SVC CHRG/LICENSE</t>
  </si>
  <si>
    <t>MILEAGE-UNION NEGOTIATIONS</t>
  </si>
  <si>
    <t>MILEAGE</t>
  </si>
  <si>
    <t>LEGAL COUNSEL EXPENSE</t>
  </si>
  <si>
    <t>TRAVEL EXPENSE</t>
  </si>
  <si>
    <t>EDUCATIONAL/TRAINING EXPENSE</t>
  </si>
  <si>
    <t>STAFF LEGAL COUNSEL EXPENSE</t>
  </si>
  <si>
    <t>Proposed Rate</t>
  </si>
  <si>
    <t>FEMA Costs and Reimbursements</t>
  </si>
  <si>
    <t>Test Year FEMA storm expenses</t>
  </si>
  <si>
    <t>Test Year FEMA storm reimbursements</t>
  </si>
  <si>
    <t>This adjustment removes from expenses any FEMA declared storm costs and reimbursements.</t>
  </si>
  <si>
    <t>FEMA</t>
  </si>
  <si>
    <t>Retiree %</t>
  </si>
  <si>
    <t>Retiree $</t>
  </si>
  <si>
    <t>(10)</t>
  </si>
  <si>
    <t>Retiree</t>
  </si>
  <si>
    <t>Retiree-Humana</t>
  </si>
  <si>
    <t>Retiree Spouse Only-Humana</t>
  </si>
  <si>
    <t>Grand Total Adjustment for Medical and Dental</t>
  </si>
  <si>
    <t>At Proposed Rates</t>
  </si>
  <si>
    <t>MEMBER APPRECIATION-BUCKETS AND BULBS</t>
  </si>
  <si>
    <t>ANNUAL MEETING PRIZE</t>
  </si>
  <si>
    <t>Meter Fee Test Year Revenue</t>
  </si>
  <si>
    <t>Meter Fee Test Year Quantity</t>
  </si>
  <si>
    <t>Wage Rate</t>
  </si>
  <si>
    <t>Total Cost to Test</t>
  </si>
  <si>
    <t>Test Cost per Meter</t>
  </si>
  <si>
    <t>Trip Labor Hours Required</t>
  </si>
  <si>
    <t>Serviceman Wage Rate</t>
  </si>
  <si>
    <t>Total Cost To Retrieve</t>
  </si>
  <si>
    <t>Total Cost to Retrieve and Test Meter</t>
  </si>
  <si>
    <t>Labor Hours Required to Test</t>
  </si>
  <si>
    <t>Total Trip Cost</t>
  </si>
  <si>
    <t>Transportation Cost</t>
  </si>
  <si>
    <t>Transportation Rate per Hour</t>
  </si>
  <si>
    <t>Labor Cost</t>
  </si>
  <si>
    <t>Proforma Calculation</t>
  </si>
  <si>
    <t>Trip Charges during business hours</t>
  </si>
  <si>
    <t>Test Year Total</t>
  </si>
  <si>
    <t>Trip Cost During Regular Hours</t>
  </si>
  <si>
    <t>Trip Charges outside of business hours</t>
  </si>
  <si>
    <t>Trip Cost @ 1.5x</t>
  </si>
  <si>
    <t>Trip Cost -Sunday and Holiday</t>
  </si>
  <si>
    <t>Proforma Total Cost</t>
  </si>
  <si>
    <t>Test Year Number of Trips</t>
  </si>
  <si>
    <t>Employee or Retiree</t>
  </si>
  <si>
    <t>Employee or Retiree &amp; Spouse</t>
  </si>
  <si>
    <t>Employee or Retiree &amp; Child(ren)</t>
  </si>
  <si>
    <t>Employee or Retiree &amp; Family</t>
  </si>
  <si>
    <t>Trip Charge</t>
  </si>
  <si>
    <t>Remote Reconnect-60 days or less</t>
  </si>
  <si>
    <t>Test Year Revenue</t>
  </si>
  <si>
    <t>Proforma Revenue</t>
  </si>
  <si>
    <t>Test Year Occurrences</t>
  </si>
  <si>
    <t xml:space="preserve">Hours </t>
  </si>
  <si>
    <t>Labor Rate</t>
  </si>
  <si>
    <t>Total Cost</t>
  </si>
  <si>
    <t>Cost per Occurrence</t>
  </si>
  <si>
    <t>Remote Service Reconnection greater than 60 and less than 365 days</t>
  </si>
  <si>
    <t>Fixed Costs-Loss of Consumer Charges</t>
  </si>
  <si>
    <t>Estimated Proforma Occurrences</t>
  </si>
  <si>
    <t>For the retrieval and testing of a meter at the member's request.</t>
  </si>
  <si>
    <t>Remote Reconnect-61 through 365 days</t>
  </si>
  <si>
    <t>1.20</t>
  </si>
  <si>
    <t>Remote Service Reconnection within 60 days of disconnection</t>
  </si>
  <si>
    <t>Trip Charge for collection, meter reading or disconnection and/or reconnection of service where a non-remote meter is installed.</t>
  </si>
  <si>
    <t>Trip Cost After Hours (85%@1.5x, 15%@2x)</t>
  </si>
  <si>
    <t>unknown</t>
  </si>
  <si>
    <t>Returned Check Charge</t>
  </si>
  <si>
    <t>Meter Testing Charge</t>
  </si>
  <si>
    <t>Proforma</t>
  </si>
  <si>
    <t>Average bank fee</t>
  </si>
  <si>
    <t>Labor Hours</t>
  </si>
  <si>
    <t>Total Labor Cost</t>
  </si>
  <si>
    <t>Labor Cost per Occurrence</t>
  </si>
  <si>
    <t>Total Cost per Occurrence</t>
  </si>
  <si>
    <t>Postage and Mail Supplies per Occurrence</t>
  </si>
  <si>
    <t>Meter Test Charge</t>
  </si>
  <si>
    <t>Trip Hours Required</t>
  </si>
  <si>
    <t>Service Tech Cost</t>
  </si>
  <si>
    <t>Cost per Test</t>
  </si>
  <si>
    <t>Proposed Rates</t>
  </si>
  <si>
    <t>Proforma Number of Trips</t>
  </si>
  <si>
    <t>Non-Utility Property - Net</t>
  </si>
  <si>
    <t>Operating Margins - Prior  Years</t>
  </si>
  <si>
    <t>Payments - Unapplied</t>
  </si>
  <si>
    <t xml:space="preserve"> Increase $</t>
  </si>
  <si>
    <t>Reference Schedule: 1.07</t>
  </si>
  <si>
    <t>Health Insurance for Spouses of Deceased Directors *</t>
  </si>
  <si>
    <t xml:space="preserve">* no longer an available benefit </t>
  </si>
  <si>
    <t>was short 1 Director for 9 months</t>
  </si>
  <si>
    <t>used July 23-June 24 to closely represent interest expense for each loan during the test yr.</t>
  </si>
  <si>
    <t>Reference Schedule:  1.17</t>
  </si>
  <si>
    <t>Proforma Meter Fee Annual Revenue</t>
  </si>
  <si>
    <t>Reference Schedule:  1.18</t>
  </si>
  <si>
    <t>Proforma Annual Rev</t>
  </si>
  <si>
    <t>Remote Reconnection &lt; 60 Days</t>
  </si>
  <si>
    <t>Reference Schedule:  1.19</t>
  </si>
  <si>
    <t>Proforma Annual Revenue</t>
  </si>
  <si>
    <t xml:space="preserve">To reconnect service for disconnected accounts with remote meter capabilities </t>
  </si>
  <si>
    <t>where the account was previously disconnected within the past 60 days.</t>
  </si>
  <si>
    <t>Reference Schedule:  1.20</t>
  </si>
  <si>
    <t xml:space="preserve">To reconnect service for disconnected accounts with remote meter capabilities where the account </t>
  </si>
  <si>
    <t>was previously disconnected more than 60 and less than 365 days.</t>
  </si>
  <si>
    <t>Reference Schedule:  1.21</t>
  </si>
  <si>
    <t>Remote Reconnection 61 - 365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</si>
</sst>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000_);_(&quot;$&quot;* \(#,##0.00000\);_(&quot;$&quot;* &quot;-&quot;??_);_(@_)"/>
    <numFmt numFmtId="167" formatCode="_(* #,##0.00000_);_(* \(#,##0.00000\);_(* &quot;-&quot;??_);_(@_)"/>
    <numFmt numFmtId="168" formatCode="0.0%"/>
    <numFmt numFmtId="169" formatCode="\(#\)"/>
    <numFmt numFmtId="170" formatCode="m/d/yy;@"/>
    <numFmt numFmtId="171" formatCode="###,###,###,###.00"/>
    <numFmt numFmtId="172" formatCode="0.000%"/>
    <numFmt numFmtId="173" formatCode="_(* #,##0.00_);_(* \(#,##0.00\);_(* &quot;-&quot;_);_(@_)"/>
    <numFmt numFmtId="174" formatCode="mmm\-yyyy"/>
  </numFmts>
  <fonts count="38">
    <font>
      <sz val="11"/>
      <color theme="1"/>
      <name val="Calibri"/>
      <family val="2"/>
      <scheme val="minor"/>
    </font>
    <font>
      <sz val="11"/>
      <color theme="1"/>
      <name val="Calibri"/>
      <family val="2"/>
      <scheme val="minor"/>
    </font>
    <font>
      <sz val="10"/>
      <name val="Arial"/>
      <family val="2"/>
    </font>
    <font>
      <sz val="12"/>
      <color theme="1"/>
      <name val="Arial"/>
      <family val="2"/>
    </font>
    <font>
      <b/>
      <sz val="10"/>
      <color theme="1"/>
      <name val="Arial"/>
      <family val="2"/>
    </font>
    <font>
      <sz val="10"/>
      <color theme="1"/>
      <name val="Arial"/>
      <family val="2"/>
    </font>
    <font>
      <b/>
      <u/>
      <sz val="10"/>
      <name val="Arial"/>
      <family val="2"/>
    </font>
    <font>
      <sz val="11"/>
      <name val="Arial"/>
      <family val="2"/>
    </font>
    <font>
      <b/>
      <u/>
      <sz val="10"/>
      <color theme="1"/>
      <name val="Arial"/>
      <family val="2"/>
    </font>
    <font>
      <u/>
      <sz val="10"/>
      <color theme="1"/>
      <name val="Arial"/>
      <family val="2"/>
    </font>
    <font>
      <sz val="12"/>
      <name val="P-TIMES"/>
    </font>
    <font>
      <sz val="11"/>
      <name val="P-TIMES"/>
    </font>
    <font>
      <u/>
      <sz val="11"/>
      <name val="Arial"/>
      <family val="2"/>
    </font>
    <font>
      <u/>
      <sz val="10"/>
      <name val="Arial"/>
      <family val="2"/>
    </font>
    <font>
      <b/>
      <sz val="10"/>
      <name val="Arial"/>
      <family val="2"/>
    </font>
    <font>
      <sz val="11"/>
      <name val="Times New Roman"/>
      <family val="1"/>
    </font>
    <font>
      <sz val="10"/>
      <name val="MS Sans Serif"/>
      <family val="2"/>
    </font>
    <font>
      <sz val="10"/>
      <color rgb="FF0000CC"/>
      <name val="Arial"/>
      <family val="2"/>
    </font>
    <font>
      <b/>
      <sz val="11"/>
      <color theme="1"/>
      <name val="Calibri"/>
      <family val="2"/>
      <scheme val="minor"/>
    </font>
    <font>
      <b/>
      <sz val="11"/>
      <name val="Arial"/>
      <family val="2"/>
    </font>
    <font>
      <b/>
      <i/>
      <sz val="10"/>
      <color theme="1"/>
      <name val="Arial"/>
      <family val="2"/>
    </font>
    <font>
      <sz val="11"/>
      <name val="Calibri"/>
      <family val="2"/>
      <scheme val="minor"/>
    </font>
    <font>
      <sz val="10"/>
      <color rgb="FFFF3300"/>
      <name val="Arial"/>
      <family val="2"/>
    </font>
    <font>
      <b/>
      <sz val="11"/>
      <color theme="1"/>
      <name val="Arial"/>
      <family val="2"/>
    </font>
    <font>
      <sz val="11"/>
      <color theme="1"/>
      <name val="Arial"/>
      <family val="2"/>
    </font>
    <font>
      <b/>
      <sz val="9"/>
      <color indexed="81"/>
      <name val="Tahoma"/>
      <family val="2"/>
    </font>
    <font>
      <sz val="9"/>
      <color indexed="81"/>
      <name val="Tahoma"/>
      <family val="2"/>
    </font>
    <font>
      <b/>
      <sz val="11"/>
      <name val="Calibri"/>
      <family val="2"/>
      <scheme val="minor"/>
    </font>
    <font>
      <u/>
      <sz val="11"/>
      <color theme="1"/>
      <name val="Arial"/>
      <family val="2"/>
    </font>
    <font>
      <b/>
      <i/>
      <sz val="10"/>
      <name val="Arial"/>
      <family val="2"/>
    </font>
    <font>
      <i/>
      <sz val="10"/>
      <color rgb="FF7030A0"/>
      <name val="Arial"/>
      <family val="2"/>
    </font>
    <font>
      <sz val="10"/>
      <color rgb="FF7030A0"/>
      <name val="Arial"/>
      <family val="2"/>
    </font>
    <font>
      <u/>
      <sz val="11"/>
      <color theme="10"/>
      <name val="Calibri"/>
      <family val="2"/>
      <scheme val="minor"/>
    </font>
    <font>
      <u/>
      <sz val="10"/>
      <color theme="10"/>
      <name val="Arial"/>
      <family val="2"/>
    </font>
    <font>
      <sz val="10"/>
      <color rgb="FF000000"/>
      <name val="Arial"/>
      <family val="2"/>
    </font>
    <font>
      <b/>
      <sz val="10"/>
      <color rgb="FF000000"/>
      <name val="Arial"/>
      <family val="2"/>
    </font>
    <font>
      <i/>
      <sz val="10"/>
      <color theme="1"/>
      <name val="Arial"/>
      <family val="2"/>
    </font>
    <font>
      <sz val="11"/>
      <color theme="1"/>
      <name val="P-TIMES"/>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17">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right/>
      <top style="thin">
        <color theme="1"/>
      </top>
      <bottom/>
      <diagonal/>
    </border>
    <border>
      <left/>
      <right/>
      <top style="thin">
        <color theme="1"/>
      </top>
      <bottom style="double">
        <color theme="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4">
    <xf numFmtId="0" fontId="0" fillId="0" borderId="0"/>
    <xf numFmtId="44" fontId="1" fillId="0" borderId="0" applyFont="0" applyFill="0" applyBorder="0" applyAlignment="0" applyProtection="0"/>
    <xf numFmtId="43" fontId="1" fillId="0" borderId="0" applyFont="0" applyFill="0" applyBorder="0" applyAlignment="0" applyProtection="0"/>
    <xf numFmtId="0" fontId="3" fillId="0" borderId="0"/>
    <xf numFmtId="0" fontId="10" fillId="0" borderId="0"/>
    <xf numFmtId="9" fontId="1"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6"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32" fillId="0" borderId="0" applyNumberFormat="0" applyFill="0" applyBorder="0" applyAlignment="0" applyProtection="0"/>
  </cellStyleXfs>
  <cellXfs count="462">
    <xf numFmtId="0" fontId="0" fillId="0" borderId="0" xfId="0"/>
    <xf numFmtId="0" fontId="2" fillId="0" borderId="0" xfId="0" applyFont="1" applyAlignment="1">
      <alignment horizontal="center"/>
    </xf>
    <xf numFmtId="0" fontId="2" fillId="0" borderId="0" xfId="0" applyFont="1"/>
    <xf numFmtId="0" fontId="2" fillId="0" borderId="2" xfId="0" applyFont="1" applyBorder="1"/>
    <xf numFmtId="0" fontId="2" fillId="0" borderId="3" xfId="0" applyFont="1" applyBorder="1" applyAlignment="1">
      <alignment horizontal="center"/>
    </xf>
    <xf numFmtId="0" fontId="4" fillId="0" borderId="0" xfId="3" applyFont="1" applyAlignment="1">
      <alignment horizontal="right"/>
    </xf>
    <xf numFmtId="0" fontId="5" fillId="0" borderId="0" xfId="3" applyFont="1"/>
    <xf numFmtId="0" fontId="4" fillId="0" borderId="0" xfId="3" applyFont="1"/>
    <xf numFmtId="0" fontId="5" fillId="0" borderId="0" xfId="0" applyFont="1" applyAlignment="1">
      <alignment vertical="top" wrapText="1"/>
    </xf>
    <xf numFmtId="0" fontId="5" fillId="0" borderId="0" xfId="0" applyFont="1" applyAlignment="1">
      <alignment horizontal="center"/>
    </xf>
    <xf numFmtId="0" fontId="5" fillId="0" borderId="0" xfId="0" applyFont="1"/>
    <xf numFmtId="0" fontId="5" fillId="0" borderId="1" xfId="0" applyFont="1" applyBorder="1" applyAlignment="1">
      <alignment horizontal="center"/>
    </xf>
    <xf numFmtId="0" fontId="5" fillId="0" borderId="1" xfId="0" quotePrefix="1" applyFont="1" applyBorder="1" applyAlignment="1">
      <alignment horizontal="center"/>
    </xf>
    <xf numFmtId="164" fontId="5" fillId="0" borderId="0" xfId="1" applyNumberFormat="1" applyFont="1"/>
    <xf numFmtId="0" fontId="5" fillId="0" borderId="0" xfId="0" applyFont="1" applyAlignment="1">
      <alignment horizontal="left"/>
    </xf>
    <xf numFmtId="0" fontId="5" fillId="0" borderId="3" xfId="0" applyFont="1" applyBorder="1"/>
    <xf numFmtId="164" fontId="5" fillId="0" borderId="3" xfId="1" applyNumberFormat="1" applyFont="1" applyBorder="1"/>
    <xf numFmtId="164" fontId="5" fillId="0" borderId="0" xfId="1" applyNumberFormat="1" applyFont="1" applyBorder="1"/>
    <xf numFmtId="164" fontId="5" fillId="0" borderId="0" xfId="1" applyNumberFormat="1" applyFont="1" applyFill="1" applyBorder="1"/>
    <xf numFmtId="0" fontId="5" fillId="0" borderId="2" xfId="0" applyFont="1" applyBorder="1"/>
    <xf numFmtId="164" fontId="5" fillId="0" borderId="2" xfId="0" applyNumberFormat="1" applyFont="1" applyBorder="1"/>
    <xf numFmtId="164" fontId="5" fillId="0" borderId="2" xfId="1" applyNumberFormat="1" applyFont="1" applyBorder="1"/>
    <xf numFmtId="165" fontId="5" fillId="0" borderId="0" xfId="2" applyNumberFormat="1" applyFont="1"/>
    <xf numFmtId="165" fontId="5" fillId="0" borderId="0" xfId="2" applyNumberFormat="1" applyFont="1" applyFill="1"/>
    <xf numFmtId="164" fontId="5" fillId="0" borderId="0" xfId="0" applyNumberFormat="1" applyFont="1"/>
    <xf numFmtId="43" fontId="5" fillId="0" borderId="0" xfId="2" applyFont="1"/>
    <xf numFmtId="2" fontId="5" fillId="0" borderId="0" xfId="0" applyNumberFormat="1" applyFont="1" applyAlignment="1">
      <alignment horizontal="center"/>
    </xf>
    <xf numFmtId="0" fontId="5" fillId="0" borderId="0" xfId="0" applyFont="1" applyAlignment="1">
      <alignment horizontal="center" wrapText="1"/>
    </xf>
    <xf numFmtId="165" fontId="5" fillId="0" borderId="3" xfId="2" applyNumberFormat="1" applyFont="1" applyBorder="1"/>
    <xf numFmtId="165" fontId="5" fillId="0" borderId="0" xfId="2" applyNumberFormat="1" applyFont="1" applyBorder="1"/>
    <xf numFmtId="0" fontId="2" fillId="0" borderId="4" xfId="0" applyFont="1" applyBorder="1" applyAlignment="1">
      <alignment horizontal="center"/>
    </xf>
    <xf numFmtId="165" fontId="2" fillId="0" borderId="0" xfId="2" applyNumberFormat="1" applyFont="1" applyFill="1"/>
    <xf numFmtId="0" fontId="9" fillId="0" borderId="0" xfId="0" applyFont="1" applyAlignment="1">
      <alignment horizontal="left"/>
    </xf>
    <xf numFmtId="164" fontId="2" fillId="0" borderId="0" xfId="1" applyNumberFormat="1" applyFont="1" applyBorder="1" applyProtection="1"/>
    <xf numFmtId="168" fontId="2" fillId="0" borderId="0" xfId="5" applyNumberFormat="1" applyFont="1" applyBorder="1" applyProtection="1"/>
    <xf numFmtId="0" fontId="2" fillId="0" borderId="0" xfId="0" applyFont="1" applyAlignment="1">
      <alignment horizontal="center" wrapText="1"/>
    </xf>
    <xf numFmtId="0" fontId="2" fillId="0" borderId="1" xfId="0" applyFont="1" applyBorder="1" applyAlignment="1">
      <alignment horizontal="center"/>
    </xf>
    <xf numFmtId="169" fontId="2" fillId="0" borderId="1" xfId="0" quotePrefix="1" applyNumberFormat="1" applyFont="1" applyBorder="1" applyAlignment="1">
      <alignment horizontal="center"/>
    </xf>
    <xf numFmtId="0" fontId="2" fillId="0" borderId="0" xfId="0" applyFont="1" applyAlignment="1">
      <alignment vertical="top" wrapText="1"/>
    </xf>
    <xf numFmtId="0" fontId="13" fillId="0" borderId="0" xfId="0" applyFont="1" applyAlignment="1">
      <alignment horizontal="left"/>
    </xf>
    <xf numFmtId="164" fontId="2" fillId="0" borderId="0" xfId="1" applyNumberFormat="1" applyFont="1" applyBorder="1" applyAlignment="1" applyProtection="1">
      <alignment horizontal="center"/>
    </xf>
    <xf numFmtId="0" fontId="2" fillId="0" borderId="3" xfId="0" applyFont="1" applyBorder="1"/>
    <xf numFmtId="0" fontId="2" fillId="0" borderId="2" xfId="0" applyFont="1" applyBorder="1" applyAlignment="1">
      <alignment horizontal="center"/>
    </xf>
    <xf numFmtId="168" fontId="2" fillId="0" borderId="2" xfId="5" applyNumberFormat="1" applyFont="1" applyBorder="1" applyProtection="1"/>
    <xf numFmtId="0" fontId="13" fillId="0" borderId="0" xfId="0" applyFont="1" applyAlignment="1">
      <alignment horizontal="right" wrapText="1"/>
    </xf>
    <xf numFmtId="41" fontId="2" fillId="0" borderId="0" xfId="0" applyNumberFormat="1" applyFont="1"/>
    <xf numFmtId="0" fontId="5" fillId="0" borderId="0" xfId="0" applyFont="1" applyAlignment="1">
      <alignment horizontal="right"/>
    </xf>
    <xf numFmtId="164" fontId="2" fillId="0" borderId="7" xfId="1" applyNumberFormat="1" applyFont="1" applyBorder="1" applyAlignment="1" applyProtection="1">
      <alignment horizontal="center"/>
    </xf>
    <xf numFmtId="37" fontId="7" fillId="0" borderId="0" xfId="4" applyNumberFormat="1" applyFont="1"/>
    <xf numFmtId="165" fontId="2" fillId="0" borderId="2" xfId="2" applyNumberFormat="1" applyFont="1" applyFill="1" applyBorder="1"/>
    <xf numFmtId="0" fontId="5" fillId="0" borderId="0" xfId="0" applyFont="1" applyAlignment="1">
      <alignment vertical="center"/>
    </xf>
    <xf numFmtId="169" fontId="2" fillId="0" borderId="0" xfId="0" quotePrefix="1" applyNumberFormat="1" applyFont="1" applyAlignment="1">
      <alignment horizontal="center"/>
    </xf>
    <xf numFmtId="0" fontId="4" fillId="0" borderId="0" xfId="0" applyFont="1" applyAlignment="1">
      <alignment horizontal="center"/>
    </xf>
    <xf numFmtId="165" fontId="2" fillId="0" borderId="3" xfId="2" applyNumberFormat="1" applyFont="1" applyFill="1" applyBorder="1"/>
    <xf numFmtId="0" fontId="7" fillId="0" borderId="0" xfId="4" applyFont="1" applyAlignment="1">
      <alignment horizontal="centerContinuous"/>
    </xf>
    <xf numFmtId="0" fontId="7" fillId="0" borderId="0" xfId="4" applyFont="1" applyAlignment="1">
      <alignment horizontal="right"/>
    </xf>
    <xf numFmtId="0" fontId="7" fillId="0" borderId="0" xfId="4" applyFont="1"/>
    <xf numFmtId="0" fontId="11" fillId="0" borderId="0" xfId="4" applyFont="1"/>
    <xf numFmtId="0" fontId="7" fillId="0" borderId="0" xfId="4" applyFont="1" applyAlignment="1">
      <alignment horizontal="center"/>
    </xf>
    <xf numFmtId="0" fontId="11" fillId="0" borderId="0" xfId="4" applyFont="1" applyAlignment="1">
      <alignment horizontal="center"/>
    </xf>
    <xf numFmtId="2" fontId="7" fillId="0" borderId="0" xfId="4" applyNumberFormat="1" applyFont="1" applyAlignment="1">
      <alignment horizontal="center"/>
    </xf>
    <xf numFmtId="0" fontId="12" fillId="0" borderId="0" xfId="4" applyFont="1" applyAlignment="1">
      <alignment horizontal="centerContinuous"/>
    </xf>
    <xf numFmtId="0" fontId="7" fillId="0" borderId="1" xfId="4" applyFont="1" applyBorder="1" applyAlignment="1">
      <alignment horizontal="center" wrapText="1"/>
    </xf>
    <xf numFmtId="0" fontId="11" fillId="0" borderId="1" xfId="4" applyFont="1" applyBorder="1" applyAlignment="1">
      <alignment horizontal="center" wrapText="1"/>
    </xf>
    <xf numFmtId="0" fontId="12" fillId="0" borderId="0" xfId="4" applyFont="1"/>
    <xf numFmtId="165" fontId="7" fillId="0" borderId="0" xfId="2" applyNumberFormat="1" applyFont="1" applyFill="1"/>
    <xf numFmtId="37" fontId="7" fillId="0" borderId="1" xfId="4" applyNumberFormat="1" applyFont="1" applyBorder="1"/>
    <xf numFmtId="0" fontId="7" fillId="0" borderId="5" xfId="4" applyFont="1" applyBorder="1"/>
    <xf numFmtId="37" fontId="7" fillId="0" borderId="5" xfId="4" applyNumberFormat="1" applyFont="1" applyBorder="1"/>
    <xf numFmtId="37" fontId="7" fillId="0" borderId="0" xfId="4" applyNumberFormat="1" applyFont="1" applyAlignment="1">
      <alignment horizontal="right"/>
    </xf>
    <xf numFmtId="0" fontId="7" fillId="0" borderId="6" xfId="4" applyFont="1" applyBorder="1"/>
    <xf numFmtId="37" fontId="7" fillId="0" borderId="6" xfId="4" applyNumberFormat="1" applyFont="1" applyBorder="1"/>
    <xf numFmtId="0" fontId="19" fillId="0" borderId="0" xfId="4" applyFont="1" applyAlignment="1">
      <alignment horizontal="centerContinuous"/>
    </xf>
    <xf numFmtId="0" fontId="5" fillId="0" borderId="2" xfId="0" applyFont="1" applyBorder="1" applyAlignment="1">
      <alignment horizontal="center" vertical="center"/>
    </xf>
    <xf numFmtId="0" fontId="5" fillId="0" borderId="2" xfId="0" applyFont="1" applyBorder="1" applyAlignment="1">
      <alignment vertical="center"/>
    </xf>
    <xf numFmtId="165" fontId="5" fillId="0" borderId="2" xfId="2" applyNumberFormat="1" applyFont="1" applyBorder="1" applyAlignment="1">
      <alignment vertical="center"/>
    </xf>
    <xf numFmtId="168" fontId="2" fillId="0" borderId="0" xfId="5" applyNumberFormat="1" applyFont="1" applyFill="1" applyBorder="1" applyProtection="1"/>
    <xf numFmtId="168" fontId="2" fillId="0" borderId="3" xfId="5" applyNumberFormat="1" applyFont="1" applyFill="1" applyBorder="1" applyProtection="1"/>
    <xf numFmtId="0" fontId="14" fillId="0" borderId="1" xfId="0" applyFont="1" applyBorder="1" applyAlignment="1">
      <alignment horizontal="center"/>
    </xf>
    <xf numFmtId="169" fontId="14" fillId="0" borderId="1" xfId="0" quotePrefix="1" applyNumberFormat="1" applyFont="1" applyBorder="1" applyAlignment="1">
      <alignment horizontal="center"/>
    </xf>
    <xf numFmtId="0" fontId="18" fillId="0" borderId="0" xfId="0" applyFont="1"/>
    <xf numFmtId="0" fontId="4" fillId="0" borderId="0" xfId="0" applyFont="1"/>
    <xf numFmtId="0" fontId="20" fillId="0" borderId="0" xfId="0" applyFont="1" applyAlignment="1">
      <alignment horizontal="left"/>
    </xf>
    <xf numFmtId="0" fontId="20" fillId="0" borderId="0" xfId="0" applyFont="1"/>
    <xf numFmtId="165" fontId="4" fillId="0" borderId="0" xfId="2" applyNumberFormat="1" applyFont="1" applyFill="1" applyAlignment="1"/>
    <xf numFmtId="165" fontId="4" fillId="0" borderId="0" xfId="2" applyNumberFormat="1" applyFont="1" applyFill="1" applyAlignment="1">
      <alignment horizontal="center"/>
    </xf>
    <xf numFmtId="165" fontId="2" fillId="0" borderId="0" xfId="2" applyNumberFormat="1" applyFont="1" applyBorder="1" applyProtection="1"/>
    <xf numFmtId="0" fontId="14" fillId="0" borderId="0" xfId="0" applyFont="1"/>
    <xf numFmtId="165" fontId="21" fillId="0" borderId="0" xfId="0" applyNumberFormat="1" applyFont="1"/>
    <xf numFmtId="165" fontId="2" fillId="0" borderId="8" xfId="2" applyNumberFormat="1" applyFont="1" applyFill="1" applyBorder="1"/>
    <xf numFmtId="43" fontId="2" fillId="0" borderId="0" xfId="2" applyFont="1" applyFill="1"/>
    <xf numFmtId="0" fontId="21" fillId="0" borderId="0" xfId="0" applyFont="1"/>
    <xf numFmtId="165" fontId="2" fillId="0" borderId="0" xfId="2" applyNumberFormat="1" applyFont="1" applyFill="1" applyBorder="1"/>
    <xf numFmtId="165" fontId="2" fillId="0" borderId="3" xfId="0" applyNumberFormat="1" applyFont="1" applyBorder="1"/>
    <xf numFmtId="165" fontId="17" fillId="0" borderId="0" xfId="2" applyNumberFormat="1" applyFont="1"/>
    <xf numFmtId="0" fontId="14" fillId="0" borderId="0" xfId="0" applyFont="1" applyAlignment="1">
      <alignment horizontal="center" wrapText="1"/>
    </xf>
    <xf numFmtId="10" fontId="2" fillId="0" borderId="0" xfId="5" applyNumberFormat="1" applyFont="1" applyBorder="1" applyProtection="1"/>
    <xf numFmtId="164" fontId="2" fillId="0" borderId="3" xfId="1" applyNumberFormat="1" applyFont="1" applyBorder="1" applyAlignment="1" applyProtection="1">
      <alignment horizontal="center"/>
    </xf>
    <xf numFmtId="164" fontId="2" fillId="0" borderId="2" xfId="1" applyNumberFormat="1" applyFont="1" applyBorder="1" applyAlignment="1" applyProtection="1">
      <alignment horizontal="center"/>
    </xf>
    <xf numFmtId="0" fontId="14" fillId="0" borderId="0" xfId="0" applyFont="1" applyAlignment="1">
      <alignment horizontal="center"/>
    </xf>
    <xf numFmtId="43" fontId="2" fillId="0" borderId="0" xfId="2" applyFont="1" applyBorder="1" applyAlignment="1" applyProtection="1">
      <alignment horizontal="center"/>
    </xf>
    <xf numFmtId="43" fontId="2" fillId="0" borderId="8" xfId="2" applyFont="1" applyBorder="1" applyAlignment="1" applyProtection="1">
      <alignment horizontal="left"/>
    </xf>
    <xf numFmtId="0" fontId="2" fillId="0" borderId="8" xfId="0" applyFont="1" applyBorder="1"/>
    <xf numFmtId="41" fontId="2" fillId="0" borderId="8" xfId="0" applyNumberFormat="1" applyFont="1" applyBorder="1"/>
    <xf numFmtId="10" fontId="2" fillId="0" borderId="8" xfId="0" applyNumberFormat="1" applyFont="1" applyBorder="1"/>
    <xf numFmtId="0" fontId="7" fillId="0" borderId="1" xfId="4" applyFont="1" applyBorder="1" applyAlignment="1">
      <alignment horizontal="right" vertical="center"/>
    </xf>
    <xf numFmtId="37" fontId="5" fillId="0" borderId="0" xfId="0" applyNumberFormat="1" applyFont="1"/>
    <xf numFmtId="10" fontId="2" fillId="0" borderId="0" xfId="0" applyNumberFormat="1" applyFont="1"/>
    <xf numFmtId="164" fontId="2" fillId="0" borderId="0" xfId="1" applyNumberFormat="1" applyFont="1" applyFill="1" applyBorder="1"/>
    <xf numFmtId="0" fontId="22" fillId="0" borderId="0" xfId="0" applyFont="1"/>
    <xf numFmtId="0" fontId="24" fillId="0" borderId="0" xfId="0" applyFont="1"/>
    <xf numFmtId="0" fontId="23" fillId="0" borderId="1" xfId="0" applyFont="1" applyBorder="1" applyAlignment="1">
      <alignment horizontal="center"/>
    </xf>
    <xf numFmtId="0" fontId="24" fillId="0" borderId="0" xfId="0" applyFont="1" applyAlignment="1">
      <alignment horizontal="left"/>
    </xf>
    <xf numFmtId="44" fontId="24" fillId="0" borderId="0" xfId="1" applyFont="1"/>
    <xf numFmtId="43" fontId="24" fillId="0" borderId="0" xfId="2" applyFont="1"/>
    <xf numFmtId="0" fontId="14" fillId="0" borderId="0" xfId="3" applyFont="1" applyAlignment="1">
      <alignment horizontal="right"/>
    </xf>
    <xf numFmtId="0" fontId="2" fillId="0" borderId="0" xfId="3" applyFont="1"/>
    <xf numFmtId="0" fontId="2" fillId="3" borderId="0" xfId="0" applyFont="1" applyFill="1" applyAlignment="1">
      <alignment horizontal="center"/>
    </xf>
    <xf numFmtId="0" fontId="2" fillId="4" borderId="0" xfId="0" applyFont="1" applyFill="1" applyAlignment="1">
      <alignment horizontal="center"/>
    </xf>
    <xf numFmtId="0" fontId="2" fillId="4" borderId="0" xfId="0" applyFont="1" applyFill="1" applyAlignment="1">
      <alignment horizontal="center" wrapText="1"/>
    </xf>
    <xf numFmtId="0" fontId="2" fillId="4" borderId="0" xfId="3" applyFont="1" applyFill="1" applyAlignment="1">
      <alignment horizontal="center"/>
    </xf>
    <xf numFmtId="169" fontId="2" fillId="3" borderId="1" xfId="0" quotePrefix="1" applyNumberFormat="1" applyFont="1" applyFill="1" applyBorder="1" applyAlignment="1">
      <alignment horizontal="center"/>
    </xf>
    <xf numFmtId="170" fontId="2" fillId="0" borderId="0" xfId="0" applyNumberFormat="1" applyFont="1" applyAlignment="1">
      <alignment horizontal="center"/>
    </xf>
    <xf numFmtId="41" fontId="2" fillId="0" borderId="0" xfId="2" applyNumberFormat="1" applyFont="1"/>
    <xf numFmtId="0" fontId="2" fillId="0" borderId="0" xfId="0" applyFont="1" applyAlignment="1">
      <alignment horizontal="left"/>
    </xf>
    <xf numFmtId="2" fontId="2" fillId="0" borderId="0" xfId="0" applyNumberFormat="1" applyFont="1"/>
    <xf numFmtId="37" fontId="2" fillId="0" borderId="0" xfId="0" applyNumberFormat="1" applyFont="1"/>
    <xf numFmtId="164" fontId="2" fillId="0" borderId="0" xfId="1" applyNumberFormat="1" applyFont="1"/>
    <xf numFmtId="0" fontId="14" fillId="0" borderId="3" xfId="0" applyFont="1" applyBorder="1" applyAlignment="1">
      <alignment horizontal="center"/>
    </xf>
    <xf numFmtId="0" fontId="14" fillId="0" borderId="3" xfId="0" applyFont="1" applyBorder="1"/>
    <xf numFmtId="38" fontId="14" fillId="0" borderId="3" xfId="2" applyNumberFormat="1" applyFont="1" applyBorder="1"/>
    <xf numFmtId="164" fontId="2" fillId="0" borderId="3" xfId="1" applyNumberFormat="1" applyFont="1" applyBorder="1"/>
    <xf numFmtId="0" fontId="4" fillId="0" borderId="1" xfId="0" applyFont="1" applyBorder="1" applyAlignment="1">
      <alignment horizontal="center"/>
    </xf>
    <xf numFmtId="44" fontId="5" fillId="0" borderId="0" xfId="1" applyFont="1"/>
    <xf numFmtId="0" fontId="13" fillId="0" borderId="0" xfId="0" applyFont="1" applyAlignment="1">
      <alignment horizontal="center"/>
    </xf>
    <xf numFmtId="0" fontId="6" fillId="0" borderId="0" xfId="0" applyFont="1"/>
    <xf numFmtId="170" fontId="2" fillId="0" borderId="0" xfId="0" applyNumberFormat="1" applyFont="1" applyAlignment="1">
      <alignment horizontal="center" wrapText="1"/>
    </xf>
    <xf numFmtId="0" fontId="2" fillId="0" borderId="0" xfId="0" applyFont="1" applyAlignment="1">
      <alignment horizontal="right"/>
    </xf>
    <xf numFmtId="0" fontId="9" fillId="0" borderId="0" xfId="0" applyFont="1" applyAlignment="1">
      <alignment horizontal="right"/>
    </xf>
    <xf numFmtId="0" fontId="4" fillId="0" borderId="0" xfId="0" applyFont="1" applyAlignment="1">
      <alignment horizontal="center" wrapText="1"/>
    </xf>
    <xf numFmtId="0" fontId="4" fillId="0" borderId="1" xfId="0" applyFont="1" applyBorder="1" applyAlignment="1">
      <alignment horizontal="center" wrapText="1"/>
    </xf>
    <xf numFmtId="44" fontId="5" fillId="0" borderId="0" xfId="0" applyNumberFormat="1" applyFont="1"/>
    <xf numFmtId="44" fontId="5" fillId="0" borderId="0" xfId="1" applyFont="1" applyFill="1"/>
    <xf numFmtId="10" fontId="2" fillId="0" borderId="0" xfId="0" applyNumberFormat="1" applyFont="1" applyAlignment="1">
      <alignment horizontal="right"/>
    </xf>
    <xf numFmtId="10" fontId="2" fillId="0" borderId="3" xfId="5" applyNumberFormat="1" applyFont="1" applyFill="1" applyBorder="1" applyProtection="1"/>
    <xf numFmtId="2" fontId="2" fillId="0" borderId="0" xfId="2" applyNumberFormat="1" applyFont="1" applyBorder="1" applyAlignment="1" applyProtection="1">
      <alignment horizontal="center"/>
    </xf>
    <xf numFmtId="41" fontId="5" fillId="0" borderId="0" xfId="0" applyNumberFormat="1" applyFont="1"/>
    <xf numFmtId="0" fontId="5" fillId="0" borderId="3" xfId="0" applyFont="1" applyBorder="1" applyAlignment="1">
      <alignment horizontal="center"/>
    </xf>
    <xf numFmtId="41" fontId="2" fillId="0" borderId="3" xfId="0" applyNumberFormat="1" applyFont="1" applyBorder="1"/>
    <xf numFmtId="1" fontId="2" fillId="0" borderId="0" xfId="2" applyNumberFormat="1" applyFont="1" applyBorder="1" applyAlignment="1" applyProtection="1">
      <alignment horizontal="center"/>
    </xf>
    <xf numFmtId="0" fontId="4" fillId="0" borderId="0" xfId="3" applyFont="1" applyAlignment="1">
      <alignment horizontal="center"/>
    </xf>
    <xf numFmtId="0" fontId="6" fillId="0" borderId="0" xfId="0" applyFont="1" applyAlignment="1">
      <alignment horizontal="center"/>
    </xf>
    <xf numFmtId="0" fontId="5" fillId="0" borderId="0" xfId="0" applyFont="1" applyAlignment="1">
      <alignment horizontal="left" vertical="top" wrapText="1"/>
    </xf>
    <xf numFmtId="0" fontId="27" fillId="0" borderId="0" xfId="0" applyFont="1"/>
    <xf numFmtId="0" fontId="13" fillId="0" borderId="0" xfId="0" applyFont="1"/>
    <xf numFmtId="43" fontId="21" fillId="0" borderId="0" xfId="0" applyNumberFormat="1" applyFont="1"/>
    <xf numFmtId="0" fontId="21" fillId="0" borderId="0" xfId="0" applyFont="1" applyAlignment="1">
      <alignment horizontal="center"/>
    </xf>
    <xf numFmtId="0" fontId="28" fillId="0" borderId="0" xfId="0" applyFont="1"/>
    <xf numFmtId="0" fontId="23" fillId="0" borderId="1" xfId="0" applyFont="1" applyBorder="1"/>
    <xf numFmtId="0" fontId="2" fillId="0" borderId="0" xfId="0" applyFont="1" applyAlignment="1">
      <alignment horizontal="center" vertical="center"/>
    </xf>
    <xf numFmtId="0" fontId="5" fillId="0" borderId="1" xfId="0" applyFont="1" applyBorder="1"/>
    <xf numFmtId="0" fontId="2" fillId="0" borderId="0" xfId="0" quotePrefix="1" applyFont="1" applyAlignment="1">
      <alignment horizontal="left"/>
    </xf>
    <xf numFmtId="171" fontId="2" fillId="0" borderId="0" xfId="0" quotePrefix="1" applyNumberFormat="1" applyFont="1"/>
    <xf numFmtId="171" fontId="2" fillId="0" borderId="0" xfId="0" applyNumberFormat="1" applyFont="1"/>
    <xf numFmtId="171" fontId="2" fillId="6" borderId="0" xfId="0" quotePrefix="1" applyNumberFormat="1" applyFont="1" applyFill="1"/>
    <xf numFmtId="164" fontId="5" fillId="0" borderId="0" xfId="1" applyNumberFormat="1" applyFont="1" applyFill="1"/>
    <xf numFmtId="43" fontId="2" fillId="0" borderId="0" xfId="2" applyFont="1"/>
    <xf numFmtId="43" fontId="2" fillId="4" borderId="0" xfId="2" applyFont="1" applyFill="1"/>
    <xf numFmtId="41" fontId="2" fillId="0" borderId="0" xfId="2" applyNumberFormat="1" applyFont="1" applyFill="1"/>
    <xf numFmtId="164" fontId="2" fillId="0" borderId="0" xfId="0" applyNumberFormat="1" applyFont="1"/>
    <xf numFmtId="43" fontId="14" fillId="0" borderId="3" xfId="2" applyFont="1" applyBorder="1"/>
    <xf numFmtId="43" fontId="14" fillId="0" borderId="0" xfId="2" applyFont="1"/>
    <xf numFmtId="43" fontId="14" fillId="4" borderId="0" xfId="2" applyFont="1" applyFill="1"/>
    <xf numFmtId="41" fontId="14" fillId="0" borderId="0" xfId="2" applyNumberFormat="1" applyFont="1"/>
    <xf numFmtId="165" fontId="14" fillId="0" borderId="3" xfId="2" applyNumberFormat="1" applyFont="1" applyBorder="1"/>
    <xf numFmtId="164" fontId="2" fillId="0" borderId="0" xfId="1" applyNumberFormat="1" applyFont="1" applyFill="1"/>
    <xf numFmtId="38" fontId="2" fillId="0" borderId="3" xfId="2" applyNumberFormat="1" applyFont="1" applyBorder="1"/>
    <xf numFmtId="0" fontId="2" fillId="0" borderId="0" xfId="0" applyFont="1" applyAlignment="1">
      <alignment vertical="center"/>
    </xf>
    <xf numFmtId="0" fontId="14" fillId="0" borderId="0" xfId="0" applyFont="1" applyAlignment="1">
      <alignment horizontal="center" vertical="center"/>
    </xf>
    <xf numFmtId="43" fontId="2" fillId="4" borderId="0" xfId="2" applyFont="1" applyFill="1" applyAlignment="1">
      <alignment vertical="center"/>
    </xf>
    <xf numFmtId="0" fontId="2" fillId="4" borderId="0" xfId="0" applyFont="1" applyFill="1" applyAlignment="1">
      <alignment horizontal="center" vertical="center" wrapText="1"/>
    </xf>
    <xf numFmtId="0" fontId="2" fillId="0" borderId="2" xfId="0" applyFont="1" applyBorder="1" applyAlignment="1">
      <alignment horizontal="center" vertical="center"/>
    </xf>
    <xf numFmtId="0" fontId="14" fillId="0" borderId="2" xfId="0" applyFont="1" applyBorder="1" applyAlignment="1">
      <alignment horizontal="center" vertical="center"/>
    </xf>
    <xf numFmtId="0" fontId="2" fillId="0" borderId="0" xfId="0" applyFont="1" applyAlignment="1">
      <alignment wrapText="1"/>
    </xf>
    <xf numFmtId="10" fontId="2" fillId="0" borderId="3" xfId="5" applyNumberFormat="1" applyFont="1" applyBorder="1" applyProtection="1"/>
    <xf numFmtId="164" fontId="2" fillId="0" borderId="3" xfId="0" applyNumberFormat="1" applyFont="1" applyBorder="1"/>
    <xf numFmtId="164" fontId="2" fillId="0" borderId="2" xfId="1" applyNumberFormat="1" applyFont="1" applyBorder="1" applyAlignment="1" applyProtection="1"/>
    <xf numFmtId="0" fontId="13" fillId="0" borderId="0" xfId="0" applyFont="1" applyAlignment="1">
      <alignment horizontal="right"/>
    </xf>
    <xf numFmtId="168" fontId="2" fillId="0" borderId="0" xfId="5" applyNumberFormat="1" applyFont="1"/>
    <xf numFmtId="168" fontId="2" fillId="0" borderId="3" xfId="5" applyNumberFormat="1" applyFont="1" applyBorder="1"/>
    <xf numFmtId="0" fontId="2" fillId="0" borderId="11" xfId="0" applyFont="1" applyBorder="1" applyAlignment="1">
      <alignment horizontal="center" vertical="center"/>
    </xf>
    <xf numFmtId="0" fontId="2" fillId="0" borderId="13" xfId="0" applyFont="1" applyBorder="1" applyAlignment="1">
      <alignment horizontal="center"/>
    </xf>
    <xf numFmtId="0" fontId="2" fillId="0" borderId="12" xfId="0" applyFont="1" applyBorder="1" applyAlignment="1">
      <alignment horizontal="center" wrapText="1"/>
    </xf>
    <xf numFmtId="0" fontId="2" fillId="0" borderId="11" xfId="0" applyFont="1" applyBorder="1" applyAlignment="1">
      <alignment horizontal="center" wrapText="1"/>
    </xf>
    <xf numFmtId="0" fontId="2" fillId="0" borderId="3" xfId="0" applyFont="1" applyBorder="1" applyAlignment="1">
      <alignment horizontal="center" wrapText="1"/>
    </xf>
    <xf numFmtId="0" fontId="2" fillId="0" borderId="14" xfId="0" quotePrefix="1" applyFont="1" applyBorder="1" applyAlignment="1">
      <alignment horizontal="center" wrapText="1"/>
    </xf>
    <xf numFmtId="0" fontId="2" fillId="0" borderId="16" xfId="0" applyFont="1" applyBorder="1" applyAlignment="1">
      <alignment horizontal="center" wrapText="1"/>
    </xf>
    <xf numFmtId="6" fontId="2" fillId="0" borderId="15" xfId="0" applyNumberFormat="1" applyFont="1" applyBorder="1" applyAlignment="1">
      <alignment horizontal="center"/>
    </xf>
    <xf numFmtId="10" fontId="2" fillId="0" borderId="14" xfId="0" applyNumberFormat="1" applyFont="1" applyBorder="1" applyAlignment="1">
      <alignment horizontal="center"/>
    </xf>
    <xf numFmtId="6" fontId="2" fillId="0" borderId="0" xfId="0" applyNumberFormat="1" applyFont="1" applyAlignment="1">
      <alignment horizontal="center"/>
    </xf>
    <xf numFmtId="6" fontId="2" fillId="0" borderId="14" xfId="0" applyNumberFormat="1" applyFont="1" applyBorder="1" applyAlignment="1">
      <alignment horizontal="center"/>
    </xf>
    <xf numFmtId="10" fontId="2" fillId="0" borderId="0" xfId="0" applyNumberFormat="1" applyFont="1" applyAlignment="1">
      <alignment horizontal="center"/>
    </xf>
    <xf numFmtId="10" fontId="2" fillId="0" borderId="15" xfId="0" applyNumberFormat="1" applyFont="1" applyBorder="1" applyAlignment="1">
      <alignment horizontal="center"/>
    </xf>
    <xf numFmtId="169" fontId="2" fillId="0" borderId="8" xfId="0" quotePrefix="1" applyNumberFormat="1" applyFont="1" applyBorder="1" applyAlignment="1">
      <alignment horizontal="center"/>
    </xf>
    <xf numFmtId="169" fontId="2" fillId="0" borderId="10" xfId="0" quotePrefix="1" applyNumberFormat="1" applyFont="1" applyBorder="1" applyAlignment="1">
      <alignment horizontal="center"/>
    </xf>
    <xf numFmtId="169" fontId="2" fillId="0" borderId="7" xfId="0" quotePrefix="1" applyNumberFormat="1" applyFont="1" applyBorder="1" applyAlignment="1">
      <alignment horizontal="center"/>
    </xf>
    <xf numFmtId="165" fontId="2" fillId="0" borderId="0" xfId="2" applyNumberFormat="1" applyFont="1"/>
    <xf numFmtId="165" fontId="2" fillId="0" borderId="0" xfId="0" applyNumberFormat="1" applyFont="1"/>
    <xf numFmtId="165" fontId="2" fillId="0" borderId="3" xfId="2" applyNumberFormat="1" applyFont="1" applyBorder="1"/>
    <xf numFmtId="0" fontId="2" fillId="0" borderId="8" xfId="0" applyFont="1" applyBorder="1" applyAlignment="1">
      <alignment horizontal="center" vertical="center"/>
    </xf>
    <xf numFmtId="0" fontId="14" fillId="0" borderId="8" xfId="0" applyFont="1" applyBorder="1" applyAlignment="1">
      <alignment horizontal="center" vertical="center"/>
    </xf>
    <xf numFmtId="38" fontId="2" fillId="0" borderId="8" xfId="2" applyNumberFormat="1" applyFont="1" applyBorder="1" applyAlignment="1">
      <alignment vertical="center"/>
    </xf>
    <xf numFmtId="38" fontId="2" fillId="0" borderId="0" xfId="2" applyNumberFormat="1" applyFont="1" applyAlignment="1">
      <alignment vertical="center"/>
    </xf>
    <xf numFmtId="165" fontId="2" fillId="0" borderId="9" xfId="2" applyNumberFormat="1" applyFont="1" applyFill="1" applyBorder="1"/>
    <xf numFmtId="165" fontId="2" fillId="0" borderId="8" xfId="2" applyNumberFormat="1" applyFont="1" applyBorder="1" applyAlignment="1">
      <alignment horizontal="right"/>
    </xf>
    <xf numFmtId="165" fontId="2" fillId="0" borderId="10" xfId="2" applyNumberFormat="1" applyFont="1" applyFill="1" applyBorder="1"/>
    <xf numFmtId="165" fontId="2" fillId="0" borderId="2" xfId="0" applyNumberFormat="1" applyFont="1" applyBorder="1" applyAlignment="1">
      <alignment horizontal="center" vertical="center"/>
    </xf>
    <xf numFmtId="0" fontId="9" fillId="0" borderId="0" xfId="0" applyFont="1" applyAlignment="1">
      <alignment horizontal="center"/>
    </xf>
    <xf numFmtId="10" fontId="5" fillId="0" borderId="0" xfId="5" applyNumberFormat="1" applyFont="1"/>
    <xf numFmtId="10" fontId="5" fillId="0" borderId="3" xfId="5" applyNumberFormat="1" applyFont="1" applyBorder="1"/>
    <xf numFmtId="0" fontId="5" fillId="0" borderId="2" xfId="0" applyFont="1" applyBorder="1" applyAlignment="1">
      <alignment horizontal="center"/>
    </xf>
    <xf numFmtId="165" fontId="5" fillId="0" borderId="2" xfId="2" applyNumberFormat="1" applyFont="1" applyBorder="1"/>
    <xf numFmtId="10" fontId="5" fillId="0" borderId="2" xfId="5" applyNumberFormat="1" applyFont="1" applyBorder="1"/>
    <xf numFmtId="17" fontId="2" fillId="0" borderId="0" xfId="0" applyNumberFormat="1" applyFont="1" applyAlignment="1">
      <alignment horizontal="center"/>
    </xf>
    <xf numFmtId="172" fontId="5" fillId="0" borderId="0" xfId="5" applyNumberFormat="1" applyFont="1"/>
    <xf numFmtId="164" fontId="5" fillId="0" borderId="1" xfId="0" applyNumberFormat="1" applyFont="1" applyBorder="1"/>
    <xf numFmtId="164" fontId="5" fillId="0" borderId="1" xfId="1" applyNumberFormat="1" applyFont="1" applyBorder="1"/>
    <xf numFmtId="172" fontId="5" fillId="0" borderId="0" xfId="5" applyNumberFormat="1" applyFont="1" applyAlignment="1">
      <alignment horizontal="right"/>
    </xf>
    <xf numFmtId="172" fontId="5" fillId="0" borderId="0" xfId="5" applyNumberFormat="1" applyFont="1" applyFill="1"/>
    <xf numFmtId="172" fontId="5" fillId="0" borderId="0" xfId="5" applyNumberFormat="1" applyFont="1" applyBorder="1"/>
    <xf numFmtId="0" fontId="5" fillId="0" borderId="2" xfId="0" applyFont="1" applyBorder="1" applyAlignment="1">
      <alignment horizontal="left"/>
    </xf>
    <xf numFmtId="10" fontId="17" fillId="0" borderId="0" xfId="0" applyNumberFormat="1" applyFont="1"/>
    <xf numFmtId="38" fontId="2" fillId="0" borderId="0" xfId="2" applyNumberFormat="1" applyFont="1" applyFill="1" applyAlignment="1">
      <alignment vertical="center"/>
    </xf>
    <xf numFmtId="38" fontId="2" fillId="0" borderId="0" xfId="0" applyNumberFormat="1" applyFont="1"/>
    <xf numFmtId="38" fontId="2" fillId="0" borderId="2" xfId="0" applyNumberFormat="1" applyFont="1" applyBorder="1" applyAlignment="1">
      <alignment horizontal="right" vertical="center"/>
    </xf>
    <xf numFmtId="0" fontId="17" fillId="0" borderId="0" xfId="0" applyFont="1"/>
    <xf numFmtId="44" fontId="4" fillId="0" borderId="0" xfId="0" applyNumberFormat="1" applyFont="1"/>
    <xf numFmtId="44" fontId="4" fillId="0" borderId="0" xfId="1" applyFont="1" applyAlignment="1">
      <alignment horizontal="right"/>
    </xf>
    <xf numFmtId="0" fontId="2" fillId="0" borderId="0" xfId="0" quotePrefix="1" applyFont="1"/>
    <xf numFmtId="44" fontId="5" fillId="0" borderId="3" xfId="1" applyFont="1" applyBorder="1"/>
    <xf numFmtId="164" fontId="14" fillId="0" borderId="7" xfId="0" applyNumberFormat="1" applyFont="1" applyBorder="1"/>
    <xf numFmtId="0" fontId="2" fillId="0" borderId="3" xfId="0" applyFont="1" applyBorder="1" applyAlignment="1">
      <alignment horizontal="right"/>
    </xf>
    <xf numFmtId="165" fontId="4" fillId="0" borderId="7" xfId="2" applyNumberFormat="1" applyFont="1" applyBorder="1"/>
    <xf numFmtId="0" fontId="14" fillId="0" borderId="3" xfId="0" applyFont="1" applyBorder="1" applyAlignment="1">
      <alignment horizontal="left"/>
    </xf>
    <xf numFmtId="0" fontId="5" fillId="0" borderId="0" xfId="3" applyFont="1" applyAlignment="1">
      <alignment horizontal="center"/>
    </xf>
    <xf numFmtId="164" fontId="14" fillId="0" borderId="3" xfId="1" applyNumberFormat="1" applyFont="1" applyBorder="1"/>
    <xf numFmtId="164" fontId="2" fillId="0" borderId="3" xfId="1" applyNumberFormat="1" applyFont="1" applyFill="1" applyBorder="1"/>
    <xf numFmtId="0" fontId="2" fillId="0" borderId="1" xfId="0" quotePrefix="1" applyFont="1" applyBorder="1" applyAlignment="1">
      <alignment horizontal="center"/>
    </xf>
    <xf numFmtId="165" fontId="2" fillId="2" borderId="0" xfId="0" applyNumberFormat="1" applyFont="1" applyFill="1"/>
    <xf numFmtId="0" fontId="2" fillId="2" borderId="0" xfId="0" applyFont="1" applyFill="1"/>
    <xf numFmtId="164" fontId="2" fillId="0" borderId="0" xfId="1" applyNumberFormat="1" applyFont="1" applyBorder="1"/>
    <xf numFmtId="165" fontId="2" fillId="0" borderId="0" xfId="2" applyNumberFormat="1" applyFont="1" applyBorder="1"/>
    <xf numFmtId="167" fontId="2" fillId="0" borderId="0" xfId="2" applyNumberFormat="1" applyFont="1" applyBorder="1"/>
    <xf numFmtId="0" fontId="2" fillId="0" borderId="4" xfId="0" applyFont="1" applyBorder="1"/>
    <xf numFmtId="164" fontId="2" fillId="0" borderId="4" xfId="1" applyNumberFormat="1" applyFont="1" applyBorder="1"/>
    <xf numFmtId="164" fontId="14" fillId="0" borderId="1" xfId="1" applyNumberFormat="1" applyFont="1" applyBorder="1" applyAlignment="1">
      <alignment horizontal="right"/>
    </xf>
    <xf numFmtId="164" fontId="2" fillId="0" borderId="2" xfId="0" applyNumberFormat="1" applyFont="1" applyBorder="1"/>
    <xf numFmtId="164" fontId="2" fillId="0" borderId="2" xfId="1" applyNumberFormat="1" applyFont="1" applyBorder="1"/>
    <xf numFmtId="0" fontId="14" fillId="0" borderId="1" xfId="0" applyFont="1" applyBorder="1"/>
    <xf numFmtId="164" fontId="2" fillId="0" borderId="8" xfId="1" applyNumberFormat="1" applyFont="1" applyBorder="1"/>
    <xf numFmtId="41" fontId="2" fillId="0" borderId="2" xfId="0" applyNumberFormat="1" applyFont="1" applyBorder="1"/>
    <xf numFmtId="44" fontId="2" fillId="0" borderId="0" xfId="1" applyFont="1"/>
    <xf numFmtId="0" fontId="29" fillId="0" borderId="0" xfId="0" applyFont="1" applyAlignment="1">
      <alignment horizontal="right"/>
    </xf>
    <xf numFmtId="173" fontId="2" fillId="0" borderId="3" xfId="0" applyNumberFormat="1" applyFont="1" applyBorder="1"/>
    <xf numFmtId="41" fontId="30" fillId="0" borderId="3" xfId="0" applyNumberFormat="1" applyFont="1" applyBorder="1"/>
    <xf numFmtId="0" fontId="30" fillId="0" borderId="0" xfId="0" applyFont="1" applyAlignment="1">
      <alignment horizontal="right"/>
    </xf>
    <xf numFmtId="0" fontId="31" fillId="0" borderId="0" xfId="0" applyFont="1"/>
    <xf numFmtId="164" fontId="14" fillId="0" borderId="2" xfId="1" applyNumberFormat="1" applyFont="1" applyBorder="1"/>
    <xf numFmtId="10" fontId="21" fillId="0" borderId="0" xfId="5" applyNumberFormat="1" applyFont="1"/>
    <xf numFmtId="165" fontId="2" fillId="0" borderId="7" xfId="2" applyNumberFormat="1" applyFont="1" applyFill="1" applyBorder="1"/>
    <xf numFmtId="165" fontId="5" fillId="0" borderId="3" xfId="2" applyNumberFormat="1" applyFont="1" applyFill="1" applyBorder="1"/>
    <xf numFmtId="0" fontId="8" fillId="0" borderId="0" xfId="0" applyFont="1" applyAlignment="1">
      <alignment horizontal="center" wrapText="1"/>
    </xf>
    <xf numFmtId="170" fontId="14" fillId="0" borderId="0" xfId="0" quotePrefix="1" applyNumberFormat="1" applyFont="1" applyAlignment="1">
      <alignment horizontal="center" wrapText="1"/>
    </xf>
    <xf numFmtId="0" fontId="4" fillId="0" borderId="1" xfId="0" quotePrefix="1" applyFont="1" applyBorder="1" applyAlignment="1">
      <alignment horizontal="left"/>
    </xf>
    <xf numFmtId="0" fontId="4" fillId="0" borderId="1" xfId="0" quotePrefix="1" applyFont="1" applyBorder="1" applyAlignment="1">
      <alignment horizontal="center"/>
    </xf>
    <xf numFmtId="0" fontId="5" fillId="0" borderId="0" xfId="0" applyFont="1" applyAlignment="1">
      <alignment vertical="center" wrapText="1"/>
    </xf>
    <xf numFmtId="170" fontId="6" fillId="0" borderId="0" xfId="0" applyNumberFormat="1" applyFont="1" applyAlignment="1">
      <alignment horizontal="left"/>
    </xf>
    <xf numFmtId="9" fontId="2" fillId="0" borderId="0" xfId="5" applyFont="1" applyFill="1" applyAlignment="1"/>
    <xf numFmtId="165" fontId="2" fillId="0" borderId="0" xfId="2" applyNumberFormat="1" applyFont="1" applyFill="1" applyAlignment="1"/>
    <xf numFmtId="3" fontId="5" fillId="0" borderId="0" xfId="0" applyNumberFormat="1" applyFont="1"/>
    <xf numFmtId="165" fontId="5" fillId="0" borderId="0" xfId="0" applyNumberFormat="1" applyFont="1"/>
    <xf numFmtId="165" fontId="2" fillId="0" borderId="3" xfId="2" applyNumberFormat="1" applyFont="1" applyFill="1" applyBorder="1" applyAlignment="1">
      <alignment horizontal="right"/>
    </xf>
    <xf numFmtId="165" fontId="2" fillId="0" borderId="3" xfId="2" applyNumberFormat="1" applyFont="1" applyFill="1" applyBorder="1" applyAlignment="1"/>
    <xf numFmtId="165" fontId="6" fillId="0" borderId="0" xfId="2" applyNumberFormat="1" applyFont="1" applyFill="1" applyAlignment="1"/>
    <xf numFmtId="0" fontId="6" fillId="0" borderId="0" xfId="0" applyFont="1" applyAlignment="1">
      <alignment horizontal="left"/>
    </xf>
    <xf numFmtId="0" fontId="14" fillId="0" borderId="2" xfId="0" applyFont="1" applyBorder="1"/>
    <xf numFmtId="165" fontId="2" fillId="0" borderId="2" xfId="2" applyNumberFormat="1" applyFont="1" applyFill="1" applyBorder="1" applyAlignment="1"/>
    <xf numFmtId="37" fontId="5" fillId="0" borderId="2" xfId="0" applyNumberFormat="1" applyFont="1" applyBorder="1"/>
    <xf numFmtId="0" fontId="33" fillId="0" borderId="0" xfId="13" applyFont="1" applyFill="1"/>
    <xf numFmtId="0" fontId="4" fillId="0" borderId="0" xfId="0" quotePrefix="1" applyFont="1" applyAlignment="1">
      <alignment horizontal="center"/>
    </xf>
    <xf numFmtId="164" fontId="5" fillId="0" borderId="0" xfId="1" quotePrefix="1" applyNumberFormat="1" applyFont="1" applyBorder="1" applyAlignment="1">
      <alignment horizontal="center"/>
    </xf>
    <xf numFmtId="0" fontId="5" fillId="0" borderId="0" xfId="0" quotePrefix="1" applyFont="1" applyAlignment="1">
      <alignment horizontal="center"/>
    </xf>
    <xf numFmtId="164" fontId="4" fillId="0" borderId="3" xfId="0" quotePrefix="1" applyNumberFormat="1" applyFont="1" applyBorder="1" applyAlignment="1">
      <alignment horizontal="center"/>
    </xf>
    <xf numFmtId="40" fontId="5" fillId="0" borderId="0" xfId="2" applyNumberFormat="1" applyFont="1" applyFill="1" applyBorder="1"/>
    <xf numFmtId="9" fontId="2" fillId="0" borderId="0" xfId="0" applyNumberFormat="1" applyFont="1"/>
    <xf numFmtId="9" fontId="2" fillId="0" borderId="0" xfId="5" applyFont="1" applyAlignment="1">
      <alignment horizontal="center" wrapText="1"/>
    </xf>
    <xf numFmtId="165" fontId="2" fillId="0" borderId="0" xfId="2" applyNumberFormat="1" applyFont="1" applyAlignment="1">
      <alignment horizontal="center"/>
    </xf>
    <xf numFmtId="43" fontId="2" fillId="0" borderId="0" xfId="0" applyNumberFormat="1" applyFont="1"/>
    <xf numFmtId="9" fontId="2" fillId="0" borderId="0" xfId="5" applyFont="1"/>
    <xf numFmtId="43" fontId="2" fillId="0" borderId="3" xfId="0" applyNumberFormat="1" applyFont="1" applyBorder="1"/>
    <xf numFmtId="165" fontId="2" fillId="0" borderId="3" xfId="0" applyNumberFormat="1" applyFont="1" applyBorder="1" applyAlignment="1">
      <alignment horizontal="center"/>
    </xf>
    <xf numFmtId="165" fontId="2" fillId="0" borderId="8" xfId="0" applyNumberFormat="1" applyFont="1" applyBorder="1" applyAlignment="1">
      <alignment horizontal="center" vertical="center"/>
    </xf>
    <xf numFmtId="44" fontId="2" fillId="0" borderId="0" xfId="1" applyFont="1" applyFill="1"/>
    <xf numFmtId="165" fontId="2" fillId="0" borderId="3" xfId="2" applyNumberFormat="1" applyFont="1" applyBorder="1" applyAlignment="1" applyProtection="1"/>
    <xf numFmtId="165" fontId="2" fillId="0" borderId="0" xfId="2" applyNumberFormat="1" applyFont="1" applyBorder="1" applyAlignment="1" applyProtection="1">
      <alignment horizontal="center"/>
    </xf>
    <xf numFmtId="165" fontId="2" fillId="0" borderId="2" xfId="2" applyNumberFormat="1" applyFont="1" applyBorder="1" applyAlignment="1" applyProtection="1"/>
    <xf numFmtId="164" fontId="2" fillId="0" borderId="0" xfId="1" applyNumberFormat="1" applyFont="1" applyBorder="1" applyAlignment="1" applyProtection="1"/>
    <xf numFmtId="165" fontId="2" fillId="0" borderId="0" xfId="2" applyNumberFormat="1" applyFont="1" applyAlignment="1">
      <alignment horizontal="center" wrapText="1"/>
    </xf>
    <xf numFmtId="165" fontId="14" fillId="0" borderId="0" xfId="2" applyNumberFormat="1" applyFont="1"/>
    <xf numFmtId="165" fontId="2" fillId="0" borderId="0" xfId="2" applyNumberFormat="1" applyFont="1" applyAlignment="1">
      <alignment vertical="center"/>
    </xf>
    <xf numFmtId="165" fontId="2" fillId="0" borderId="0" xfId="2" applyNumberFormat="1" applyFont="1" applyAlignment="1">
      <alignment horizontal="right"/>
    </xf>
    <xf numFmtId="165" fontId="2" fillId="0" borderId="2" xfId="2" applyNumberFormat="1" applyFont="1" applyBorder="1"/>
    <xf numFmtId="165" fontId="13" fillId="0" borderId="0" xfId="2" applyNumberFormat="1" applyFont="1" applyAlignment="1">
      <alignment horizontal="right"/>
    </xf>
    <xf numFmtId="165" fontId="2" fillId="4" borderId="0" xfId="3" applyNumberFormat="1" applyFont="1" applyFill="1" applyAlignment="1">
      <alignment horizontal="center"/>
    </xf>
    <xf numFmtId="165" fontId="2" fillId="0" borderId="0" xfId="1" applyNumberFormat="1" applyFont="1"/>
    <xf numFmtId="165" fontId="2" fillId="0" borderId="0" xfId="0" applyNumberFormat="1" applyFont="1" applyAlignment="1">
      <alignment vertical="center"/>
    </xf>
    <xf numFmtId="165" fontId="2" fillId="4" borderId="0" xfId="3" applyNumberFormat="1" applyFont="1" applyFill="1" applyAlignment="1">
      <alignment horizontal="center" vertical="center"/>
    </xf>
    <xf numFmtId="44" fontId="5" fillId="0" borderId="0" xfId="1" applyFont="1" applyAlignment="1">
      <alignment horizontal="center"/>
    </xf>
    <xf numFmtId="44" fontId="5" fillId="0" borderId="1" xfId="1" quotePrefix="1" applyFont="1" applyBorder="1" applyAlignment="1">
      <alignment horizontal="center"/>
    </xf>
    <xf numFmtId="4" fontId="2" fillId="0" borderId="0" xfId="0" applyNumberFormat="1" applyFont="1"/>
    <xf numFmtId="0" fontId="34" fillId="0" borderId="0" xfId="0" applyFont="1"/>
    <xf numFmtId="4" fontId="34" fillId="0" borderId="3" xfId="0" applyNumberFormat="1" applyFont="1" applyBorder="1"/>
    <xf numFmtId="44" fontId="34" fillId="0" borderId="3" xfId="1" applyFont="1" applyBorder="1"/>
    <xf numFmtId="44" fontId="34" fillId="0" borderId="0" xfId="1" applyFont="1"/>
    <xf numFmtId="4" fontId="34" fillId="0" borderId="0" xfId="0" applyNumberFormat="1" applyFont="1"/>
    <xf numFmtId="0" fontId="34" fillId="0" borderId="0" xfId="0" applyFont="1" applyAlignment="1">
      <alignment horizontal="center"/>
    </xf>
    <xf numFmtId="0" fontId="34" fillId="0" borderId="2" xfId="0" applyFont="1" applyBorder="1"/>
    <xf numFmtId="164" fontId="5" fillId="0" borderId="0" xfId="0" applyNumberFormat="1" applyFont="1" applyAlignment="1">
      <alignment horizontal="center"/>
    </xf>
    <xf numFmtId="164" fontId="5" fillId="0" borderId="0" xfId="1" applyNumberFormat="1" applyFont="1" applyAlignment="1">
      <alignment horizontal="center"/>
    </xf>
    <xf numFmtId="164" fontId="5" fillId="0" borderId="1" xfId="1" quotePrefix="1" applyNumberFormat="1" applyFont="1" applyBorder="1" applyAlignment="1">
      <alignment horizontal="center"/>
    </xf>
    <xf numFmtId="164" fontId="34" fillId="0" borderId="3" xfId="1" applyNumberFormat="1" applyFont="1" applyBorder="1"/>
    <xf numFmtId="164" fontId="34" fillId="0" borderId="0" xfId="1" applyNumberFormat="1" applyFont="1"/>
    <xf numFmtId="164" fontId="34" fillId="0" borderId="0" xfId="1" applyNumberFormat="1" applyFont="1" applyAlignment="1">
      <alignment wrapText="1"/>
    </xf>
    <xf numFmtId="43" fontId="35" fillId="0" borderId="2" xfId="2" applyFont="1" applyBorder="1"/>
    <xf numFmtId="14" fontId="5" fillId="0" borderId="0" xfId="1" applyNumberFormat="1" applyFont="1" applyFill="1"/>
    <xf numFmtId="164" fontId="4" fillId="0" borderId="2" xfId="0" applyNumberFormat="1" applyFont="1" applyBorder="1"/>
    <xf numFmtId="43" fontId="5" fillId="0" borderId="0" xfId="2" applyFont="1" applyBorder="1" applyAlignment="1">
      <alignment horizontal="center" wrapText="1"/>
    </xf>
    <xf numFmtId="43" fontId="5" fillId="0" borderId="3" xfId="2" applyFont="1" applyBorder="1" applyAlignment="1">
      <alignment horizontal="center" wrapText="1"/>
    </xf>
    <xf numFmtId="5" fontId="14" fillId="0" borderId="2" xfId="2" applyNumberFormat="1" applyFont="1" applyFill="1" applyBorder="1" applyAlignment="1"/>
    <xf numFmtId="165" fontId="2" fillId="0" borderId="2" xfId="2" applyNumberFormat="1" applyFont="1" applyBorder="1" applyAlignment="1">
      <alignment vertical="center"/>
    </xf>
    <xf numFmtId="0" fontId="23" fillId="0" borderId="1" xfId="0" applyFont="1" applyBorder="1" applyAlignment="1">
      <alignment horizontal="center" wrapText="1"/>
    </xf>
    <xf numFmtId="0" fontId="23" fillId="0" borderId="0" xfId="0" applyFont="1" applyAlignment="1">
      <alignment horizontal="center"/>
    </xf>
    <xf numFmtId="0" fontId="23" fillId="0" borderId="0" xfId="0" applyFont="1"/>
    <xf numFmtId="164" fontId="23" fillId="0" borderId="0" xfId="1" applyNumberFormat="1" applyFont="1"/>
    <xf numFmtId="0" fontId="23" fillId="0" borderId="3" xfId="0" applyFont="1" applyBorder="1"/>
    <xf numFmtId="44" fontId="23" fillId="0" borderId="3" xfId="1" applyFont="1" applyBorder="1"/>
    <xf numFmtId="164" fontId="23" fillId="0" borderId="0" xfId="2" applyNumberFormat="1" applyFont="1" applyBorder="1"/>
    <xf numFmtId="0" fontId="23" fillId="0" borderId="2" xfId="0" applyFont="1" applyBorder="1"/>
    <xf numFmtId="164" fontId="23" fillId="0" borderId="2" xfId="2" applyNumberFormat="1" applyFont="1" applyBorder="1"/>
    <xf numFmtId="44" fontId="24" fillId="0" borderId="0" xfId="1" applyFont="1" applyBorder="1"/>
    <xf numFmtId="0" fontId="5" fillId="0" borderId="0" xfId="0" applyFont="1" applyAlignment="1">
      <alignment horizontal="left" vertical="top"/>
    </xf>
    <xf numFmtId="0" fontId="8" fillId="0" borderId="0" xfId="0" applyFont="1"/>
    <xf numFmtId="10" fontId="21" fillId="0" borderId="0" xfId="0" applyNumberFormat="1" applyFont="1"/>
    <xf numFmtId="0" fontId="5" fillId="0" borderId="1" xfId="0" applyFont="1" applyBorder="1" applyAlignment="1">
      <alignment horizontal="left"/>
    </xf>
    <xf numFmtId="0" fontId="36" fillId="0" borderId="0" xfId="0" applyFont="1"/>
    <xf numFmtId="9" fontId="2" fillId="0" borderId="0" xfId="5" applyFont="1" applyFill="1" applyBorder="1" applyAlignment="1"/>
    <xf numFmtId="165" fontId="2" fillId="0" borderId="0" xfId="2" applyNumberFormat="1" applyFont="1" applyFill="1" applyBorder="1" applyAlignment="1"/>
    <xf numFmtId="43" fontId="5" fillId="0" borderId="0" xfId="0" applyNumberFormat="1" applyFont="1"/>
    <xf numFmtId="165" fontId="4" fillId="0" borderId="9" xfId="2" applyNumberFormat="1" applyFont="1" applyBorder="1"/>
    <xf numFmtId="164" fontId="14" fillId="0" borderId="0" xfId="0" applyNumberFormat="1" applyFont="1"/>
    <xf numFmtId="14" fontId="5" fillId="0" borderId="0" xfId="0" applyNumberFormat="1" applyFont="1"/>
    <xf numFmtId="4" fontId="5" fillId="0" borderId="0" xfId="0" applyNumberFormat="1" applyFont="1"/>
    <xf numFmtId="44" fontId="2" fillId="0" borderId="0" xfId="0" applyNumberFormat="1" applyFont="1"/>
    <xf numFmtId="0" fontId="13" fillId="0" borderId="0" xfId="0" applyFont="1" applyAlignment="1">
      <alignment horizontal="center" wrapText="1"/>
    </xf>
    <xf numFmtId="164" fontId="2" fillId="5" borderId="0" xfId="1" applyNumberFormat="1" applyFont="1" applyFill="1"/>
    <xf numFmtId="165" fontId="5" fillId="0" borderId="0" xfId="2" applyNumberFormat="1" applyFont="1" applyProtection="1"/>
    <xf numFmtId="165" fontId="5" fillId="0" borderId="3" xfId="2" applyNumberFormat="1" applyFont="1" applyBorder="1" applyProtection="1"/>
    <xf numFmtId="165" fontId="5" fillId="0" borderId="0" xfId="2" applyNumberFormat="1" applyFont="1" applyFill="1" applyProtection="1"/>
    <xf numFmtId="165" fontId="5" fillId="0" borderId="2" xfId="2" applyNumberFormat="1" applyFont="1" applyBorder="1" applyProtection="1"/>
    <xf numFmtId="165" fontId="5" fillId="0" borderId="0" xfId="2" applyNumberFormat="1" applyFont="1" applyBorder="1" applyProtection="1"/>
    <xf numFmtId="174" fontId="4" fillId="0" borderId="0" xfId="0" applyNumberFormat="1" applyFont="1" applyAlignment="1">
      <alignment horizontal="center"/>
    </xf>
    <xf numFmtId="169" fontId="4" fillId="0" borderId="1" xfId="0" quotePrefix="1" applyNumberFormat="1" applyFont="1" applyBorder="1" applyAlignment="1">
      <alignment horizontal="center"/>
    </xf>
    <xf numFmtId="165" fontId="0" fillId="0" borderId="0" xfId="0" applyNumberFormat="1"/>
    <xf numFmtId="165" fontId="5" fillId="0" borderId="8" xfId="2" applyNumberFormat="1" applyFont="1" applyFill="1" applyBorder="1"/>
    <xf numFmtId="165" fontId="5" fillId="0" borderId="2" xfId="2" applyNumberFormat="1" applyFont="1" applyFill="1" applyBorder="1"/>
    <xf numFmtId="43" fontId="5" fillId="0" borderId="0" xfId="2" applyFont="1" applyFill="1"/>
    <xf numFmtId="168" fontId="0" fillId="0" borderId="0" xfId="5" applyNumberFormat="1" applyFont="1"/>
    <xf numFmtId="0" fontId="9" fillId="0" borderId="0" xfId="0" applyFont="1" applyAlignment="1">
      <alignment horizontal="center" wrapText="1"/>
    </xf>
    <xf numFmtId="0" fontId="4" fillId="0" borderId="0" xfId="0" quotePrefix="1" applyFont="1" applyAlignment="1">
      <alignment horizontal="center" wrapText="1"/>
    </xf>
    <xf numFmtId="0" fontId="5" fillId="0" borderId="3" xfId="0" applyFont="1" applyBorder="1" applyAlignment="1">
      <alignment horizontal="right"/>
    </xf>
    <xf numFmtId="170" fontId="5" fillId="0" borderId="0" xfId="0" applyNumberFormat="1" applyFont="1" applyAlignment="1">
      <alignment horizontal="right"/>
    </xf>
    <xf numFmtId="165" fontId="5" fillId="0" borderId="0" xfId="2" applyNumberFormat="1" applyFont="1" applyFill="1" applyAlignment="1">
      <alignment horizontal="right"/>
    </xf>
    <xf numFmtId="165" fontId="5" fillId="0" borderId="3" xfId="2" applyNumberFormat="1" applyFont="1" applyFill="1" applyBorder="1" applyAlignment="1">
      <alignment horizontal="right"/>
    </xf>
    <xf numFmtId="165" fontId="5" fillId="0" borderId="0" xfId="2" applyNumberFormat="1" applyFont="1" applyFill="1" applyBorder="1" applyAlignment="1">
      <alignment horizontal="right"/>
    </xf>
    <xf numFmtId="165" fontId="5" fillId="0" borderId="2" xfId="2" applyNumberFormat="1" applyFont="1" applyFill="1" applyBorder="1" applyAlignment="1">
      <alignment horizontal="right"/>
    </xf>
    <xf numFmtId="0" fontId="4" fillId="0" borderId="3" xfId="0" applyFont="1" applyBorder="1" applyAlignment="1">
      <alignment horizontal="left"/>
    </xf>
    <xf numFmtId="0" fontId="8" fillId="0" borderId="0" xfId="0" applyFont="1" applyAlignment="1">
      <alignment horizontal="center"/>
    </xf>
    <xf numFmtId="0" fontId="5" fillId="0" borderId="12" xfId="0" applyFont="1" applyBorder="1" applyAlignment="1">
      <alignment horizontal="center"/>
    </xf>
    <xf numFmtId="0" fontId="5" fillId="0" borderId="15" xfId="0" applyFont="1" applyBorder="1" applyAlignment="1">
      <alignment horizontal="center"/>
    </xf>
    <xf numFmtId="169" fontId="5" fillId="0" borderId="9" xfId="0" quotePrefix="1" applyNumberFormat="1" applyFont="1" applyBorder="1" applyAlignment="1">
      <alignment horizont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2" xfId="0" applyFont="1" applyBorder="1" applyAlignment="1">
      <alignment horizontal="left" vertical="center"/>
    </xf>
    <xf numFmtId="14" fontId="5" fillId="0" borderId="0" xfId="0" quotePrefix="1" applyNumberFormat="1" applyFont="1"/>
    <xf numFmtId="0" fontId="9" fillId="0" borderId="0" xfId="0" applyFont="1"/>
    <xf numFmtId="169" fontId="5" fillId="0" borderId="1" xfId="0" quotePrefix="1" applyNumberFormat="1" applyFont="1" applyBorder="1" applyAlignment="1">
      <alignment horizontal="center"/>
    </xf>
    <xf numFmtId="43" fontId="36" fillId="0" borderId="0" xfId="2" applyFont="1" applyBorder="1" applyAlignment="1" applyProtection="1">
      <alignment horizontal="left"/>
    </xf>
    <xf numFmtId="0" fontId="5" fillId="0" borderId="8" xfId="0" applyFont="1" applyBorder="1" applyAlignment="1">
      <alignment horizontal="center"/>
    </xf>
    <xf numFmtId="0" fontId="5" fillId="0" borderId="4" xfId="0" applyFont="1" applyBorder="1"/>
    <xf numFmtId="0" fontId="24" fillId="0" borderId="0" xfId="4" applyFont="1" applyAlignment="1">
      <alignment horizontal="centerContinuous"/>
    </xf>
    <xf numFmtId="0" fontId="24" fillId="0" borderId="0" xfId="4" applyFont="1" applyAlignment="1">
      <alignment horizontal="center"/>
    </xf>
    <xf numFmtId="0" fontId="24" fillId="0" borderId="1" xfId="4" applyFont="1" applyBorder="1" applyAlignment="1">
      <alignment horizontal="center" wrapText="1"/>
    </xf>
    <xf numFmtId="37" fontId="24" fillId="0" borderId="0" xfId="4" applyNumberFormat="1" applyFont="1"/>
    <xf numFmtId="37" fontId="24" fillId="0" borderId="5" xfId="4" applyNumberFormat="1" applyFont="1" applyBorder="1"/>
    <xf numFmtId="37" fontId="24" fillId="0" borderId="0" xfId="4" applyNumberFormat="1" applyFont="1" applyAlignment="1">
      <alignment horizontal="right"/>
    </xf>
    <xf numFmtId="37" fontId="24" fillId="0" borderId="6" xfId="4" applyNumberFormat="1" applyFont="1" applyBorder="1"/>
    <xf numFmtId="0" fontId="24" fillId="0" borderId="0" xfId="4" applyFont="1"/>
    <xf numFmtId="0" fontId="37" fillId="0" borderId="0" xfId="4" applyFont="1"/>
    <xf numFmtId="169" fontId="5" fillId="0" borderId="0" xfId="0" quotePrefix="1" applyNumberFormat="1" applyFont="1" applyAlignment="1">
      <alignment horizontal="center"/>
    </xf>
    <xf numFmtId="43" fontId="24" fillId="0" borderId="0" xfId="2" applyFont="1" applyFill="1"/>
    <xf numFmtId="0" fontId="5" fillId="0" borderId="8" xfId="0" applyFont="1" applyBorder="1"/>
    <xf numFmtId="165" fontId="5" fillId="0" borderId="0" xfId="2" applyNumberFormat="1" applyFont="1" applyFill="1" applyBorder="1"/>
    <xf numFmtId="0" fontId="1" fillId="0" borderId="0" xfId="0" applyFont="1"/>
    <xf numFmtId="0" fontId="1" fillId="0" borderId="0" xfId="0" applyFont="1" applyAlignment="1">
      <alignment horizontal="center"/>
    </xf>
    <xf numFmtId="165" fontId="1" fillId="0" borderId="0" xfId="2" applyNumberFormat="1" applyFont="1" applyFill="1"/>
    <xf numFmtId="166" fontId="5" fillId="0" borderId="0" xfId="1" applyNumberFormat="1" applyFont="1" applyBorder="1"/>
    <xf numFmtId="41" fontId="36" fillId="0" borderId="0" xfId="0" applyNumberFormat="1" applyFont="1"/>
    <xf numFmtId="10" fontId="5" fillId="0" borderId="0" xfId="5" applyNumberFormat="1" applyFont="1" applyFill="1" applyBorder="1" applyProtection="1"/>
    <xf numFmtId="172" fontId="5" fillId="0" borderId="0" xfId="5" applyNumberFormat="1" applyFont="1" applyFill="1" applyBorder="1" applyProtection="1"/>
    <xf numFmtId="168" fontId="5" fillId="0" borderId="0" xfId="0" applyNumberFormat="1" applyFont="1"/>
    <xf numFmtId="10" fontId="5" fillId="0" borderId="0" xfId="0" applyNumberFormat="1" applyFont="1"/>
    <xf numFmtId="0" fontId="4" fillId="0" borderId="1" xfId="0" applyFont="1" applyBorder="1"/>
    <xf numFmtId="164" fontId="24" fillId="0" borderId="0" xfId="1" applyNumberFormat="1" applyFont="1"/>
    <xf numFmtId="164" fontId="24" fillId="0" borderId="3" xfId="1" applyNumberFormat="1" applyFont="1" applyBorder="1"/>
    <xf numFmtId="165" fontId="24" fillId="0" borderId="0" xfId="2" applyNumberFormat="1" applyFont="1"/>
    <xf numFmtId="164" fontId="23" fillId="0" borderId="3" xfId="1" applyNumberFormat="1" applyFont="1" applyBorder="1"/>
    <xf numFmtId="0" fontId="5" fillId="0" borderId="0" xfId="3" applyFont="1" applyAlignment="1">
      <alignment horizontal="left"/>
    </xf>
    <xf numFmtId="44" fontId="5" fillId="0" borderId="0" xfId="1" applyFont="1" applyAlignment="1">
      <alignment horizontal="center" wrapText="1"/>
    </xf>
    <xf numFmtId="164" fontId="4" fillId="0" borderId="0" xfId="0" applyNumberFormat="1" applyFont="1"/>
    <xf numFmtId="0" fontId="5" fillId="0" borderId="1" xfId="0" applyFont="1" applyBorder="1" applyAlignment="1">
      <alignment horizontal="center" wrapText="1"/>
    </xf>
    <xf numFmtId="44" fontId="5" fillId="0" borderId="1" xfId="1" applyFont="1" applyBorder="1" applyAlignment="1">
      <alignment horizontal="center" wrapText="1"/>
    </xf>
    <xf numFmtId="44" fontId="4" fillId="0" borderId="0" xfId="1" applyFont="1"/>
    <xf numFmtId="0" fontId="5" fillId="0" borderId="0" xfId="0" applyFont="1" applyAlignment="1">
      <alignment wrapText="1"/>
    </xf>
    <xf numFmtId="0" fontId="9" fillId="0" borderId="0" xfId="0" applyFont="1" applyAlignment="1">
      <alignment wrapText="1"/>
    </xf>
    <xf numFmtId="44" fontId="5" fillId="0" borderId="0" xfId="1" applyFont="1" applyAlignment="1">
      <alignment wrapText="1"/>
    </xf>
    <xf numFmtId="164" fontId="5" fillId="0" borderId="0" xfId="1" applyNumberFormat="1" applyFont="1" applyAlignment="1">
      <alignment wrapText="1"/>
    </xf>
    <xf numFmtId="44" fontId="5" fillId="0" borderId="3" xfId="0" applyNumberFormat="1" applyFont="1" applyBorder="1"/>
    <xf numFmtId="44" fontId="5" fillId="0" borderId="0" xfId="0" applyNumberFormat="1" applyFont="1" applyAlignment="1">
      <alignment horizontal="center" wrapText="1"/>
    </xf>
    <xf numFmtId="164" fontId="4" fillId="0" borderId="0" xfId="1" applyNumberFormat="1" applyFont="1" applyAlignment="1">
      <alignment horizontal="center" wrapText="1"/>
    </xf>
    <xf numFmtId="164" fontId="4" fillId="0" borderId="0" xfId="1" applyNumberFormat="1" applyFont="1"/>
    <xf numFmtId="164" fontId="4" fillId="0" borderId="0" xfId="1" applyNumberFormat="1" applyFont="1" applyFill="1"/>
    <xf numFmtId="164" fontId="4" fillId="0" borderId="0" xfId="1" applyNumberFormat="1" applyFont="1" applyAlignment="1">
      <alignment horizontal="center"/>
    </xf>
    <xf numFmtId="43" fontId="4" fillId="0" borderId="0" xfId="2" applyFont="1"/>
    <xf numFmtId="0" fontId="5" fillId="0" borderId="0" xfId="2" applyNumberFormat="1" applyFont="1" applyAlignment="1">
      <alignment horizontal="center"/>
    </xf>
    <xf numFmtId="0" fontId="4" fillId="0" borderId="0" xfId="0" applyFont="1" applyAlignment="1">
      <alignment horizontal="center"/>
    </xf>
    <xf numFmtId="0" fontId="23" fillId="0" borderId="0" xfId="4" applyFont="1" applyAlignment="1">
      <alignment horizontal="center"/>
    </xf>
    <xf numFmtId="0" fontId="4" fillId="0" borderId="0" xfId="3" applyFont="1" applyAlignment="1">
      <alignment horizontal="center"/>
    </xf>
    <xf numFmtId="0" fontId="6" fillId="0" borderId="0" xfId="0" applyFont="1" applyAlignment="1">
      <alignment horizontal="center"/>
    </xf>
    <xf numFmtId="0" fontId="5" fillId="0" borderId="0" xfId="0" applyFont="1" applyAlignment="1">
      <alignment horizontal="left" vertical="top" wrapText="1"/>
    </xf>
    <xf numFmtId="0" fontId="14" fillId="0" borderId="0" xfId="3" applyFont="1" applyAlignment="1">
      <alignment horizontal="center"/>
    </xf>
    <xf numFmtId="0" fontId="2" fillId="0" borderId="0" xfId="0" applyFont="1" applyAlignment="1">
      <alignment horizontal="center"/>
    </xf>
    <xf numFmtId="0" fontId="5" fillId="0" borderId="0" xfId="0" applyFont="1" applyAlignment="1">
      <alignment horizontal="center"/>
    </xf>
    <xf numFmtId="0" fontId="2" fillId="0" borderId="0" xfId="0" applyFont="1" applyAlignment="1">
      <alignment horizontal="left" vertical="top" wrapText="1"/>
    </xf>
    <xf numFmtId="164" fontId="2" fillId="0" borderId="0" xfId="1" applyNumberFormat="1" applyFont="1" applyBorder="1" applyAlignment="1" applyProtection="1">
      <alignment horizontal="center"/>
    </xf>
    <xf numFmtId="0" fontId="2" fillId="0" borderId="1" xfId="0" applyFont="1" applyBorder="1" applyAlignment="1">
      <alignment horizontal="center"/>
    </xf>
    <xf numFmtId="0" fontId="2" fillId="0" borderId="0" xfId="0" applyFont="1" applyAlignment="1">
      <alignment horizontal="center" wrapText="1"/>
    </xf>
    <xf numFmtId="0" fontId="34" fillId="0" borderId="0" xfId="0" applyFont="1" applyAlignment="1">
      <alignment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5" fillId="0" borderId="0" xfId="0" applyFont="1" applyAlignment="1">
      <alignment horizontal="left" wrapText="1"/>
    </xf>
  </cellXfs>
  <cellStyles count="14">
    <cellStyle name="Comma" xfId="2" builtinId="3"/>
    <cellStyle name="Comma 2" xfId="6" xr:uid="{00000000-0005-0000-0000-000001000000}"/>
    <cellStyle name="Comma 3" xfId="9" xr:uid="{00000000-0005-0000-0000-000002000000}"/>
    <cellStyle name="Currency" xfId="1" builtinId="4"/>
    <cellStyle name="Currency 2" xfId="7" xr:uid="{00000000-0005-0000-0000-000004000000}"/>
    <cellStyle name="Currency 3" xfId="10" xr:uid="{00000000-0005-0000-0000-000005000000}"/>
    <cellStyle name="Hyperlink" xfId="13" builtinId="8"/>
    <cellStyle name="Normal" xfId="0" builtinId="0"/>
    <cellStyle name="Normal 2" xfId="3" xr:uid="{00000000-0005-0000-0000-000007000000}"/>
    <cellStyle name="Normal 3" xfId="4" xr:uid="{00000000-0005-0000-0000-000008000000}"/>
    <cellStyle name="Normal 4" xfId="8" xr:uid="{00000000-0005-0000-0000-000009000000}"/>
    <cellStyle name="Normal 5" xfId="11" xr:uid="{00000000-0005-0000-0000-00000A000000}"/>
    <cellStyle name="Percent" xfId="5" builtinId="5"/>
    <cellStyle name="Percent 2" xfId="12" xr:uid="{00000000-0005-0000-0000-00000C000000}"/>
  </cellStyles>
  <dxfs count="16">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s>
  <tableStyles count="0" defaultTableStyle="TableStyleMedium2" defaultPivotStyle="PivotStyleLight16"/>
  <colors>
    <mruColors>
      <color rgb="FF00FF00"/>
      <color rgb="FFFFFFCC"/>
      <color rgb="FF0000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4"/>
  <sheetViews>
    <sheetView tabSelected="1" view="pageBreakPreview" topLeftCell="A32" zoomScaleNormal="120" zoomScaleSheetLayoutView="100" workbookViewId="0">
      <selection activeCell="I52" sqref="I52"/>
    </sheetView>
  </sheetViews>
  <sheetFormatPr defaultColWidth="9.140625" defaultRowHeight="15"/>
  <cols>
    <col min="1" max="1" width="9.140625" style="156"/>
    <col min="2" max="2" width="30" style="91" customWidth="1"/>
    <col min="3" max="3" width="15.28515625" customWidth="1"/>
    <col min="4" max="4" width="13.85546875" style="91" customWidth="1"/>
    <col min="5" max="5" width="14" style="91" bestFit="1" customWidth="1"/>
    <col min="6" max="6" width="14.42578125" style="91" customWidth="1"/>
    <col min="7" max="7" width="3.7109375" style="91" customWidth="1"/>
    <col min="8" max="8" width="13.42578125" style="91" customWidth="1"/>
    <col min="9" max="9" width="11.28515625" style="91" bestFit="1" customWidth="1"/>
    <col min="10" max="16384" width="9.140625" style="91"/>
  </cols>
  <sheetData>
    <row r="1" spans="1:9">
      <c r="A1" s="87" t="s">
        <v>382</v>
      </c>
      <c r="B1" s="87"/>
      <c r="C1" s="81"/>
      <c r="D1" s="87"/>
      <c r="E1" s="87"/>
      <c r="F1" s="262"/>
      <c r="H1" s="262"/>
    </row>
    <row r="2" spans="1:9">
      <c r="A2" s="87" t="s">
        <v>201</v>
      </c>
      <c r="B2" s="87"/>
      <c r="C2" s="81"/>
      <c r="D2" s="87"/>
      <c r="E2" s="87"/>
      <c r="F2" s="87"/>
      <c r="H2" s="87"/>
    </row>
    <row r="3" spans="1:9">
      <c r="A3" s="87" t="s">
        <v>383</v>
      </c>
      <c r="B3" s="87"/>
      <c r="C3" s="81"/>
      <c r="D3" s="87"/>
      <c r="E3" s="87"/>
      <c r="F3" s="87"/>
      <c r="H3" s="87"/>
    </row>
    <row r="4" spans="1:9">
      <c r="A4" s="1"/>
      <c r="B4" s="2"/>
      <c r="C4" s="370"/>
      <c r="D4" s="99"/>
      <c r="E4" s="99"/>
      <c r="F4" s="2"/>
      <c r="H4" s="2"/>
    </row>
    <row r="5" spans="1:9" ht="41.25" customHeight="1">
      <c r="A5" s="99" t="s">
        <v>0</v>
      </c>
      <c r="B5" s="99" t="s">
        <v>1</v>
      </c>
      <c r="C5" s="139" t="s">
        <v>212</v>
      </c>
      <c r="D5" s="95" t="s">
        <v>220</v>
      </c>
      <c r="E5" s="95" t="s">
        <v>108</v>
      </c>
      <c r="F5" s="95" t="s">
        <v>1146</v>
      </c>
      <c r="H5" s="2"/>
    </row>
    <row r="6" spans="1:9" s="153" customFormat="1">
      <c r="A6" s="78" t="s">
        <v>21</v>
      </c>
      <c r="B6" s="79">
        <v>1</v>
      </c>
      <c r="C6" s="371">
        <f>B6+1</f>
        <v>2</v>
      </c>
      <c r="D6" s="79" t="s">
        <v>19</v>
      </c>
      <c r="E6" s="79" t="s">
        <v>25</v>
      </c>
      <c r="F6" s="79" t="s">
        <v>47</v>
      </c>
      <c r="G6" s="91"/>
      <c r="H6" s="2"/>
      <c r="I6" s="91"/>
    </row>
    <row r="7" spans="1:9">
      <c r="A7" s="1">
        <v>1</v>
      </c>
      <c r="B7" s="154" t="s">
        <v>72</v>
      </c>
      <c r="C7" s="372"/>
      <c r="D7" s="88"/>
      <c r="E7" s="88"/>
      <c r="F7" s="88"/>
      <c r="H7" s="2"/>
    </row>
    <row r="8" spans="1:9">
      <c r="A8" s="1">
        <f>A7+1</f>
        <v>2</v>
      </c>
      <c r="B8" s="2" t="s">
        <v>145</v>
      </c>
      <c r="C8" s="23">
        <f>152925418.04-C9</f>
        <v>148689283.54999998</v>
      </c>
      <c r="D8" s="31">
        <f>'Adj List'!D7+'Adj List'!D8+'Adj List'!D10</f>
        <v>-26119855.370000001</v>
      </c>
      <c r="E8" s="31">
        <f>C8+D8</f>
        <v>122569428.17999998</v>
      </c>
      <c r="F8" s="31">
        <f>E8+E50</f>
        <v>133338051.13608946</v>
      </c>
      <c r="H8" s="2"/>
    </row>
    <row r="9" spans="1:9">
      <c r="A9" s="1">
        <f t="shared" ref="A9:A50" si="0">A8+1</f>
        <v>3</v>
      </c>
      <c r="B9" s="2" t="s">
        <v>100</v>
      </c>
      <c r="C9" s="23">
        <f>1589015.94+3610.16+1727698.88+108704.7+807104.81</f>
        <v>4236134.49</v>
      </c>
      <c r="D9" s="31">
        <f>'Adj List'!D23+'Adj List'!D24+'Adj List'!D25+'Adj List'!D26+'Adj List'!D27</f>
        <v>201299.97000000003</v>
      </c>
      <c r="E9" s="31">
        <f>C9+D9</f>
        <v>4437434.46</v>
      </c>
      <c r="F9" s="31">
        <f>E9</f>
        <v>4437434.46</v>
      </c>
      <c r="H9" s="2"/>
    </row>
    <row r="10" spans="1:9">
      <c r="A10" s="1">
        <f t="shared" si="0"/>
        <v>4</v>
      </c>
      <c r="B10" s="41" t="s">
        <v>144</v>
      </c>
      <c r="C10" s="270">
        <f>SUM(C8:C9)</f>
        <v>152925418.03999999</v>
      </c>
      <c r="D10" s="53">
        <f>SUM(D8:D9)</f>
        <v>-25918555.400000002</v>
      </c>
      <c r="E10" s="53">
        <f>SUM(E8:E9)</f>
        <v>127006862.63999997</v>
      </c>
      <c r="F10" s="53">
        <f>SUM(F8:F9)</f>
        <v>137775485.59608945</v>
      </c>
      <c r="H10" s="2"/>
      <c r="I10" s="155"/>
    </row>
    <row r="11" spans="1:9">
      <c r="A11" s="1">
        <f t="shared" si="0"/>
        <v>5</v>
      </c>
      <c r="B11" s="2"/>
      <c r="C11" s="23"/>
      <c r="D11" s="31"/>
      <c r="E11" s="31"/>
      <c r="F11" s="31"/>
      <c r="H11" s="2"/>
    </row>
    <row r="12" spans="1:9">
      <c r="A12" s="1">
        <f t="shared" si="0"/>
        <v>6</v>
      </c>
      <c r="B12" s="154" t="s">
        <v>73</v>
      </c>
      <c r="C12" s="23"/>
      <c r="D12" s="31"/>
      <c r="E12" s="31"/>
      <c r="F12" s="31"/>
      <c r="H12" s="2"/>
    </row>
    <row r="13" spans="1:9">
      <c r="A13" s="1">
        <f t="shared" si="0"/>
        <v>7</v>
      </c>
      <c r="B13" s="2" t="s">
        <v>74</v>
      </c>
      <c r="C13" s="23">
        <v>109041205</v>
      </c>
      <c r="D13" s="31">
        <f>'Adj List'!E7+'Adj List'!E8+'Adj List'!E10</f>
        <v>-25821032.34</v>
      </c>
      <c r="E13" s="31">
        <f t="shared" ref="E13:E19" si="1">C13+D13</f>
        <v>83220172.659999996</v>
      </c>
      <c r="F13" s="31">
        <f>E13</f>
        <v>83220172.659999996</v>
      </c>
      <c r="H13" s="2"/>
    </row>
    <row r="14" spans="1:9">
      <c r="A14" s="1">
        <f t="shared" si="0"/>
        <v>8</v>
      </c>
      <c r="B14" s="2" t="s">
        <v>75</v>
      </c>
      <c r="C14" s="23">
        <v>4535671.3600000003</v>
      </c>
      <c r="D14" s="31"/>
      <c r="E14" s="31">
        <f t="shared" si="1"/>
        <v>4535671.3600000003</v>
      </c>
      <c r="F14" s="31">
        <f t="shared" ref="F14:F19" si="2">E14</f>
        <v>4535671.3600000003</v>
      </c>
      <c r="H14" s="2"/>
    </row>
    <row r="15" spans="1:9">
      <c r="A15" s="1">
        <f t="shared" si="0"/>
        <v>9</v>
      </c>
      <c r="B15" s="2" t="s">
        <v>76</v>
      </c>
      <c r="C15" s="23">
        <v>16904788.510000002</v>
      </c>
      <c r="D15" s="31">
        <f>'Adj List'!E13</f>
        <v>996188.39000000013</v>
      </c>
      <c r="E15" s="31">
        <f t="shared" si="1"/>
        <v>17900976.900000002</v>
      </c>
      <c r="F15" s="31">
        <f t="shared" si="2"/>
        <v>17900976.900000002</v>
      </c>
      <c r="H15" s="2"/>
    </row>
    <row r="16" spans="1:9">
      <c r="A16" s="1">
        <f t="shared" si="0"/>
        <v>10</v>
      </c>
      <c r="B16" s="2" t="s">
        <v>77</v>
      </c>
      <c r="C16" s="23">
        <v>4330008.0599999996</v>
      </c>
      <c r="D16" s="31"/>
      <c r="E16" s="31">
        <f t="shared" si="1"/>
        <v>4330008.0599999996</v>
      </c>
      <c r="F16" s="31">
        <f t="shared" si="2"/>
        <v>4330008.0599999996</v>
      </c>
      <c r="H16" s="2"/>
    </row>
    <row r="17" spans="1:9">
      <c r="A17" s="1">
        <f t="shared" si="0"/>
        <v>11</v>
      </c>
      <c r="B17" s="2" t="s">
        <v>78</v>
      </c>
      <c r="C17" s="23">
        <v>602571.99</v>
      </c>
      <c r="D17" s="31"/>
      <c r="E17" s="31">
        <f t="shared" si="1"/>
        <v>602571.99</v>
      </c>
      <c r="F17" s="31">
        <f t="shared" si="2"/>
        <v>602571.99</v>
      </c>
      <c r="H17" s="2"/>
    </row>
    <row r="18" spans="1:9">
      <c r="A18" s="1">
        <f t="shared" si="0"/>
        <v>12</v>
      </c>
      <c r="B18" s="2" t="s">
        <v>79</v>
      </c>
      <c r="C18" s="23">
        <v>32568</v>
      </c>
      <c r="D18" s="31"/>
      <c r="E18" s="31">
        <f t="shared" si="1"/>
        <v>32568</v>
      </c>
      <c r="F18" s="31">
        <f t="shared" si="2"/>
        <v>32568</v>
      </c>
      <c r="H18" s="2"/>
    </row>
    <row r="19" spans="1:9">
      <c r="A19" s="1">
        <f t="shared" si="0"/>
        <v>13</v>
      </c>
      <c r="B19" s="2" t="s">
        <v>80</v>
      </c>
      <c r="C19" s="23">
        <v>5676616.3300000001</v>
      </c>
      <c r="D19" s="31">
        <f>'Adj List'!E9+'Adj List'!E12+'Adj List'!E14+'Adj List'!E15+'Adj List'!E16+'Adj List'!E17+'Adj List'!E19+'Adj List'!E21+'Adj List'!E22</f>
        <v>-286418.11491055036</v>
      </c>
      <c r="E19" s="31">
        <f t="shared" si="1"/>
        <v>5390198.2150894497</v>
      </c>
      <c r="F19" s="31">
        <f t="shared" si="2"/>
        <v>5390198.2150894497</v>
      </c>
      <c r="H19" s="2"/>
    </row>
    <row r="20" spans="1:9">
      <c r="A20" s="1">
        <f t="shared" si="0"/>
        <v>14</v>
      </c>
      <c r="B20" s="41" t="s">
        <v>81</v>
      </c>
      <c r="C20" s="270">
        <f>SUM(C13:C19)</f>
        <v>141123429.25000003</v>
      </c>
      <c r="D20" s="53">
        <f>SUM(D13:D19)</f>
        <v>-25111262.06491055</v>
      </c>
      <c r="E20" s="53">
        <f>SUM(E13:E19)</f>
        <v>116012167.18508945</v>
      </c>
      <c r="F20" s="53">
        <f>SUM(F13:F19)</f>
        <v>116012167.18508945</v>
      </c>
      <c r="H20" s="2"/>
    </row>
    <row r="21" spans="1:9">
      <c r="A21" s="1">
        <f t="shared" si="0"/>
        <v>15</v>
      </c>
      <c r="C21" s="23"/>
      <c r="D21" s="31"/>
      <c r="E21" s="31"/>
      <c r="F21" s="31"/>
      <c r="H21" s="2"/>
    </row>
    <row r="22" spans="1:9">
      <c r="A22" s="1">
        <f t="shared" si="0"/>
        <v>16</v>
      </c>
      <c r="B22" s="2" t="s">
        <v>82</v>
      </c>
      <c r="C22" s="23">
        <v>10543105.699999999</v>
      </c>
      <c r="D22" s="31">
        <f>'Adj List'!E11</f>
        <v>810902.82</v>
      </c>
      <c r="E22" s="31">
        <f>C22+D22</f>
        <v>11354008.52</v>
      </c>
      <c r="F22" s="31">
        <f>E22</f>
        <v>11354008.52</v>
      </c>
      <c r="H22" s="2"/>
    </row>
    <row r="23" spans="1:9">
      <c r="A23" s="1">
        <f t="shared" si="0"/>
        <v>17</v>
      </c>
      <c r="B23" s="2" t="s">
        <v>83</v>
      </c>
      <c r="C23" s="23">
        <v>116630.39999999999</v>
      </c>
      <c r="D23" s="31"/>
      <c r="E23" s="31">
        <f>C23+D23</f>
        <v>116630.39999999999</v>
      </c>
      <c r="F23" s="31">
        <f t="shared" ref="F23:F26" si="3">E23</f>
        <v>116630.39999999999</v>
      </c>
      <c r="H23" s="2"/>
    </row>
    <row r="24" spans="1:9">
      <c r="A24" s="1">
        <f t="shared" si="0"/>
        <v>18</v>
      </c>
      <c r="B24" s="2" t="s">
        <v>70</v>
      </c>
      <c r="C24" s="23">
        <v>5370205.75</v>
      </c>
      <c r="D24" s="31">
        <f>'Adj List'!E20</f>
        <v>66154.910000000149</v>
      </c>
      <c r="E24" s="31">
        <f>C24+D24</f>
        <v>5436360.6600000001</v>
      </c>
      <c r="F24" s="31">
        <f t="shared" si="3"/>
        <v>5436360.6600000001</v>
      </c>
      <c r="H24" s="2"/>
    </row>
    <row r="25" spans="1:9">
      <c r="A25" s="1">
        <f t="shared" si="0"/>
        <v>19</v>
      </c>
      <c r="B25" s="2" t="s">
        <v>84</v>
      </c>
      <c r="C25" s="23">
        <v>212264.67</v>
      </c>
      <c r="D25" s="31"/>
      <c r="E25" s="31">
        <f>C25+D25</f>
        <v>212264.67</v>
      </c>
      <c r="F25" s="31">
        <f t="shared" si="3"/>
        <v>212264.67</v>
      </c>
      <c r="H25" s="2"/>
    </row>
    <row r="26" spans="1:9">
      <c r="A26" s="1">
        <f t="shared" si="0"/>
        <v>20</v>
      </c>
      <c r="B26" s="2" t="s">
        <v>85</v>
      </c>
      <c r="C26" s="23">
        <v>29158.6</v>
      </c>
      <c r="D26" s="31"/>
      <c r="E26" s="31">
        <f>C26+D26</f>
        <v>29158.6</v>
      </c>
      <c r="F26" s="31">
        <f t="shared" si="3"/>
        <v>29158.6</v>
      </c>
      <c r="H26" s="2"/>
    </row>
    <row r="27" spans="1:9">
      <c r="A27" s="1">
        <f t="shared" si="0"/>
        <v>21</v>
      </c>
      <c r="C27" s="23"/>
      <c r="D27" s="31"/>
      <c r="E27" s="31"/>
      <c r="F27" s="31"/>
      <c r="H27" s="2"/>
    </row>
    <row r="28" spans="1:9">
      <c r="A28" s="1">
        <f>A27+1</f>
        <v>22</v>
      </c>
      <c r="B28" s="102" t="s">
        <v>33</v>
      </c>
      <c r="C28" s="373">
        <f>SUM(C20:C26)</f>
        <v>157394794.37</v>
      </c>
      <c r="D28" s="89">
        <f>SUM(D20:D26)</f>
        <v>-24234204.334910549</v>
      </c>
      <c r="E28" s="89">
        <f>SUM(E20:E26)</f>
        <v>133160590.03508945</v>
      </c>
      <c r="F28" s="89">
        <f>SUM(F20:F26)</f>
        <v>133160590.03508945</v>
      </c>
      <c r="H28" s="2"/>
      <c r="I28" s="88"/>
    </row>
    <row r="29" spans="1:9">
      <c r="A29" s="1">
        <f t="shared" si="0"/>
        <v>23</v>
      </c>
      <c r="C29" s="23"/>
      <c r="D29" s="31"/>
      <c r="E29" s="31"/>
      <c r="F29" s="31"/>
      <c r="H29" s="2"/>
    </row>
    <row r="30" spans="1:9" ht="15.75" thickBot="1">
      <c r="A30" s="1">
        <f t="shared" si="0"/>
        <v>24</v>
      </c>
      <c r="B30" s="3" t="s">
        <v>86</v>
      </c>
      <c r="C30" s="374">
        <f>C10-C28</f>
        <v>-4469376.3300000131</v>
      </c>
      <c r="D30" s="49">
        <f>D10-D28</f>
        <v>-1684351.065089453</v>
      </c>
      <c r="E30" s="49">
        <f>E10-E28</f>
        <v>-6153727.3950894773</v>
      </c>
      <c r="F30" s="49">
        <f>F10-F28</f>
        <v>4614895.5610000044</v>
      </c>
      <c r="H30" s="2"/>
    </row>
    <row r="31" spans="1:9" ht="15.75" thickTop="1">
      <c r="A31" s="1">
        <f t="shared" si="0"/>
        <v>25</v>
      </c>
      <c r="C31" s="23"/>
      <c r="D31" s="31"/>
      <c r="E31" s="31"/>
      <c r="F31" s="31"/>
      <c r="H31" s="2"/>
    </row>
    <row r="32" spans="1:9">
      <c r="A32" s="1">
        <f t="shared" si="0"/>
        <v>26</v>
      </c>
      <c r="B32" s="2" t="s">
        <v>34</v>
      </c>
      <c r="C32" s="23">
        <v>1695485.4</v>
      </c>
      <c r="D32" s="31"/>
      <c r="E32" s="31">
        <f>C32+D32</f>
        <v>1695485.4</v>
      </c>
      <c r="F32" s="31">
        <f>E32</f>
        <v>1695485.4</v>
      </c>
      <c r="H32" s="2"/>
    </row>
    <row r="33" spans="1:8">
      <c r="A33" s="1">
        <f t="shared" si="0"/>
        <v>27</v>
      </c>
      <c r="B33" s="2" t="s">
        <v>202</v>
      </c>
      <c r="C33" s="23">
        <v>0</v>
      </c>
      <c r="D33" s="31"/>
      <c r="E33" s="31">
        <f>C33+D33</f>
        <v>0</v>
      </c>
      <c r="F33" s="31">
        <f t="shared" ref="F33:F36" si="4">E33</f>
        <v>0</v>
      </c>
      <c r="H33" s="2"/>
    </row>
    <row r="34" spans="1:8">
      <c r="A34" s="1">
        <f t="shared" si="0"/>
        <v>28</v>
      </c>
      <c r="B34" s="2" t="s">
        <v>35</v>
      </c>
      <c r="C34" s="23">
        <v>280190.78999999998</v>
      </c>
      <c r="D34" s="31"/>
      <c r="E34" s="31">
        <f>C34+D34</f>
        <v>280190.78999999998</v>
      </c>
      <c r="F34" s="31">
        <f t="shared" si="4"/>
        <v>280190.78999999998</v>
      </c>
      <c r="H34" s="2"/>
    </row>
    <row r="35" spans="1:8">
      <c r="A35" s="1">
        <f t="shared" si="0"/>
        <v>29</v>
      </c>
      <c r="B35" s="2" t="s">
        <v>31</v>
      </c>
      <c r="C35" s="23">
        <v>2018096.45</v>
      </c>
      <c r="D35" s="31">
        <f>'Adj List'!F18</f>
        <v>-2018096.45</v>
      </c>
      <c r="E35" s="31">
        <f>C35+D35</f>
        <v>0</v>
      </c>
      <c r="F35" s="31">
        <f t="shared" si="4"/>
        <v>0</v>
      </c>
      <c r="H35" s="2"/>
    </row>
    <row r="36" spans="1:8">
      <c r="A36" s="1">
        <f t="shared" si="0"/>
        <v>30</v>
      </c>
      <c r="B36" s="2" t="s">
        <v>87</v>
      </c>
      <c r="C36" s="23">
        <v>427397.15</v>
      </c>
      <c r="D36" s="31"/>
      <c r="E36" s="31">
        <f>C36+D36</f>
        <v>427397.15</v>
      </c>
      <c r="F36" s="31">
        <f t="shared" si="4"/>
        <v>427397.15</v>
      </c>
      <c r="H36" s="2"/>
    </row>
    <row r="37" spans="1:8">
      <c r="A37" s="1">
        <f t="shared" si="0"/>
        <v>31</v>
      </c>
      <c r="B37" s="2"/>
      <c r="C37" s="23"/>
      <c r="D37" s="31"/>
      <c r="E37" s="31"/>
      <c r="F37" s="31"/>
      <c r="H37" s="2"/>
    </row>
    <row r="38" spans="1:8" ht="15.75" thickBot="1">
      <c r="A38" s="1">
        <f t="shared" si="0"/>
        <v>32</v>
      </c>
      <c r="B38" s="3" t="s">
        <v>88</v>
      </c>
      <c r="C38" s="374">
        <f>C30+SUM(C32:C36)</f>
        <v>-48206.540000013076</v>
      </c>
      <c r="D38" s="49">
        <f>D30+SUM(D32:D36)</f>
        <v>-3702447.5150894532</v>
      </c>
      <c r="E38" s="49">
        <f>E30+SUM(E32:E36)</f>
        <v>-3750654.0550894774</v>
      </c>
      <c r="F38" s="49">
        <f>F30+SUM(F32:F36)</f>
        <v>7017968.9010000043</v>
      </c>
      <c r="H38" s="2"/>
    </row>
    <row r="39" spans="1:8" ht="15.75" thickTop="1">
      <c r="A39" s="1">
        <f t="shared" si="0"/>
        <v>33</v>
      </c>
      <c r="B39" s="2"/>
      <c r="C39" s="23"/>
      <c r="D39" s="31"/>
      <c r="E39" s="31"/>
      <c r="F39" s="31"/>
      <c r="H39" s="2"/>
    </row>
    <row r="40" spans="1:8">
      <c r="A40" s="1">
        <f t="shared" si="0"/>
        <v>34</v>
      </c>
      <c r="B40" s="2" t="s">
        <v>146</v>
      </c>
      <c r="C40" s="23">
        <v>6011</v>
      </c>
      <c r="D40" s="31">
        <v>0</v>
      </c>
      <c r="E40" s="31">
        <f>C40+D40</f>
        <v>6011</v>
      </c>
      <c r="F40" s="31">
        <f t="shared" ref="F40" si="5">D40+E40</f>
        <v>6011</v>
      </c>
      <c r="H40" s="2"/>
    </row>
    <row r="41" spans="1:8">
      <c r="A41" s="1">
        <f t="shared" si="0"/>
        <v>35</v>
      </c>
      <c r="B41" s="2" t="s">
        <v>90</v>
      </c>
      <c r="C41" s="375">
        <f>(C30+C40+C24)/C24</f>
        <v>0.16886511657397613</v>
      </c>
      <c r="D41" s="90"/>
      <c r="E41" s="90">
        <f>(E30+E40+E24)/E24</f>
        <v>-0.13085146103781076</v>
      </c>
      <c r="F41" s="90">
        <f>(F30+F40+F24)/F24</f>
        <v>1.8500000000000008</v>
      </c>
      <c r="H41" s="2"/>
    </row>
    <row r="42" spans="1:8">
      <c r="A42" s="1">
        <f t="shared" si="0"/>
        <v>36</v>
      </c>
      <c r="B42" s="2" t="s">
        <v>71</v>
      </c>
      <c r="C42" s="375">
        <f>(C38+C24)/C24</f>
        <v>0.99102333462735337</v>
      </c>
      <c r="D42" s="90"/>
      <c r="E42" s="90">
        <f>(E38+E24)/E24</f>
        <v>0.31007998003401832</v>
      </c>
      <c r="F42" s="90">
        <f>(F38+F24)/F24</f>
        <v>2.2909314410718298</v>
      </c>
      <c r="H42" s="2"/>
    </row>
    <row r="43" spans="1:8">
      <c r="A43" s="1">
        <f t="shared" si="0"/>
        <v>37</v>
      </c>
      <c r="B43" s="2" t="s">
        <v>89</v>
      </c>
      <c r="C43" s="375">
        <f>(C24+C38-C35)/C24</f>
        <v>0.61522833831831991</v>
      </c>
      <c r="D43" s="90"/>
      <c r="E43" s="90">
        <f>(E24+E38-E35)/E24</f>
        <v>0.31007998003401832</v>
      </c>
      <c r="F43" s="90">
        <f>(F24+F38-F35)/F24</f>
        <v>2.2909314410718298</v>
      </c>
      <c r="H43" s="2"/>
    </row>
    <row r="44" spans="1:8" ht="14.25" customHeight="1">
      <c r="A44" s="1">
        <f t="shared" si="0"/>
        <v>38</v>
      </c>
      <c r="B44" s="2"/>
      <c r="H44" s="2"/>
    </row>
    <row r="45" spans="1:8">
      <c r="A45" s="1">
        <f t="shared" si="0"/>
        <v>39</v>
      </c>
      <c r="B45" s="2" t="s">
        <v>207</v>
      </c>
      <c r="C45" s="375">
        <v>1.85</v>
      </c>
      <c r="D45" s="90"/>
      <c r="E45" s="90">
        <f>C45</f>
        <v>1.85</v>
      </c>
      <c r="F45" s="90">
        <f>E45</f>
        <v>1.85</v>
      </c>
      <c r="H45" s="2"/>
    </row>
    <row r="46" spans="1:8">
      <c r="A46" s="1">
        <f t="shared" si="0"/>
        <v>40</v>
      </c>
      <c r="B46" s="2" t="s">
        <v>208</v>
      </c>
      <c r="C46" s="23">
        <f>C45*C24-C24-C40+SUM(C32:C36)</f>
        <v>8979833.6775000021</v>
      </c>
      <c r="D46" s="31"/>
      <c r="E46" s="31">
        <f>E45*E24-E24-E40+SUM(E32:E36)</f>
        <v>7017968.9010000005</v>
      </c>
      <c r="F46" s="31">
        <f>F45*F24-F24-F40+SUM(F32:F36)</f>
        <v>7017968.9010000005</v>
      </c>
      <c r="H46" s="2"/>
    </row>
    <row r="47" spans="1:8">
      <c r="A47" s="1">
        <f t="shared" si="0"/>
        <v>41</v>
      </c>
      <c r="B47" s="2" t="s">
        <v>205</v>
      </c>
      <c r="C47" s="23">
        <f>C28+C46</f>
        <v>166374628.04750001</v>
      </c>
      <c r="D47" s="31"/>
      <c r="E47" s="31">
        <f>E28+E46</f>
        <v>140178558.93608946</v>
      </c>
      <c r="F47" s="31">
        <f>F28+F46</f>
        <v>140178558.93608946</v>
      </c>
      <c r="H47" s="2"/>
    </row>
    <row r="48" spans="1:8">
      <c r="A48" s="1">
        <f t="shared" si="0"/>
        <v>42</v>
      </c>
      <c r="B48" s="2" t="s">
        <v>206</v>
      </c>
      <c r="C48" s="23">
        <f>C46-C38</f>
        <v>9028040.2175000161</v>
      </c>
      <c r="D48" s="31"/>
      <c r="E48" s="269">
        <f>E46-E38</f>
        <v>10768622.956089478</v>
      </c>
      <c r="F48" s="31">
        <f>F46-F38</f>
        <v>0</v>
      </c>
      <c r="H48" s="2"/>
    </row>
    <row r="49" spans="1:8">
      <c r="A49" s="1">
        <f t="shared" si="0"/>
        <v>43</v>
      </c>
      <c r="C49" s="376"/>
      <c r="D49" s="31"/>
      <c r="E49" s="268"/>
      <c r="F49" s="31"/>
      <c r="H49" s="2"/>
    </row>
    <row r="50" spans="1:8">
      <c r="A50" s="1">
        <f t="shared" si="0"/>
        <v>44</v>
      </c>
      <c r="B50" s="2" t="s">
        <v>1213</v>
      </c>
      <c r="E50" s="412">
        <f>E48</f>
        <v>10768622.956089478</v>
      </c>
      <c r="F50" s="269">
        <f>F38-E38</f>
        <v>10768622.956089482</v>
      </c>
      <c r="H50" s="92"/>
    </row>
    <row r="51" spans="1:8">
      <c r="A51" s="1"/>
      <c r="B51" s="2"/>
      <c r="E51" s="143"/>
      <c r="F51" s="107">
        <f>E50/C8</f>
        <v>7.2423665640088286E-2</v>
      </c>
      <c r="H51" s="107"/>
    </row>
    <row r="52" spans="1:8" ht="90" customHeight="1"/>
    <row r="53" spans="1:8">
      <c r="E53" s="88"/>
      <c r="F53" s="88"/>
      <c r="H53" s="88"/>
    </row>
    <row r="55" spans="1:8" ht="31.9" customHeight="1">
      <c r="A55" s="363"/>
      <c r="B55" s="363"/>
      <c r="C55" s="377"/>
      <c r="D55" s="363"/>
      <c r="E55" s="363"/>
      <c r="F55" s="363"/>
    </row>
    <row r="56" spans="1:8">
      <c r="A56" s="1"/>
      <c r="B56" s="2"/>
      <c r="C56" s="13"/>
      <c r="D56" s="127"/>
      <c r="E56" s="127"/>
      <c r="F56" s="127"/>
    </row>
    <row r="57" spans="1:8">
      <c r="A57" s="1"/>
      <c r="B57" s="2"/>
      <c r="C57" s="13"/>
      <c r="D57" s="127"/>
      <c r="E57" s="127"/>
      <c r="F57" s="127"/>
    </row>
    <row r="58" spans="1:8">
      <c r="A58" s="1"/>
      <c r="B58" s="2"/>
      <c r="C58" s="13"/>
      <c r="D58" s="127"/>
      <c r="E58" s="127"/>
      <c r="F58" s="127"/>
    </row>
    <row r="59" spans="1:8">
      <c r="A59" s="1"/>
      <c r="B59" s="2"/>
      <c r="C59" s="13"/>
      <c r="D59" s="127"/>
      <c r="E59" s="127"/>
      <c r="F59" s="127"/>
    </row>
    <row r="60" spans="1:8">
      <c r="A60" s="1"/>
      <c r="B60" s="2"/>
      <c r="C60" s="25"/>
      <c r="D60" s="166"/>
      <c r="E60" s="166"/>
      <c r="F60" s="166"/>
    </row>
    <row r="61" spans="1:8">
      <c r="A61" s="1"/>
      <c r="B61" s="2"/>
      <c r="C61" s="25"/>
      <c r="D61" s="166"/>
      <c r="E61" s="166"/>
      <c r="F61" s="166"/>
    </row>
    <row r="62" spans="1:8">
      <c r="A62" s="1"/>
      <c r="B62" s="2"/>
      <c r="C62" s="13"/>
      <c r="D62" s="127"/>
      <c r="E62" s="127"/>
      <c r="F62" s="127"/>
    </row>
    <row r="63" spans="1:8">
      <c r="A63" s="1"/>
      <c r="B63" s="2"/>
      <c r="C63" s="13"/>
      <c r="D63" s="127"/>
      <c r="E63" s="127"/>
      <c r="F63" s="364"/>
    </row>
    <row r="64" spans="1:8">
      <c r="F64" s="352"/>
    </row>
  </sheetData>
  <printOptions horizontalCentered="1"/>
  <pageMargins left="0.7" right="0.7" top="0.75" bottom="0.75" header="0.3" footer="0.3"/>
  <pageSetup scale="89" orientation="portrait" r:id="rId1"/>
  <headerFooter>
    <oddFooter>&amp;R&amp;"Times New Roman,Regular"&amp;12Exhibit JW-2
Page &amp;P of &amp;N</oddFooter>
  </headerFooter>
  <ignoredErrors>
    <ignoredError sqref="D6:F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42"/>
  <sheetViews>
    <sheetView view="pageBreakPreview" zoomScaleNormal="100" zoomScaleSheetLayoutView="100" workbookViewId="0">
      <selection activeCell="C26" sqref="C26"/>
    </sheetView>
  </sheetViews>
  <sheetFormatPr defaultColWidth="9.140625" defaultRowHeight="12.75"/>
  <cols>
    <col min="1" max="1" width="3.5703125" style="10" customWidth="1"/>
    <col min="2" max="2" width="10.7109375" style="9" customWidth="1"/>
    <col min="3" max="3" width="37.42578125" style="10" bestFit="1" customWidth="1"/>
    <col min="4" max="4" width="13.5703125" style="10" bestFit="1" customWidth="1"/>
    <col min="5" max="5" width="13.5703125" style="2" bestFit="1" customWidth="1"/>
    <col min="6" max="6" width="11.85546875" style="10" customWidth="1"/>
    <col min="7" max="7" width="12.42578125" style="10" customWidth="1"/>
    <col min="8" max="8" width="9.140625" style="10"/>
    <col min="9" max="9" width="11.7109375" style="10" bestFit="1" customWidth="1"/>
    <col min="10" max="16384" width="9.140625" style="10"/>
  </cols>
  <sheetData>
    <row r="1" spans="1:7">
      <c r="A1" s="445" t="str">
        <f>RevReq!A1</f>
        <v>SOUTH KENTUCKY R.E.C.C.</v>
      </c>
      <c r="B1" s="445"/>
      <c r="C1" s="445"/>
      <c r="D1" s="445"/>
      <c r="E1" s="445"/>
      <c r="F1" s="445"/>
      <c r="G1" s="445"/>
    </row>
    <row r="2" spans="1:7">
      <c r="A2" s="445" t="s">
        <v>148</v>
      </c>
      <c r="B2" s="445"/>
      <c r="C2" s="445"/>
      <c r="D2" s="445"/>
      <c r="E2" s="445"/>
      <c r="F2" s="445"/>
      <c r="G2" s="445"/>
    </row>
    <row r="4" spans="1:7" ht="47.25" customHeight="1">
      <c r="B4" s="35" t="s">
        <v>153</v>
      </c>
      <c r="C4" s="27" t="s">
        <v>40</v>
      </c>
      <c r="D4" s="27" t="s">
        <v>23</v>
      </c>
      <c r="E4" s="35" t="s">
        <v>24</v>
      </c>
      <c r="F4" s="27" t="s">
        <v>150</v>
      </c>
      <c r="G4" s="27" t="s">
        <v>151</v>
      </c>
    </row>
    <row r="5" spans="1:7">
      <c r="B5" s="36" t="s">
        <v>21</v>
      </c>
      <c r="C5" s="396">
        <v>1</v>
      </c>
      <c r="D5" s="37">
        <f>C5+1</f>
        <v>2</v>
      </c>
      <c r="E5" s="37">
        <f>D5+1</f>
        <v>3</v>
      </c>
      <c r="F5" s="37">
        <f>E5+1</f>
        <v>4</v>
      </c>
      <c r="G5" s="37">
        <f>F5+1</f>
        <v>5</v>
      </c>
    </row>
    <row r="6" spans="1:7">
      <c r="B6" s="10"/>
      <c r="C6" s="409"/>
      <c r="D6" s="51"/>
      <c r="E6" s="51"/>
      <c r="F6" s="51"/>
      <c r="G6" s="51"/>
    </row>
    <row r="7" spans="1:7">
      <c r="B7" s="9">
        <v>1.01</v>
      </c>
      <c r="C7" s="10" t="s">
        <v>149</v>
      </c>
      <c r="D7" s="22">
        <f>'1.01 FAC'!F31</f>
        <v>-11874072</v>
      </c>
      <c r="E7" s="206">
        <f>'1.01 FAC'!H31</f>
        <v>-11241462</v>
      </c>
      <c r="F7" s="22">
        <v>0</v>
      </c>
      <c r="G7" s="22">
        <f>D7-E7+F7</f>
        <v>-632610</v>
      </c>
    </row>
    <row r="8" spans="1:7">
      <c r="B8" s="9">
        <v>1.02</v>
      </c>
      <c r="C8" s="10" t="s">
        <v>112</v>
      </c>
      <c r="D8" s="22">
        <f>'1.02 ES'!F31</f>
        <v>-15673494</v>
      </c>
      <c r="E8" s="206">
        <f>'1.02 ES'!H31</f>
        <v>-15508843</v>
      </c>
      <c r="F8" s="22">
        <v>0</v>
      </c>
      <c r="G8" s="22">
        <f t="shared" ref="G8:G27" si="0">D8-E8+F8</f>
        <v>-164651</v>
      </c>
    </row>
    <row r="9" spans="1:7">
      <c r="B9" s="9">
        <v>1.03</v>
      </c>
      <c r="C9" s="10" t="s">
        <v>30</v>
      </c>
      <c r="D9" s="22"/>
      <c r="E9" s="206">
        <f>'1.03 RC'!E26</f>
        <v>53333.33</v>
      </c>
      <c r="F9" s="22"/>
      <c r="G9" s="22">
        <f t="shared" si="0"/>
        <v>-53333.33</v>
      </c>
    </row>
    <row r="10" spans="1:7">
      <c r="B10" s="9">
        <v>1.04</v>
      </c>
      <c r="C10" s="10" t="s">
        <v>214</v>
      </c>
      <c r="D10" s="22">
        <f>'1.04 CUST'!F49</f>
        <v>1427710.63</v>
      </c>
      <c r="E10" s="206">
        <f>'1.04 CUST'!G49</f>
        <v>929272.66</v>
      </c>
      <c r="F10" s="22"/>
      <c r="G10" s="22">
        <f t="shared" si="0"/>
        <v>498437.96999999986</v>
      </c>
    </row>
    <row r="11" spans="1:7">
      <c r="B11" s="9">
        <v>1.05</v>
      </c>
      <c r="C11" s="10" t="s">
        <v>211</v>
      </c>
      <c r="D11" s="22"/>
      <c r="E11" s="206">
        <f>'1.05 Depr'!I47</f>
        <v>810902.82</v>
      </c>
      <c r="F11" s="22"/>
      <c r="G11" s="22">
        <f t="shared" si="0"/>
        <v>-810902.82</v>
      </c>
    </row>
    <row r="12" spans="1:7">
      <c r="B12" s="9">
        <v>1.06</v>
      </c>
      <c r="C12" s="10" t="s">
        <v>359</v>
      </c>
      <c r="D12" s="22"/>
      <c r="E12" s="206">
        <f>'1.06 Donat&amp;Promo'!J420</f>
        <v>-668128.66999999864</v>
      </c>
      <c r="F12" s="22"/>
      <c r="G12" s="22">
        <f t="shared" si="0"/>
        <v>668128.66999999864</v>
      </c>
    </row>
    <row r="13" spans="1:7">
      <c r="B13" s="9">
        <v>1.07</v>
      </c>
      <c r="C13" s="10" t="s">
        <v>1138</v>
      </c>
      <c r="D13" s="22"/>
      <c r="E13" s="206">
        <f>'1.07 FEMA'!C14</f>
        <v>996188.39000000013</v>
      </c>
      <c r="F13" s="22"/>
      <c r="G13" s="22">
        <f t="shared" si="0"/>
        <v>-996188.39000000013</v>
      </c>
    </row>
    <row r="14" spans="1:7">
      <c r="B14" s="9">
        <v>1.08</v>
      </c>
      <c r="C14" s="10" t="s">
        <v>213</v>
      </c>
      <c r="D14" s="22"/>
      <c r="E14" s="206">
        <f>'1.08 Dir'!J36</f>
        <v>-2460.859999999986</v>
      </c>
      <c r="F14" s="22"/>
      <c r="G14" s="22">
        <f t="shared" si="0"/>
        <v>2460.859999999986</v>
      </c>
    </row>
    <row r="15" spans="1:7">
      <c r="B15" s="9">
        <v>1.0900000000000001</v>
      </c>
      <c r="C15" s="10" t="s">
        <v>244</v>
      </c>
      <c r="D15" s="22"/>
      <c r="E15" s="206">
        <f>' 1.09 RS401k'!M205</f>
        <v>360833.06520366488</v>
      </c>
      <c r="F15" s="22"/>
      <c r="G15" s="22">
        <f t="shared" si="0"/>
        <v>-360833.06520366488</v>
      </c>
    </row>
    <row r="16" spans="1:7">
      <c r="B16" s="26">
        <v>1.1000000000000001</v>
      </c>
      <c r="C16" s="10" t="s">
        <v>224</v>
      </c>
      <c r="D16" s="22"/>
      <c r="E16" s="206">
        <f>'1.10 Wages'!M196</f>
        <v>404317.80598334823</v>
      </c>
      <c r="F16" s="22"/>
      <c r="G16" s="22">
        <f t="shared" si="0"/>
        <v>-404317.80598334823</v>
      </c>
    </row>
    <row r="17" spans="2:9">
      <c r="B17" s="9">
        <v>1.1100000000000001</v>
      </c>
      <c r="C17" s="10" t="s">
        <v>282</v>
      </c>
      <c r="D17" s="22"/>
      <c r="E17" s="206">
        <f>'1.11 Prof'!F354</f>
        <v>-578100.22466666671</v>
      </c>
      <c r="F17" s="22"/>
      <c r="G17" s="22">
        <f t="shared" si="0"/>
        <v>578100.22466666671</v>
      </c>
    </row>
    <row r="18" spans="2:9" s="50" customFormat="1">
      <c r="B18" s="9">
        <v>1.1200000000000001</v>
      </c>
      <c r="C18" s="50" t="s">
        <v>31</v>
      </c>
      <c r="D18" s="22"/>
      <c r="E18" s="206"/>
      <c r="F18" s="23">
        <f>'1.12 GTCC'!F18</f>
        <v>-2018096.45</v>
      </c>
      <c r="G18" s="22">
        <f t="shared" si="0"/>
        <v>-2018096.45</v>
      </c>
      <c r="I18" s="10"/>
    </row>
    <row r="19" spans="2:9">
      <c r="B19" s="9">
        <v>1.1299999999999999</v>
      </c>
      <c r="C19" s="10" t="s">
        <v>360</v>
      </c>
      <c r="D19" s="22"/>
      <c r="E19" s="206">
        <f>'1.13PayrTx'!I203</f>
        <v>60775.058700315712</v>
      </c>
      <c r="F19" s="22"/>
      <c r="G19" s="22">
        <f t="shared" si="0"/>
        <v>-60775.058700315712</v>
      </c>
    </row>
    <row r="20" spans="2:9">
      <c r="B20" s="9">
        <v>1.1399999999999999</v>
      </c>
      <c r="C20" s="10" t="s">
        <v>361</v>
      </c>
      <c r="D20" s="22"/>
      <c r="E20" s="206">
        <f>'1.14 Int'!K68</f>
        <v>66154.910000000149</v>
      </c>
      <c r="F20" s="22"/>
      <c r="G20" s="22">
        <f t="shared" si="0"/>
        <v>-66154.910000000149</v>
      </c>
    </row>
    <row r="21" spans="2:9">
      <c r="B21" s="9">
        <v>1.1499999999999999</v>
      </c>
      <c r="C21" s="10" t="s">
        <v>209</v>
      </c>
      <c r="D21" s="22"/>
      <c r="E21" s="206">
        <f>'1.15 Life Ins'!H201</f>
        <v>-23886.235535070555</v>
      </c>
      <c r="F21" s="22"/>
      <c r="G21" s="22">
        <f t="shared" si="0"/>
        <v>23886.235535070555</v>
      </c>
    </row>
    <row r="22" spans="2:9">
      <c r="B22" s="9">
        <v>1.1599999999999999</v>
      </c>
      <c r="C22" s="10" t="s">
        <v>710</v>
      </c>
      <c r="E22" s="206">
        <f>'1.16 Health'!H69</f>
        <v>106898.61540385675</v>
      </c>
      <c r="F22" s="22"/>
      <c r="G22" s="22">
        <f t="shared" si="0"/>
        <v>-106898.61540385675</v>
      </c>
    </row>
    <row r="23" spans="2:9">
      <c r="B23" s="9">
        <v>1.17</v>
      </c>
      <c r="C23" s="10" t="s">
        <v>1204</v>
      </c>
      <c r="D23" s="141">
        <f>'1.17 Meter Test'!O18</f>
        <v>1854.3</v>
      </c>
      <c r="E23" s="206"/>
      <c r="F23" s="22"/>
      <c r="G23" s="22">
        <f t="shared" si="0"/>
        <v>1854.3</v>
      </c>
    </row>
    <row r="24" spans="2:9">
      <c r="B24" s="9">
        <v>1.18</v>
      </c>
      <c r="C24" s="10" t="s">
        <v>1176</v>
      </c>
      <c r="D24" s="141">
        <f>'1.18 Trip Charge'!L26</f>
        <v>173061.67000000004</v>
      </c>
      <c r="E24" s="206"/>
      <c r="F24" s="22"/>
      <c r="G24" s="22">
        <f t="shared" si="0"/>
        <v>173061.67000000004</v>
      </c>
    </row>
    <row r="25" spans="2:9">
      <c r="B25" s="9">
        <v>1.19</v>
      </c>
      <c r="C25" s="10" t="s">
        <v>1177</v>
      </c>
      <c r="D25" s="141">
        <f>'1.19 Remote Reconnect&lt;60'!H21</f>
        <v>14000</v>
      </c>
      <c r="E25" s="206"/>
      <c r="F25" s="22"/>
      <c r="G25" s="22">
        <f t="shared" si="0"/>
        <v>14000</v>
      </c>
    </row>
    <row r="26" spans="2:9">
      <c r="B26" s="291" t="s">
        <v>1190</v>
      </c>
      <c r="C26" s="10" t="s">
        <v>1189</v>
      </c>
      <c r="D26" s="141">
        <f>'1.20 Remote Reconnect 61-365'!F20</f>
        <v>6000</v>
      </c>
      <c r="E26" s="206"/>
      <c r="F26" s="22"/>
      <c r="G26" s="22">
        <f t="shared" si="0"/>
        <v>6000</v>
      </c>
    </row>
    <row r="27" spans="2:9">
      <c r="B27" s="9">
        <v>1.21</v>
      </c>
      <c r="C27" s="10" t="s">
        <v>1195</v>
      </c>
      <c r="D27" s="22">
        <f>'1.21 Returned Check'!J19</f>
        <v>6384</v>
      </c>
      <c r="E27" s="31"/>
      <c r="F27" s="22"/>
      <c r="G27" s="22">
        <f t="shared" si="0"/>
        <v>6384</v>
      </c>
    </row>
    <row r="28" spans="2:9" ht="13.5" thickBot="1">
      <c r="B28" s="73"/>
      <c r="C28" s="74" t="s">
        <v>43</v>
      </c>
      <c r="D28" s="75">
        <f>SUM(D7:D27)</f>
        <v>-25918555.399999999</v>
      </c>
      <c r="E28" s="339">
        <f>SUM(E7:E27)</f>
        <v>-24234204.334910545</v>
      </c>
      <c r="F28" s="75">
        <f>SUM(F7:F27)</f>
        <v>-2018096.45</v>
      </c>
      <c r="G28" s="75">
        <f>SUM(G7:G27)</f>
        <v>-3702447.5150894504</v>
      </c>
    </row>
    <row r="29" spans="2:9" ht="13.5" thickTop="1">
      <c r="D29" s="29"/>
      <c r="E29" s="251"/>
      <c r="F29" s="29"/>
      <c r="G29" s="22"/>
    </row>
    <row r="30" spans="2:9">
      <c r="D30" s="22"/>
      <c r="F30" s="22"/>
      <c r="G30" s="22"/>
    </row>
    <row r="31" spans="2:9">
      <c r="D31" s="25"/>
      <c r="E31" s="166"/>
      <c r="F31" s="25"/>
      <c r="G31" s="25"/>
    </row>
    <row r="32" spans="2:9">
      <c r="E32" s="206"/>
    </row>
    <row r="34" spans="4:7">
      <c r="D34" s="22"/>
      <c r="E34" s="206"/>
      <c r="F34" s="22"/>
      <c r="G34" s="22"/>
    </row>
    <row r="35" spans="4:7" ht="14.25">
      <c r="D35" s="48"/>
      <c r="E35" s="48"/>
      <c r="F35" s="48"/>
      <c r="G35" s="48"/>
    </row>
    <row r="37" spans="4:7">
      <c r="D37" s="106"/>
      <c r="E37" s="126"/>
      <c r="F37" s="106"/>
      <c r="G37" s="106"/>
    </row>
    <row r="38" spans="4:7" ht="14.25">
      <c r="D38" s="48"/>
      <c r="E38" s="48"/>
      <c r="F38" s="48"/>
      <c r="G38" s="48"/>
    </row>
    <row r="42" spans="4:7">
      <c r="E42" s="207"/>
    </row>
  </sheetData>
  <mergeCells count="2">
    <mergeCell ref="A1:G1"/>
    <mergeCell ref="A2:G2"/>
  </mergeCells>
  <conditionalFormatting sqref="D35:G35">
    <cfRule type="cellIs" dxfId="15" priority="5" operator="notEqual">
      <formula>0</formula>
    </cfRule>
    <cfRule type="cellIs" dxfId="14" priority="6" operator="equal">
      <formula>0</formula>
    </cfRule>
  </conditionalFormatting>
  <conditionalFormatting sqref="D38:G38">
    <cfRule type="cellIs" dxfId="13" priority="1" operator="notEqual">
      <formula>0</formula>
    </cfRule>
    <cfRule type="cellIs" dxfId="12" priority="2" operator="equal">
      <formula>0</formula>
    </cfRule>
  </conditionalFormatting>
  <printOptions horizontalCentered="1"/>
  <pageMargins left="1" right="0.75" top="0.75" bottom="0.5" header="0.5" footer="0.5"/>
  <pageSetup orientation="landscape" r:id="rId1"/>
  <headerFooter alignWithMargins="0">
    <oddFooter>&amp;RExhibit JW-2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68"/>
  <sheetViews>
    <sheetView view="pageBreakPreview" zoomScaleNormal="100" zoomScaleSheetLayoutView="100" workbookViewId="0">
      <selection activeCell="H21" sqref="H21"/>
    </sheetView>
  </sheetViews>
  <sheetFormatPr defaultColWidth="9.140625" defaultRowHeight="15"/>
  <cols>
    <col min="1" max="1" width="9.140625" style="414"/>
    <col min="2" max="2" width="1.5703125" style="414" customWidth="1"/>
    <col min="3" max="3" width="38.42578125" style="413" bestFit="1" customWidth="1"/>
    <col min="4" max="4" width="15.5703125" style="413" bestFit="1" customWidth="1"/>
    <col min="5" max="5" width="16.42578125" style="415" customWidth="1"/>
    <col min="6" max="6" width="18.28515625" style="413" customWidth="1"/>
    <col min="7" max="7" width="4.5703125" style="413" customWidth="1"/>
    <col min="8" max="8" width="13.42578125" style="413" bestFit="1" customWidth="1"/>
    <col min="9" max="9" width="5.85546875" style="413" customWidth="1"/>
    <col min="10" max="16384" width="9.140625" style="413"/>
  </cols>
  <sheetData>
    <row r="1" spans="1:7">
      <c r="A1" s="446" t="str">
        <f>RevReq!A1</f>
        <v>SOUTH KENTUCKY R.E.C.C.</v>
      </c>
      <c r="B1" s="446"/>
      <c r="C1" s="446"/>
      <c r="D1" s="446"/>
      <c r="E1" s="446"/>
      <c r="F1" s="446"/>
      <c r="G1" s="81"/>
    </row>
    <row r="2" spans="1:7">
      <c r="A2" s="446" t="s">
        <v>155</v>
      </c>
      <c r="B2" s="446"/>
      <c r="C2" s="446"/>
      <c r="D2" s="446"/>
      <c r="E2" s="446"/>
      <c r="F2" s="446"/>
      <c r="G2" s="81"/>
    </row>
    <row r="3" spans="1:7">
      <c r="A3" s="81"/>
      <c r="B3" s="81"/>
      <c r="C3" s="81"/>
      <c r="D3" s="81"/>
      <c r="E3" s="84"/>
      <c r="F3" s="81"/>
      <c r="G3" s="81"/>
    </row>
    <row r="4" spans="1:7">
      <c r="A4" s="9"/>
      <c r="B4" s="9"/>
      <c r="C4" s="10"/>
      <c r="D4" s="52"/>
      <c r="E4" s="85"/>
      <c r="F4" s="81"/>
      <c r="G4" s="81"/>
    </row>
    <row r="5" spans="1:7">
      <c r="A5" s="52" t="s">
        <v>0</v>
      </c>
      <c r="B5" s="52"/>
      <c r="C5" s="52" t="s">
        <v>1</v>
      </c>
      <c r="D5" s="52" t="s">
        <v>107</v>
      </c>
      <c r="E5" s="85" t="s">
        <v>200</v>
      </c>
      <c r="F5" s="52" t="s">
        <v>108</v>
      </c>
      <c r="G5" s="81"/>
    </row>
    <row r="6" spans="1:7" s="80" customFormat="1">
      <c r="A6" s="132" t="s">
        <v>21</v>
      </c>
      <c r="B6" s="132"/>
      <c r="C6" s="371">
        <v>1</v>
      </c>
      <c r="D6" s="371">
        <f>C6+1</f>
        <v>2</v>
      </c>
      <c r="E6" s="371">
        <f>D6+1</f>
        <v>3</v>
      </c>
      <c r="F6" s="371" t="s">
        <v>25</v>
      </c>
      <c r="G6" s="81"/>
    </row>
    <row r="7" spans="1:7">
      <c r="A7" s="9">
        <v>1</v>
      </c>
      <c r="B7" s="83" t="s">
        <v>156</v>
      </c>
      <c r="C7" s="10"/>
      <c r="D7" s="10"/>
      <c r="E7" s="23"/>
      <c r="F7" s="10"/>
      <c r="G7" s="81"/>
    </row>
    <row r="8" spans="1:7">
      <c r="A8" s="9">
        <f>A7+1</f>
        <v>2</v>
      </c>
      <c r="B8" s="9"/>
      <c r="C8" s="10" t="s">
        <v>157</v>
      </c>
      <c r="D8" s="365">
        <v>324470283.74000001</v>
      </c>
      <c r="E8" s="365">
        <v>0</v>
      </c>
      <c r="F8" s="365">
        <f>D8+E8</f>
        <v>324470283.74000001</v>
      </c>
      <c r="G8" s="81"/>
    </row>
    <row r="9" spans="1:7">
      <c r="A9" s="9">
        <f t="shared" ref="A9:A66" si="0">A8+1</f>
        <v>3</v>
      </c>
      <c r="B9" s="9"/>
      <c r="C9" s="10" t="s">
        <v>158</v>
      </c>
      <c r="D9" s="365">
        <v>5730572.9800000004</v>
      </c>
      <c r="E9" s="365">
        <v>0</v>
      </c>
      <c r="F9" s="365">
        <f t="shared" ref="F9:F66" si="1">D9+E9</f>
        <v>5730572.9800000004</v>
      </c>
      <c r="G9" s="81"/>
    </row>
    <row r="10" spans="1:7">
      <c r="A10" s="9">
        <f t="shared" si="0"/>
        <v>4</v>
      </c>
      <c r="B10" s="9"/>
      <c r="C10" s="10" t="s">
        <v>259</v>
      </c>
      <c r="D10" s="365">
        <v>330200856.72000003</v>
      </c>
      <c r="E10" s="365">
        <v>0</v>
      </c>
      <c r="F10" s="365">
        <f t="shared" si="1"/>
        <v>330200856.72000003</v>
      </c>
      <c r="G10" s="81"/>
    </row>
    <row r="11" spans="1:7">
      <c r="A11" s="9">
        <f t="shared" si="0"/>
        <v>5</v>
      </c>
      <c r="B11" s="9"/>
      <c r="C11" s="10" t="s">
        <v>159</v>
      </c>
      <c r="D11" s="365">
        <v>-107536386.98999999</v>
      </c>
      <c r="E11" s="365">
        <v>0</v>
      </c>
      <c r="F11" s="365">
        <f t="shared" si="1"/>
        <v>-107536386.98999999</v>
      </c>
      <c r="G11" s="81"/>
    </row>
    <row r="12" spans="1:7">
      <c r="A12" s="9">
        <f t="shared" si="0"/>
        <v>6</v>
      </c>
      <c r="B12" s="9"/>
      <c r="C12" s="15" t="s">
        <v>160</v>
      </c>
      <c r="D12" s="366">
        <f>SUM(D10:D11)</f>
        <v>222664469.73000002</v>
      </c>
      <c r="E12" s="366">
        <f t="shared" ref="E12" si="2">SUM(E10:E11)</f>
        <v>0</v>
      </c>
      <c r="F12" s="366">
        <f t="shared" si="1"/>
        <v>222664469.73000002</v>
      </c>
      <c r="G12" s="81"/>
    </row>
    <row r="13" spans="1:7">
      <c r="A13" s="9">
        <f t="shared" si="0"/>
        <v>7</v>
      </c>
      <c r="B13" s="9"/>
      <c r="C13" s="10" t="s">
        <v>1210</v>
      </c>
      <c r="D13" s="365">
        <v>24793.32</v>
      </c>
      <c r="E13" s="365"/>
      <c r="F13" s="365">
        <f t="shared" si="1"/>
        <v>24793.32</v>
      </c>
      <c r="G13" s="81"/>
    </row>
    <row r="14" spans="1:7">
      <c r="A14" s="9">
        <f t="shared" si="0"/>
        <v>8</v>
      </c>
      <c r="B14" s="9"/>
      <c r="C14" s="10" t="s">
        <v>161</v>
      </c>
      <c r="D14" s="365">
        <v>90102318.150000006</v>
      </c>
      <c r="E14" s="365"/>
      <c r="F14" s="365">
        <f t="shared" si="1"/>
        <v>90102318.150000006</v>
      </c>
      <c r="G14" s="81"/>
    </row>
    <row r="15" spans="1:7">
      <c r="A15" s="9">
        <f t="shared" si="0"/>
        <v>9</v>
      </c>
      <c r="B15" s="9"/>
      <c r="C15" s="10" t="s">
        <v>162</v>
      </c>
      <c r="D15" s="365">
        <v>1513076.24</v>
      </c>
      <c r="E15" s="365">
        <v>0</v>
      </c>
      <c r="F15" s="365">
        <f t="shared" si="1"/>
        <v>1513076.24</v>
      </c>
      <c r="G15" s="81"/>
    </row>
    <row r="16" spans="1:7">
      <c r="A16" s="9">
        <f t="shared" si="0"/>
        <v>10</v>
      </c>
      <c r="B16" s="9"/>
      <c r="C16" s="10" t="s">
        <v>163</v>
      </c>
      <c r="D16" s="365">
        <v>0</v>
      </c>
      <c r="E16" s="365">
        <v>0</v>
      </c>
      <c r="F16" s="365">
        <f t="shared" si="1"/>
        <v>0</v>
      </c>
      <c r="G16" s="81"/>
    </row>
    <row r="17" spans="1:7">
      <c r="A17" s="9">
        <f t="shared" si="0"/>
        <v>11</v>
      </c>
      <c r="B17" s="9"/>
      <c r="C17" s="10" t="s">
        <v>164</v>
      </c>
      <c r="D17" s="365">
        <v>2954898.28</v>
      </c>
      <c r="E17" s="365">
        <v>0</v>
      </c>
      <c r="F17" s="365">
        <f t="shared" si="1"/>
        <v>2954898.28</v>
      </c>
      <c r="G17" s="81"/>
    </row>
    <row r="18" spans="1:7">
      <c r="A18" s="9">
        <f t="shared" si="0"/>
        <v>12</v>
      </c>
      <c r="B18" s="9"/>
      <c r="C18" s="15" t="s">
        <v>165</v>
      </c>
      <c r="D18" s="366">
        <f>SUM(D13:D17)</f>
        <v>94595085.989999995</v>
      </c>
      <c r="E18" s="366">
        <f t="shared" ref="E18" si="3">SUM(E14:E17)</f>
        <v>0</v>
      </c>
      <c r="F18" s="366">
        <f t="shared" si="1"/>
        <v>94595085.989999995</v>
      </c>
      <c r="G18" s="81"/>
    </row>
    <row r="19" spans="1:7">
      <c r="A19" s="9">
        <f t="shared" si="0"/>
        <v>13</v>
      </c>
      <c r="B19" s="9"/>
      <c r="C19" s="10"/>
      <c r="D19" s="365"/>
      <c r="E19" s="365"/>
      <c r="F19" s="365">
        <f t="shared" si="1"/>
        <v>0</v>
      </c>
      <c r="G19" s="81"/>
    </row>
    <row r="20" spans="1:7">
      <c r="A20" s="9">
        <f t="shared" si="0"/>
        <v>14</v>
      </c>
      <c r="B20" s="9"/>
      <c r="C20" s="10" t="s">
        <v>166</v>
      </c>
      <c r="D20" s="365">
        <v>4728835.04</v>
      </c>
      <c r="E20" s="365">
        <v>0</v>
      </c>
      <c r="F20" s="365">
        <f t="shared" si="1"/>
        <v>4728835.04</v>
      </c>
      <c r="G20" s="81"/>
    </row>
    <row r="21" spans="1:7">
      <c r="A21" s="9">
        <f t="shared" si="0"/>
        <v>15</v>
      </c>
      <c r="B21" s="9"/>
      <c r="C21" s="10" t="s">
        <v>167</v>
      </c>
      <c r="D21" s="365">
        <v>0</v>
      </c>
      <c r="E21" s="365">
        <v>0</v>
      </c>
      <c r="F21" s="365">
        <f t="shared" si="1"/>
        <v>0</v>
      </c>
      <c r="G21" s="81"/>
    </row>
    <row r="22" spans="1:7">
      <c r="A22" s="9">
        <f t="shared" si="0"/>
        <v>16</v>
      </c>
      <c r="B22" s="9"/>
      <c r="C22" s="10" t="s">
        <v>168</v>
      </c>
      <c r="D22" s="365">
        <v>0</v>
      </c>
      <c r="E22" s="365">
        <v>0</v>
      </c>
      <c r="F22" s="365">
        <f t="shared" si="1"/>
        <v>0</v>
      </c>
      <c r="G22" s="81"/>
    </row>
    <row r="23" spans="1:7">
      <c r="A23" s="9">
        <f t="shared" si="0"/>
        <v>17</v>
      </c>
      <c r="B23" s="9"/>
      <c r="C23" s="10" t="s">
        <v>169</v>
      </c>
      <c r="D23" s="365">
        <v>6865745.5499999998</v>
      </c>
      <c r="E23" s="365">
        <v>0</v>
      </c>
      <c r="F23" s="365">
        <f t="shared" si="1"/>
        <v>6865745.5499999998</v>
      </c>
      <c r="G23" s="81"/>
    </row>
    <row r="24" spans="1:7">
      <c r="A24" s="9">
        <f t="shared" si="0"/>
        <v>18</v>
      </c>
      <c r="B24" s="9"/>
      <c r="C24" s="10" t="s">
        <v>171</v>
      </c>
      <c r="D24" s="365">
        <v>4315783.88</v>
      </c>
      <c r="E24" s="365">
        <v>0</v>
      </c>
      <c r="F24" s="365">
        <f t="shared" si="1"/>
        <v>4315783.88</v>
      </c>
      <c r="G24" s="81"/>
    </row>
    <row r="25" spans="1:7">
      <c r="A25" s="9">
        <f t="shared" si="0"/>
        <v>19</v>
      </c>
      <c r="B25" s="9"/>
      <c r="C25" s="10" t="s">
        <v>170</v>
      </c>
      <c r="D25" s="365">
        <v>371447.3</v>
      </c>
      <c r="E25" s="365">
        <v>0</v>
      </c>
      <c r="F25" s="365">
        <f t="shared" si="1"/>
        <v>371447.3</v>
      </c>
      <c r="G25" s="81"/>
    </row>
    <row r="26" spans="1:7">
      <c r="A26" s="9">
        <f t="shared" si="0"/>
        <v>20</v>
      </c>
      <c r="B26" s="9"/>
      <c r="C26" s="10" t="s">
        <v>172</v>
      </c>
      <c r="D26" s="367">
        <v>0</v>
      </c>
      <c r="E26" s="365">
        <v>0</v>
      </c>
      <c r="F26" s="367">
        <f t="shared" si="1"/>
        <v>0</v>
      </c>
      <c r="G26" s="81"/>
    </row>
    <row r="27" spans="1:7">
      <c r="A27" s="9">
        <f t="shared" si="0"/>
        <v>21</v>
      </c>
      <c r="B27" s="9"/>
      <c r="C27" s="10" t="s">
        <v>173</v>
      </c>
      <c r="D27" s="365">
        <v>3089697.53</v>
      </c>
      <c r="E27" s="365"/>
      <c r="F27" s="365">
        <f t="shared" si="1"/>
        <v>3089697.53</v>
      </c>
      <c r="G27" s="81"/>
    </row>
    <row r="28" spans="1:7">
      <c r="A28" s="9">
        <f t="shared" si="0"/>
        <v>22</v>
      </c>
      <c r="B28" s="9"/>
      <c r="C28" s="10" t="s">
        <v>174</v>
      </c>
      <c r="D28" s="365">
        <v>610202.5</v>
      </c>
      <c r="E28" s="365"/>
      <c r="F28" s="365">
        <f t="shared" si="1"/>
        <v>610202.5</v>
      </c>
      <c r="G28" s="81"/>
    </row>
    <row r="29" spans="1:7">
      <c r="A29" s="9">
        <f t="shared" si="0"/>
        <v>23</v>
      </c>
      <c r="B29" s="9"/>
      <c r="C29" s="10" t="s">
        <v>175</v>
      </c>
      <c r="D29" s="365">
        <v>9452520.2699999996</v>
      </c>
      <c r="E29" s="365"/>
      <c r="F29" s="365">
        <f t="shared" si="1"/>
        <v>9452520.2699999996</v>
      </c>
      <c r="G29" s="81"/>
    </row>
    <row r="30" spans="1:7">
      <c r="A30" s="9">
        <f t="shared" si="0"/>
        <v>24</v>
      </c>
      <c r="B30" s="9"/>
      <c r="C30" s="15" t="s">
        <v>176</v>
      </c>
      <c r="D30" s="366">
        <f>SUM(D20:D29)</f>
        <v>29434232.07</v>
      </c>
      <c r="E30" s="366">
        <f t="shared" ref="E30" si="4">SUM(E20:E29)</f>
        <v>0</v>
      </c>
      <c r="F30" s="366">
        <f t="shared" si="1"/>
        <v>29434232.07</v>
      </c>
      <c r="G30" s="81"/>
    </row>
    <row r="31" spans="1:7">
      <c r="A31" s="9">
        <f t="shared" si="0"/>
        <v>25</v>
      </c>
      <c r="B31" s="9"/>
      <c r="C31" s="10"/>
      <c r="D31" s="365"/>
      <c r="E31" s="365"/>
      <c r="F31" s="365">
        <f t="shared" si="1"/>
        <v>0</v>
      </c>
      <c r="G31" s="81"/>
    </row>
    <row r="32" spans="1:7">
      <c r="A32" s="9">
        <f t="shared" si="0"/>
        <v>26</v>
      </c>
      <c r="B32" s="9"/>
      <c r="C32" s="10" t="s">
        <v>177</v>
      </c>
      <c r="D32" s="365">
        <v>1460381.37</v>
      </c>
      <c r="E32" s="365"/>
      <c r="F32" s="365">
        <f t="shared" si="1"/>
        <v>1460381.37</v>
      </c>
      <c r="G32" s="81"/>
    </row>
    <row r="33" spans="1:7">
      <c r="A33" s="9">
        <f t="shared" si="0"/>
        <v>27</v>
      </c>
      <c r="B33" s="9"/>
      <c r="C33" s="10" t="s">
        <v>178</v>
      </c>
      <c r="D33" s="365">
        <v>495771.06</v>
      </c>
      <c r="E33" s="365"/>
      <c r="F33" s="365">
        <f t="shared" si="1"/>
        <v>495771.06</v>
      </c>
      <c r="G33" s="81"/>
    </row>
    <row r="34" spans="1:7">
      <c r="A34" s="9">
        <f t="shared" si="0"/>
        <v>28</v>
      </c>
      <c r="B34" s="9"/>
      <c r="C34" s="10"/>
      <c r="D34" s="23"/>
      <c r="E34" s="365"/>
      <c r="F34" s="23">
        <f t="shared" si="1"/>
        <v>0</v>
      </c>
      <c r="G34" s="81"/>
    </row>
    <row r="35" spans="1:7" ht="15.75" thickBot="1">
      <c r="A35" s="9">
        <f t="shared" si="0"/>
        <v>29</v>
      </c>
      <c r="B35" s="9"/>
      <c r="C35" s="19" t="s">
        <v>179</v>
      </c>
      <c r="D35" s="368">
        <f>D33+D32+D30+D18+D12</f>
        <v>348649940.22000003</v>
      </c>
      <c r="E35" s="368">
        <f t="shared" ref="E35" si="5">E33+E32+E30+E18+E12</f>
        <v>0</v>
      </c>
      <c r="F35" s="368">
        <f t="shared" si="1"/>
        <v>348649940.22000003</v>
      </c>
      <c r="G35" s="81"/>
    </row>
    <row r="36" spans="1:7" ht="15.75" thickTop="1">
      <c r="A36" s="9">
        <f t="shared" si="0"/>
        <v>30</v>
      </c>
      <c r="B36" s="9"/>
      <c r="C36" s="10"/>
      <c r="D36" s="369"/>
      <c r="E36" s="365"/>
      <c r="F36" s="369">
        <f t="shared" si="1"/>
        <v>0</v>
      </c>
      <c r="G36" s="81"/>
    </row>
    <row r="37" spans="1:7">
      <c r="A37" s="9">
        <f t="shared" si="0"/>
        <v>31</v>
      </c>
      <c r="B37" s="82" t="s">
        <v>180</v>
      </c>
      <c r="C37" s="10"/>
      <c r="D37" s="365"/>
      <c r="E37" s="365"/>
      <c r="F37" s="365">
        <f t="shared" si="1"/>
        <v>0</v>
      </c>
      <c r="G37" s="81"/>
    </row>
    <row r="38" spans="1:7">
      <c r="A38" s="9">
        <f t="shared" si="0"/>
        <v>32</v>
      </c>
      <c r="B38" s="9"/>
      <c r="C38" s="10" t="s">
        <v>181</v>
      </c>
      <c r="D38" s="365">
        <v>1231406</v>
      </c>
      <c r="E38" s="23"/>
      <c r="F38" s="365">
        <f t="shared" si="1"/>
        <v>1231406</v>
      </c>
      <c r="G38" s="81"/>
    </row>
    <row r="39" spans="1:7">
      <c r="A39" s="9">
        <f t="shared" si="0"/>
        <v>33</v>
      </c>
      <c r="B39" s="9"/>
      <c r="C39" s="10" t="s">
        <v>182</v>
      </c>
      <c r="D39" s="365">
        <v>152996187.03999999</v>
      </c>
      <c r="E39" s="365"/>
      <c r="F39" s="365">
        <f t="shared" si="1"/>
        <v>152996187.03999999</v>
      </c>
      <c r="G39" s="81"/>
    </row>
    <row r="40" spans="1:7">
      <c r="A40" s="9"/>
      <c r="B40" s="9"/>
      <c r="C40" s="10" t="s">
        <v>1211</v>
      </c>
      <c r="D40" s="365">
        <v>4840043.05</v>
      </c>
      <c r="E40" s="365"/>
      <c r="F40" s="365">
        <f t="shared" si="1"/>
        <v>4840043.05</v>
      </c>
      <c r="G40" s="81"/>
    </row>
    <row r="41" spans="1:7">
      <c r="A41" s="9">
        <f>A39+1</f>
        <v>34</v>
      </c>
      <c r="B41" s="9"/>
      <c r="C41" s="10" t="s">
        <v>183</v>
      </c>
      <c r="D41" s="365">
        <v>-1250289.3600000001</v>
      </c>
      <c r="E41" s="365"/>
      <c r="F41" s="365">
        <f t="shared" si="1"/>
        <v>-1250289.3600000001</v>
      </c>
      <c r="G41" s="81"/>
    </row>
    <row r="42" spans="1:7">
      <c r="A42" s="9">
        <f t="shared" si="0"/>
        <v>35</v>
      </c>
      <c r="B42" s="9"/>
      <c r="C42" s="10" t="s">
        <v>184</v>
      </c>
      <c r="D42" s="365">
        <v>2514656.4700000002</v>
      </c>
      <c r="E42" s="365"/>
      <c r="F42" s="365">
        <f t="shared" si="1"/>
        <v>2514656.4700000002</v>
      </c>
      <c r="G42" s="81"/>
    </row>
    <row r="43" spans="1:7">
      <c r="A43" s="9">
        <f t="shared" si="0"/>
        <v>36</v>
      </c>
      <c r="B43" s="9"/>
      <c r="C43" s="10" t="s">
        <v>185</v>
      </c>
      <c r="D43" s="365">
        <v>8091272.5800000001</v>
      </c>
      <c r="E43" s="365"/>
      <c r="F43" s="365">
        <f t="shared" si="1"/>
        <v>8091272.5800000001</v>
      </c>
      <c r="G43" s="81"/>
    </row>
    <row r="44" spans="1:7">
      <c r="A44" s="9">
        <f t="shared" si="0"/>
        <v>37</v>
      </c>
      <c r="B44" s="9"/>
      <c r="C44" s="15" t="s">
        <v>186</v>
      </c>
      <c r="D44" s="366">
        <f>SUM(D38:D43)</f>
        <v>168423275.78</v>
      </c>
      <c r="E44" s="366">
        <f t="shared" ref="E44" si="6">SUM(E38:E43)</f>
        <v>0</v>
      </c>
      <c r="F44" s="366">
        <f t="shared" si="1"/>
        <v>168423275.78</v>
      </c>
      <c r="G44" s="81"/>
    </row>
    <row r="45" spans="1:7">
      <c r="A45" s="9">
        <f t="shared" si="0"/>
        <v>38</v>
      </c>
      <c r="B45" s="9"/>
      <c r="C45" s="10"/>
      <c r="D45" s="365"/>
      <c r="E45" s="365"/>
      <c r="F45" s="365">
        <f t="shared" si="1"/>
        <v>0</v>
      </c>
      <c r="G45" s="81"/>
    </row>
    <row r="46" spans="1:7">
      <c r="A46" s="9">
        <f t="shared" si="0"/>
        <v>39</v>
      </c>
      <c r="B46" s="9"/>
      <c r="C46" s="10" t="s">
        <v>260</v>
      </c>
      <c r="D46" s="369">
        <v>2152632.98</v>
      </c>
      <c r="E46" s="365"/>
      <c r="F46" s="369">
        <f t="shared" si="1"/>
        <v>2152632.98</v>
      </c>
      <c r="G46" s="81"/>
    </row>
    <row r="47" spans="1:7">
      <c r="A47" s="9">
        <f t="shared" si="0"/>
        <v>40</v>
      </c>
      <c r="B47" s="9"/>
      <c r="C47" s="10" t="s">
        <v>187</v>
      </c>
      <c r="D47" s="369">
        <v>118579187.87</v>
      </c>
      <c r="E47" s="365"/>
      <c r="F47" s="369">
        <f t="shared" si="1"/>
        <v>118579187.87</v>
      </c>
      <c r="G47" s="81"/>
    </row>
    <row r="48" spans="1:7">
      <c r="A48" s="9">
        <f t="shared" si="0"/>
        <v>41</v>
      </c>
      <c r="B48" s="9"/>
      <c r="C48" s="10" t="s">
        <v>261</v>
      </c>
      <c r="D48" s="369">
        <v>0</v>
      </c>
      <c r="E48" s="365"/>
      <c r="F48" s="369">
        <f t="shared" si="1"/>
        <v>0</v>
      </c>
      <c r="G48" s="81"/>
    </row>
    <row r="49" spans="1:7">
      <c r="A49" s="9">
        <f t="shared" si="0"/>
        <v>42</v>
      </c>
      <c r="B49" s="9"/>
      <c r="C49" s="10" t="s">
        <v>188</v>
      </c>
      <c r="D49" s="369">
        <v>37256303.299999997</v>
      </c>
      <c r="E49" s="365"/>
      <c r="F49" s="369">
        <f t="shared" si="1"/>
        <v>37256303.299999997</v>
      </c>
      <c r="G49" s="81"/>
    </row>
    <row r="50" spans="1:7">
      <c r="A50" s="9">
        <f>A48+1</f>
        <v>42</v>
      </c>
      <c r="B50" s="9"/>
      <c r="C50" s="10" t="s">
        <v>189</v>
      </c>
      <c r="D50" s="369">
        <v>3211833.42</v>
      </c>
      <c r="E50" s="365"/>
      <c r="F50" s="369">
        <f t="shared" si="1"/>
        <v>3211833.42</v>
      </c>
      <c r="G50" s="81"/>
    </row>
    <row r="51" spans="1:7">
      <c r="A51" s="9">
        <f>A49+1</f>
        <v>43</v>
      </c>
      <c r="B51" s="9"/>
      <c r="C51" s="10" t="s">
        <v>1212</v>
      </c>
      <c r="D51" s="369">
        <v>-14648360.859999999</v>
      </c>
      <c r="E51" s="365"/>
      <c r="F51" s="369">
        <f t="shared" si="1"/>
        <v>-14648360.859999999</v>
      </c>
      <c r="G51" s="81"/>
    </row>
    <row r="52" spans="1:7">
      <c r="A52" s="9">
        <f t="shared" si="0"/>
        <v>44</v>
      </c>
      <c r="B52" s="9"/>
      <c r="C52" s="15" t="s">
        <v>190</v>
      </c>
      <c r="D52" s="366">
        <f>SUM(D46:D51)</f>
        <v>146551596.70999998</v>
      </c>
      <c r="E52" s="366">
        <f t="shared" ref="E52" si="7">SUM(E46:E51)</f>
        <v>0</v>
      </c>
      <c r="F52" s="366">
        <f t="shared" si="1"/>
        <v>146551596.70999998</v>
      </c>
      <c r="G52" s="81"/>
    </row>
    <row r="53" spans="1:7">
      <c r="A53" s="9">
        <f t="shared" si="0"/>
        <v>45</v>
      </c>
      <c r="B53" s="9"/>
      <c r="C53" s="10"/>
      <c r="D53" s="365"/>
      <c r="E53" s="365"/>
      <c r="F53" s="365">
        <f t="shared" si="1"/>
        <v>0</v>
      </c>
      <c r="G53" s="81"/>
    </row>
    <row r="54" spans="1:7">
      <c r="A54" s="9">
        <f t="shared" si="0"/>
        <v>46</v>
      </c>
      <c r="B54" s="9"/>
      <c r="C54" s="10" t="s">
        <v>191</v>
      </c>
      <c r="D54" s="365">
        <v>7285093.7199999997</v>
      </c>
      <c r="E54" s="365"/>
      <c r="F54" s="365">
        <f t="shared" si="1"/>
        <v>7285093.7199999997</v>
      </c>
      <c r="G54" s="81"/>
    </row>
    <row r="55" spans="1:7">
      <c r="A55" s="9">
        <f t="shared" si="0"/>
        <v>47</v>
      </c>
      <c r="B55" s="9"/>
      <c r="C55" s="10"/>
      <c r="D55" s="365"/>
      <c r="E55" s="365"/>
      <c r="F55" s="365">
        <f t="shared" si="1"/>
        <v>0</v>
      </c>
      <c r="G55" s="81"/>
    </row>
    <row r="56" spans="1:7">
      <c r="A56" s="9">
        <f t="shared" si="0"/>
        <v>48</v>
      </c>
      <c r="B56" s="9"/>
      <c r="C56" s="10" t="s">
        <v>192</v>
      </c>
      <c r="D56" s="365">
        <v>0</v>
      </c>
      <c r="E56" s="365"/>
      <c r="F56" s="365">
        <f t="shared" si="1"/>
        <v>0</v>
      </c>
      <c r="G56" s="81"/>
    </row>
    <row r="57" spans="1:7">
      <c r="A57" s="9">
        <f t="shared" si="0"/>
        <v>49</v>
      </c>
      <c r="B57" s="9"/>
      <c r="C57" s="10" t="s">
        <v>193</v>
      </c>
      <c r="D57" s="365">
        <v>10928811.32</v>
      </c>
      <c r="E57" s="365"/>
      <c r="F57" s="365">
        <f t="shared" si="1"/>
        <v>10928811.32</v>
      </c>
      <c r="G57" s="81"/>
    </row>
    <row r="58" spans="1:7">
      <c r="A58" s="9">
        <f t="shared" si="0"/>
        <v>50</v>
      </c>
      <c r="B58" s="9"/>
      <c r="C58" s="10" t="s">
        <v>194</v>
      </c>
      <c r="D58" s="365">
        <v>2608693.7599999998</v>
      </c>
      <c r="E58" s="365"/>
      <c r="F58" s="365">
        <f t="shared" si="1"/>
        <v>2608693.7599999998</v>
      </c>
      <c r="G58" s="81"/>
    </row>
    <row r="59" spans="1:7">
      <c r="A59" s="9">
        <f t="shared" si="0"/>
        <v>51</v>
      </c>
      <c r="B59" s="9"/>
      <c r="C59" s="10" t="s">
        <v>262</v>
      </c>
      <c r="D59" s="365">
        <v>8017919.4699999997</v>
      </c>
      <c r="E59" s="365"/>
      <c r="F59" s="365">
        <f t="shared" si="1"/>
        <v>8017919.4699999997</v>
      </c>
      <c r="G59" s="81"/>
    </row>
    <row r="60" spans="1:7">
      <c r="A60" s="9">
        <f t="shared" si="0"/>
        <v>52</v>
      </c>
      <c r="B60" s="9"/>
      <c r="C60" s="10" t="s">
        <v>263</v>
      </c>
      <c r="D60" s="365">
        <v>208333.32</v>
      </c>
      <c r="E60" s="365"/>
      <c r="F60" s="365">
        <f t="shared" si="1"/>
        <v>208333.32</v>
      </c>
      <c r="G60" s="81"/>
    </row>
    <row r="61" spans="1:7">
      <c r="A61" s="9">
        <f t="shared" si="0"/>
        <v>53</v>
      </c>
      <c r="B61" s="9"/>
      <c r="C61" s="10" t="s">
        <v>195</v>
      </c>
      <c r="D61" s="365">
        <v>4182888.93</v>
      </c>
      <c r="E61" s="365"/>
      <c r="F61" s="365">
        <f t="shared" si="1"/>
        <v>4182888.93</v>
      </c>
      <c r="G61" s="81"/>
    </row>
    <row r="62" spans="1:7">
      <c r="A62" s="9">
        <f t="shared" si="0"/>
        <v>54</v>
      </c>
      <c r="B62" s="9"/>
      <c r="C62" s="15" t="s">
        <v>196</v>
      </c>
      <c r="D62" s="366">
        <f>SUM(D56:D61)</f>
        <v>25946646.800000001</v>
      </c>
      <c r="E62" s="366">
        <f t="shared" ref="E62" si="8">SUM(E56:E61)</f>
        <v>0</v>
      </c>
      <c r="F62" s="366">
        <f t="shared" si="1"/>
        <v>25946646.800000001</v>
      </c>
      <c r="G62" s="81"/>
    </row>
    <row r="63" spans="1:7">
      <c r="A63" s="9">
        <f t="shared" si="0"/>
        <v>55</v>
      </c>
      <c r="B63" s="9"/>
      <c r="C63" s="10"/>
      <c r="D63" s="365"/>
      <c r="E63" s="365"/>
      <c r="F63" s="365">
        <f t="shared" si="1"/>
        <v>0</v>
      </c>
      <c r="G63" s="81"/>
    </row>
    <row r="64" spans="1:7">
      <c r="A64" s="9">
        <f t="shared" si="0"/>
        <v>56</v>
      </c>
      <c r="B64" s="9"/>
      <c r="C64" s="10" t="s">
        <v>197</v>
      </c>
      <c r="D64" s="365">
        <v>0</v>
      </c>
      <c r="E64" s="365"/>
      <c r="F64" s="365">
        <f t="shared" si="1"/>
        <v>0</v>
      </c>
      <c r="G64" s="81"/>
    </row>
    <row r="65" spans="1:7">
      <c r="A65" s="9">
        <f t="shared" si="0"/>
        <v>57</v>
      </c>
      <c r="B65" s="9"/>
      <c r="C65" s="10" t="s">
        <v>198</v>
      </c>
      <c r="D65" s="365">
        <v>443327.21</v>
      </c>
      <c r="E65" s="365"/>
      <c r="F65" s="365">
        <f t="shared" si="1"/>
        <v>443327.21</v>
      </c>
      <c r="G65" s="81"/>
    </row>
    <row r="66" spans="1:7" ht="15.75" thickBot="1">
      <c r="A66" s="9">
        <f t="shared" si="0"/>
        <v>58</v>
      </c>
      <c r="B66" s="9"/>
      <c r="C66" s="19" t="s">
        <v>199</v>
      </c>
      <c r="D66" s="368">
        <f>D65+D64+D62+D54+D52+D44</f>
        <v>348649940.22000003</v>
      </c>
      <c r="E66" s="368">
        <f t="shared" ref="E66" si="9">E65+E64+E62+E54+E52+E44</f>
        <v>0</v>
      </c>
      <c r="F66" s="368">
        <f t="shared" si="1"/>
        <v>348649940.22000003</v>
      </c>
      <c r="G66" s="81"/>
    </row>
    <row r="67" spans="1:7" ht="15.75" thickTop="1">
      <c r="G67" s="81"/>
    </row>
    <row r="68" spans="1:7">
      <c r="G68" s="81"/>
    </row>
  </sheetData>
  <mergeCells count="2">
    <mergeCell ref="A1:F1"/>
    <mergeCell ref="A2:F2"/>
  </mergeCells>
  <printOptions horizontalCentered="1"/>
  <pageMargins left="1" right="0.75" top="0.75" bottom="0.75" header="0.3" footer="0.3"/>
  <pageSetup scale="71" orientation="portrait" r:id="rId1"/>
  <headerFooter>
    <oddFooter>&amp;RExhibit  JW-2
Page &amp;P of &amp;N</oddFooter>
  </headerFooter>
  <ignoredErrors>
    <ignoredError sqref="D12:E12" formulaRange="1"/>
    <ignoredError sqref="F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4">
    <pageSetUpPr fitToPage="1"/>
  </sheetPr>
  <dimension ref="A1:AK151"/>
  <sheetViews>
    <sheetView defaultGridColor="0" view="pageBreakPreview" colorId="22" zoomScaleNormal="75" zoomScaleSheetLayoutView="100" workbookViewId="0">
      <pane xSplit="2" ySplit="6" topLeftCell="L38" activePane="bottomRight" state="frozen"/>
      <selection activeCell="K22" sqref="K22"/>
      <selection pane="topRight" activeCell="K22" sqref="K22"/>
      <selection pane="bottomLeft" activeCell="K22" sqref="K22"/>
      <selection pane="bottomRight" activeCell="Z41" sqref="Z41"/>
    </sheetView>
  </sheetViews>
  <sheetFormatPr defaultColWidth="12.5703125" defaultRowHeight="14.25"/>
  <cols>
    <col min="1" max="1" width="6.140625" style="59" customWidth="1"/>
    <col min="2" max="2" width="33.140625" style="57" customWidth="1"/>
    <col min="3" max="3" width="12.28515625" style="408" customWidth="1"/>
    <col min="4" max="4" width="15.5703125" style="57" customWidth="1"/>
    <col min="5" max="5" width="13.140625" style="57" bestFit="1" customWidth="1"/>
    <col min="6" max="6" width="14.28515625" style="57" customWidth="1"/>
    <col min="7" max="7" width="12" style="57" bestFit="1" customWidth="1"/>
    <col min="8" max="8" width="13.85546875" style="57" customWidth="1"/>
    <col min="9" max="9" width="14.28515625" style="57" customWidth="1"/>
    <col min="10" max="10" width="13" style="57" bestFit="1" customWidth="1"/>
    <col min="11" max="11" width="13.85546875" style="57" customWidth="1"/>
    <col min="12" max="12" width="10.7109375" style="57" customWidth="1"/>
    <col min="13" max="13" width="14" style="57" customWidth="1"/>
    <col min="14" max="16" width="11.85546875" style="57" customWidth="1"/>
    <col min="17" max="17" width="13.28515625" style="57" customWidth="1"/>
    <col min="18" max="18" width="12" style="57" customWidth="1"/>
    <col min="19" max="19" width="14.42578125" style="57" customWidth="1"/>
    <col min="20" max="20" width="11.42578125" style="57" customWidth="1"/>
    <col min="21" max="21" width="12.7109375" style="57" customWidth="1"/>
    <col min="22" max="22" width="11.42578125" style="57" customWidth="1"/>
    <col min="23" max="23" width="11.28515625" style="57" customWidth="1"/>
    <col min="24" max="24" width="13.140625" style="57" bestFit="1" customWidth="1"/>
    <col min="25" max="25" width="3.5703125" style="57" customWidth="1"/>
    <col min="26" max="26" width="15.7109375" style="57" bestFit="1" customWidth="1"/>
    <col min="27" max="27" width="12.7109375" style="57" bestFit="1" customWidth="1"/>
    <col min="28" max="16384" width="12.5703125" style="57"/>
  </cols>
  <sheetData>
    <row r="1" spans="1:37" ht="15">
      <c r="A1" s="58"/>
      <c r="B1" s="72" t="str">
        <f>RevReq!A1</f>
        <v>SOUTH KENTUCKY R.E.C.C.</v>
      </c>
      <c r="C1" s="400"/>
      <c r="D1" s="54"/>
      <c r="E1" s="54"/>
      <c r="F1" s="54"/>
      <c r="G1" s="54"/>
      <c r="H1" s="54"/>
      <c r="I1" s="54"/>
      <c r="J1" s="54"/>
      <c r="K1" s="54"/>
      <c r="L1" s="54"/>
      <c r="M1" s="54"/>
      <c r="N1" s="54"/>
      <c r="O1" s="54"/>
      <c r="P1" s="54"/>
      <c r="Q1" s="54"/>
      <c r="R1" s="54"/>
      <c r="S1" s="54"/>
      <c r="T1" s="54"/>
      <c r="U1" s="54"/>
      <c r="V1" s="54"/>
      <c r="W1" s="54"/>
      <c r="X1" s="54"/>
      <c r="Y1" s="55"/>
      <c r="Z1" s="56"/>
      <c r="AA1" s="56"/>
      <c r="AB1" s="56"/>
      <c r="AC1" s="56"/>
      <c r="AD1" s="56"/>
      <c r="AE1" s="56"/>
      <c r="AF1" s="56"/>
      <c r="AG1" s="56"/>
      <c r="AH1" s="56"/>
      <c r="AI1" s="56"/>
      <c r="AJ1" s="56"/>
      <c r="AK1" s="56"/>
    </row>
    <row r="2" spans="1:37" ht="15">
      <c r="A2" s="58"/>
      <c r="B2" s="72" t="s">
        <v>154</v>
      </c>
      <c r="C2" s="400"/>
      <c r="D2" s="54"/>
      <c r="E2" s="54"/>
      <c r="F2" s="54"/>
      <c r="G2" s="54"/>
      <c r="H2" s="54"/>
      <c r="I2" s="54"/>
      <c r="J2" s="54"/>
      <c r="K2" s="54"/>
      <c r="L2" s="54"/>
      <c r="M2" s="54"/>
      <c r="N2" s="54"/>
      <c r="O2" s="54"/>
      <c r="P2" s="54"/>
      <c r="Q2" s="54"/>
      <c r="R2" s="54"/>
      <c r="S2" s="54"/>
      <c r="T2" s="54"/>
      <c r="U2" s="54"/>
      <c r="V2" s="54"/>
      <c r="W2" s="54"/>
      <c r="X2" s="54"/>
      <c r="Y2" s="55"/>
      <c r="Z2" s="56"/>
      <c r="AA2" s="56"/>
      <c r="AB2" s="56"/>
      <c r="AC2" s="56"/>
      <c r="AD2" s="56"/>
      <c r="AE2" s="56"/>
      <c r="AF2" s="56"/>
      <c r="AG2" s="56"/>
      <c r="AH2" s="56"/>
      <c r="AI2" s="56"/>
      <c r="AJ2" s="56"/>
      <c r="AK2" s="56"/>
    </row>
    <row r="3" spans="1:37" s="59" customFormat="1">
      <c r="A3" s="58"/>
      <c r="B3" s="58"/>
      <c r="C3" s="401"/>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row>
    <row r="4" spans="1:37">
      <c r="A4" s="58"/>
      <c r="B4" s="55" t="s">
        <v>221</v>
      </c>
      <c r="C4" s="401">
        <f>'Adj List'!B7</f>
        <v>1.01</v>
      </c>
      <c r="D4" s="58">
        <f>'Adj List'!B8</f>
        <v>1.02</v>
      </c>
      <c r="E4" s="58">
        <f>'Adj List'!B9</f>
        <v>1.03</v>
      </c>
      <c r="F4" s="58">
        <f>'Adj List'!B10</f>
        <v>1.04</v>
      </c>
      <c r="G4" s="58">
        <f>'Adj List'!B11</f>
        <v>1.05</v>
      </c>
      <c r="H4" s="58">
        <f>'Adj List'!B12</f>
        <v>1.06</v>
      </c>
      <c r="I4" s="58">
        <f>'Adj List'!B13</f>
        <v>1.07</v>
      </c>
      <c r="J4" s="58">
        <f>'Adj List'!B14</f>
        <v>1.08</v>
      </c>
      <c r="K4" s="58">
        <f>'Adj List'!B15</f>
        <v>1.0900000000000001</v>
      </c>
      <c r="L4" s="60">
        <f>'Adj List'!B16</f>
        <v>1.1000000000000001</v>
      </c>
      <c r="M4" s="58">
        <f>'Adj List'!B17</f>
        <v>1.1100000000000001</v>
      </c>
      <c r="N4" s="58">
        <f>'Adj List'!B18</f>
        <v>1.1200000000000001</v>
      </c>
      <c r="O4" s="58">
        <f>'Adj List'!B19</f>
        <v>1.1299999999999999</v>
      </c>
      <c r="P4" s="58">
        <f>'Adj List'!B20</f>
        <v>1.1399999999999999</v>
      </c>
      <c r="Q4" s="58">
        <f>'Adj List'!B21</f>
        <v>1.1499999999999999</v>
      </c>
      <c r="R4" s="58">
        <f>'Adj List'!B22</f>
        <v>1.1599999999999999</v>
      </c>
      <c r="S4" s="58">
        <f>'Adj List'!B23</f>
        <v>1.17</v>
      </c>
      <c r="T4" s="58">
        <f>'Adj List'!B24</f>
        <v>1.18</v>
      </c>
      <c r="U4" s="58">
        <f>'Adj List'!B25</f>
        <v>1.19</v>
      </c>
      <c r="V4" s="58" t="str">
        <f>'Adj List'!B26</f>
        <v>1.20</v>
      </c>
      <c r="W4" s="58">
        <f>'Adj List'!B27</f>
        <v>1.21</v>
      </c>
      <c r="X4" s="56"/>
      <c r="Y4" s="56"/>
      <c r="Z4" s="56"/>
      <c r="AA4" s="56"/>
      <c r="AB4" s="56"/>
      <c r="AC4" s="56"/>
      <c r="AD4" s="56"/>
      <c r="AE4" s="56"/>
      <c r="AF4" s="56"/>
      <c r="AG4" s="56"/>
      <c r="AH4" s="56"/>
      <c r="AI4" s="56"/>
      <c r="AJ4" s="56"/>
      <c r="AK4" s="56"/>
    </row>
    <row r="5" spans="1:37" ht="9" customHeight="1">
      <c r="A5" s="58"/>
      <c r="B5" s="56"/>
      <c r="C5" s="401"/>
      <c r="D5" s="58"/>
      <c r="E5" s="58"/>
      <c r="F5" s="58"/>
      <c r="G5" s="58"/>
      <c r="H5" s="58"/>
      <c r="I5" s="58"/>
      <c r="J5" s="58"/>
      <c r="K5" s="58"/>
      <c r="L5" s="58"/>
      <c r="M5" s="58"/>
      <c r="N5" s="58"/>
      <c r="O5" s="58"/>
      <c r="P5" s="58"/>
      <c r="Q5" s="58"/>
      <c r="R5" s="61"/>
      <c r="S5" s="61"/>
      <c r="T5" s="58"/>
      <c r="U5" s="58"/>
      <c r="V5" s="58"/>
      <c r="W5" s="58"/>
      <c r="X5" s="58"/>
      <c r="Y5" s="56"/>
      <c r="Z5" s="56"/>
      <c r="AA5" s="56"/>
      <c r="AB5" s="56"/>
      <c r="AC5" s="56"/>
      <c r="AD5" s="56"/>
      <c r="AE5" s="56"/>
      <c r="AF5" s="56"/>
      <c r="AG5" s="56"/>
      <c r="AH5" s="56"/>
      <c r="AI5" s="56"/>
      <c r="AJ5" s="56"/>
      <c r="AK5" s="56"/>
    </row>
    <row r="6" spans="1:37" s="63" customFormat="1" ht="72.599999999999994" customHeight="1">
      <c r="A6" s="62"/>
      <c r="B6" s="105" t="s">
        <v>222</v>
      </c>
      <c r="C6" s="402" t="str">
        <f>'Adj List'!C7</f>
        <v>Fuel Adjustment Clause</v>
      </c>
      <c r="D6" s="62" t="str">
        <f>'Adj List'!C8</f>
        <v>Environmental Surcharge</v>
      </c>
      <c r="E6" s="62" t="str">
        <f>'Adj List'!C9</f>
        <v>Rate Case Expenses</v>
      </c>
      <c r="F6" s="62" t="str">
        <f>'Adj List'!C10</f>
        <v>Year-End Customer Normalization</v>
      </c>
      <c r="G6" s="62" t="str">
        <f>'Adj List'!C11</f>
        <v>Depreciation Expense Normalization</v>
      </c>
      <c r="H6" s="62" t="str">
        <f>'Adj List'!C12</f>
        <v>Donations, Advertising, Dues, &amp; Other</v>
      </c>
      <c r="I6" s="62" t="str">
        <f>'Adj List'!C13</f>
        <v>FEMA</v>
      </c>
      <c r="J6" s="62" t="str">
        <f>'Adj List'!C14</f>
        <v>Directors Expense</v>
      </c>
      <c r="K6" s="62" t="str">
        <f>'Adj List'!C15</f>
        <v>Retirement Plan Contributions</v>
      </c>
      <c r="L6" s="62" t="str">
        <f>'Adj List'!C16</f>
        <v>Wages &amp; Salaries</v>
      </c>
      <c r="M6" s="62" t="str">
        <f>'Adj List'!C17</f>
        <v>Professional Services</v>
      </c>
      <c r="N6" s="62" t="str">
        <f>'Adj List'!C18</f>
        <v>G&amp;T Capital Credits</v>
      </c>
      <c r="O6" s="62" t="str">
        <f>'Adj List'!C19</f>
        <v>Payroll Tax</v>
      </c>
      <c r="P6" s="62" t="str">
        <f>'Adj List'!C20</f>
        <v>Interest</v>
      </c>
      <c r="Q6" s="62" t="str">
        <f>'Adj List'!C21</f>
        <v>Life Insurance Premiums</v>
      </c>
      <c r="R6" s="62" t="str">
        <f>'Adj List'!C22</f>
        <v>Health Insurance Premiums</v>
      </c>
      <c r="S6" s="62" t="str">
        <f>'Adj List'!C23</f>
        <v>Meter Test Charge</v>
      </c>
      <c r="T6" s="62" t="str">
        <f>'Adj List'!C24</f>
        <v>Trip Charge</v>
      </c>
      <c r="U6" s="62" t="str">
        <f>'Adj List'!C25</f>
        <v>Remote Reconnect-60 days or less</v>
      </c>
      <c r="V6" s="62" t="str">
        <f>'Adj List'!C26</f>
        <v>Remote Reconnect-61 through 365 days</v>
      </c>
      <c r="W6" s="62" t="str">
        <f>'Adj List'!C27</f>
        <v>Returned Check Charge</v>
      </c>
      <c r="X6" s="62" t="s">
        <v>14</v>
      </c>
      <c r="Y6" s="62"/>
      <c r="Z6" s="62"/>
      <c r="AA6" s="62"/>
      <c r="AB6" s="62"/>
      <c r="AC6" s="62"/>
      <c r="AD6" s="62"/>
      <c r="AE6" s="62"/>
      <c r="AF6" s="62"/>
      <c r="AG6" s="62"/>
      <c r="AH6" s="62"/>
      <c r="AI6" s="62"/>
      <c r="AJ6" s="62"/>
      <c r="AK6" s="62"/>
    </row>
    <row r="7" spans="1:37">
      <c r="A7" s="58">
        <v>1</v>
      </c>
      <c r="B7" s="56"/>
      <c r="C7" s="403"/>
      <c r="D7" s="48"/>
      <c r="E7" s="48"/>
      <c r="F7" s="48"/>
      <c r="G7" s="48"/>
      <c r="H7" s="48"/>
      <c r="I7" s="48"/>
      <c r="J7" s="48"/>
      <c r="K7" s="48"/>
      <c r="L7" s="48"/>
      <c r="M7" s="48"/>
      <c r="N7" s="48"/>
      <c r="O7" s="48"/>
      <c r="P7" s="48"/>
      <c r="Q7" s="48"/>
      <c r="R7" s="48"/>
      <c r="S7" s="48"/>
      <c r="T7" s="48"/>
      <c r="U7" s="48"/>
      <c r="V7" s="48"/>
      <c r="W7" s="48"/>
      <c r="X7" s="48"/>
      <c r="Y7" s="56"/>
      <c r="Z7" s="56"/>
      <c r="AA7" s="56"/>
      <c r="AB7" s="48"/>
      <c r="AC7" s="48"/>
      <c r="AD7" s="48"/>
      <c r="AE7" s="48"/>
      <c r="AF7" s="48"/>
      <c r="AG7" s="48"/>
      <c r="AH7" s="48"/>
      <c r="AI7" s="48"/>
      <c r="AJ7" s="48"/>
      <c r="AK7" s="56"/>
    </row>
    <row r="8" spans="1:37">
      <c r="A8" s="58">
        <f t="shared" ref="A8:A42" si="0">(A7+1)</f>
        <v>2</v>
      </c>
      <c r="B8" s="64" t="s">
        <v>91</v>
      </c>
      <c r="C8" s="403"/>
      <c r="D8" s="48"/>
      <c r="E8" s="48"/>
      <c r="F8" s="48"/>
      <c r="G8" s="48"/>
      <c r="H8" s="48"/>
      <c r="I8" s="48"/>
      <c r="J8" s="48"/>
      <c r="K8" s="48"/>
      <c r="L8" s="48"/>
      <c r="M8" s="48"/>
      <c r="N8" s="48"/>
      <c r="O8" s="48"/>
      <c r="P8" s="48"/>
      <c r="Q8" s="48"/>
      <c r="R8" s="48"/>
      <c r="S8" s="48"/>
      <c r="T8" s="48"/>
      <c r="U8" s="48"/>
      <c r="V8" s="48"/>
      <c r="W8" s="48"/>
      <c r="X8" s="48"/>
      <c r="Y8" s="56"/>
      <c r="Z8" s="56"/>
      <c r="AA8" s="56"/>
      <c r="AB8" s="48"/>
      <c r="AC8" s="48"/>
      <c r="AD8" s="48"/>
      <c r="AE8" s="48"/>
      <c r="AF8" s="48"/>
      <c r="AG8" s="48"/>
      <c r="AH8" s="48"/>
      <c r="AI8" s="48"/>
      <c r="AJ8" s="48"/>
      <c r="AK8" s="56"/>
    </row>
    <row r="9" spans="1:37">
      <c r="A9" s="58">
        <f t="shared" si="0"/>
        <v>3</v>
      </c>
      <c r="B9" s="56" t="s">
        <v>99</v>
      </c>
      <c r="C9" s="403"/>
      <c r="D9" s="48"/>
      <c r="E9" s="48"/>
      <c r="F9" s="48">
        <f>'Adj List'!D10</f>
        <v>1427710.63</v>
      </c>
      <c r="G9" s="48"/>
      <c r="H9" s="48"/>
      <c r="I9" s="48"/>
      <c r="J9" s="48"/>
      <c r="K9" s="48"/>
      <c r="L9" s="48"/>
      <c r="M9" s="48"/>
      <c r="N9" s="48"/>
      <c r="O9" s="48"/>
      <c r="P9" s="48"/>
      <c r="Q9" s="48"/>
      <c r="R9" s="48"/>
      <c r="S9" s="48"/>
      <c r="T9" s="48"/>
      <c r="U9" s="48"/>
      <c r="V9" s="48"/>
      <c r="W9" s="48"/>
      <c r="X9" s="48">
        <f>SUM(C9:W9)</f>
        <v>1427710.63</v>
      </c>
      <c r="Y9" s="56"/>
      <c r="Z9" s="56"/>
      <c r="AA9" s="56"/>
      <c r="AB9" s="48"/>
      <c r="AC9" s="48"/>
      <c r="AD9" s="48"/>
      <c r="AE9" s="48"/>
      <c r="AF9" s="48"/>
      <c r="AG9" s="48"/>
      <c r="AH9" s="48"/>
      <c r="AI9" s="48"/>
      <c r="AJ9" s="48"/>
      <c r="AK9" s="56"/>
    </row>
    <row r="10" spans="1:37">
      <c r="A10" s="58">
        <f t="shared" si="0"/>
        <v>4</v>
      </c>
      <c r="B10" s="56" t="s">
        <v>252</v>
      </c>
      <c r="C10" s="403">
        <f>'Adj List'!D7</f>
        <v>-11874072</v>
      </c>
      <c r="D10" s="48">
        <f>'Adj List'!D8</f>
        <v>-15673494</v>
      </c>
      <c r="E10" s="48"/>
      <c r="F10" s="48"/>
      <c r="G10" s="48"/>
      <c r="H10" s="48"/>
      <c r="I10" s="48"/>
      <c r="J10" s="48"/>
      <c r="K10" s="48"/>
      <c r="L10" s="48"/>
      <c r="M10" s="48"/>
      <c r="N10" s="48"/>
      <c r="O10" s="48"/>
      <c r="P10" s="48"/>
      <c r="Q10" s="48"/>
      <c r="R10" s="48"/>
      <c r="S10" s="48"/>
      <c r="T10" s="48"/>
      <c r="U10" s="48"/>
      <c r="V10" s="48"/>
      <c r="W10" s="48"/>
      <c r="X10" s="48">
        <f t="shared" ref="X10:X42" si="1">SUM(C10:W10)</f>
        <v>-27547566</v>
      </c>
      <c r="Y10" s="56"/>
      <c r="Z10" s="65"/>
      <c r="AA10" s="65"/>
      <c r="AB10" s="48"/>
      <c r="AC10" s="48"/>
      <c r="AD10" s="48"/>
      <c r="AE10" s="48"/>
      <c r="AF10" s="48"/>
      <c r="AG10" s="48"/>
      <c r="AH10" s="48"/>
      <c r="AI10" s="48"/>
      <c r="AJ10" s="48"/>
      <c r="AK10" s="56"/>
    </row>
    <row r="11" spans="1:37">
      <c r="A11" s="58">
        <f t="shared" si="0"/>
        <v>5</v>
      </c>
      <c r="B11" s="56" t="s">
        <v>100</v>
      </c>
      <c r="C11" s="403"/>
      <c r="D11" s="48"/>
      <c r="E11" s="48"/>
      <c r="F11" s="48"/>
      <c r="G11" s="48"/>
      <c r="H11" s="48"/>
      <c r="I11" s="48"/>
      <c r="J11" s="48"/>
      <c r="K11" s="48"/>
      <c r="L11" s="48"/>
      <c r="M11" s="48"/>
      <c r="N11" s="48"/>
      <c r="O11" s="48"/>
      <c r="P11" s="48"/>
      <c r="Q11" s="48"/>
      <c r="R11" s="48"/>
      <c r="S11" s="48">
        <f>'Adj List'!D23</f>
        <v>1854.3</v>
      </c>
      <c r="T11" s="48">
        <f>'Adj List'!D24</f>
        <v>173061.67000000004</v>
      </c>
      <c r="U11" s="48">
        <f>'Adj List'!D25</f>
        <v>14000</v>
      </c>
      <c r="V11" s="48">
        <f>'Adj List'!D26</f>
        <v>6000</v>
      </c>
      <c r="W11" s="48">
        <f>'Adj List'!D27</f>
        <v>6384</v>
      </c>
      <c r="X11" s="66">
        <f t="shared" si="1"/>
        <v>201299.97000000003</v>
      </c>
      <c r="Y11" s="56"/>
      <c r="Z11" s="56"/>
      <c r="AA11" s="56"/>
      <c r="AB11" s="48"/>
      <c r="AC11" s="48"/>
      <c r="AD11" s="48"/>
      <c r="AE11" s="48"/>
      <c r="AF11" s="48"/>
      <c r="AG11" s="48"/>
      <c r="AH11" s="48"/>
      <c r="AI11" s="48"/>
      <c r="AJ11" s="48"/>
      <c r="AK11" s="56"/>
    </row>
    <row r="12" spans="1:37">
      <c r="A12" s="58">
        <f t="shared" si="0"/>
        <v>6</v>
      </c>
      <c r="B12" s="67" t="s">
        <v>93</v>
      </c>
      <c r="C12" s="404">
        <f t="shared" ref="C12:S12" si="2">SUM(C7:C11)</f>
        <v>-11874072</v>
      </c>
      <c r="D12" s="68">
        <f t="shared" si="2"/>
        <v>-15673494</v>
      </c>
      <c r="E12" s="68">
        <f t="shared" si="2"/>
        <v>0</v>
      </c>
      <c r="F12" s="68">
        <f t="shared" si="2"/>
        <v>1427710.63</v>
      </c>
      <c r="G12" s="68">
        <f t="shared" si="2"/>
        <v>0</v>
      </c>
      <c r="H12" s="68">
        <f t="shared" si="2"/>
        <v>0</v>
      </c>
      <c r="I12" s="68">
        <f t="shared" si="2"/>
        <v>0</v>
      </c>
      <c r="J12" s="68">
        <f t="shared" si="2"/>
        <v>0</v>
      </c>
      <c r="K12" s="68">
        <f t="shared" si="2"/>
        <v>0</v>
      </c>
      <c r="L12" s="68">
        <f t="shared" si="2"/>
        <v>0</v>
      </c>
      <c r="M12" s="68">
        <f t="shared" si="2"/>
        <v>0</v>
      </c>
      <c r="N12" s="68">
        <f t="shared" si="2"/>
        <v>0</v>
      </c>
      <c r="O12" s="68">
        <f t="shared" ref="O12" si="3">SUM(O7:O11)</f>
        <v>0</v>
      </c>
      <c r="P12" s="68">
        <f t="shared" si="2"/>
        <v>0</v>
      </c>
      <c r="Q12" s="68">
        <f t="shared" si="2"/>
        <v>0</v>
      </c>
      <c r="R12" s="68">
        <f t="shared" si="2"/>
        <v>0</v>
      </c>
      <c r="S12" s="68">
        <f t="shared" si="2"/>
        <v>1854.3</v>
      </c>
      <c r="T12" s="68">
        <f t="shared" ref="T12:W12" si="4">SUM(T7:T11)</f>
        <v>173061.67000000004</v>
      </c>
      <c r="U12" s="68">
        <f t="shared" si="4"/>
        <v>14000</v>
      </c>
      <c r="V12" s="68">
        <f t="shared" si="4"/>
        <v>6000</v>
      </c>
      <c r="W12" s="68">
        <f t="shared" si="4"/>
        <v>6384</v>
      </c>
      <c r="X12" s="68">
        <f t="shared" si="1"/>
        <v>-25918555.399999999</v>
      </c>
      <c r="Y12" s="56"/>
      <c r="Z12" s="48"/>
      <c r="AA12" s="56"/>
      <c r="AB12" s="48"/>
      <c r="AC12" s="48"/>
      <c r="AD12" s="48"/>
      <c r="AE12" s="48"/>
      <c r="AF12" s="48"/>
      <c r="AG12" s="48"/>
      <c r="AH12" s="48"/>
      <c r="AI12" s="48"/>
      <c r="AJ12" s="48"/>
      <c r="AK12" s="56"/>
    </row>
    <row r="13" spans="1:37">
      <c r="A13" s="58">
        <f t="shared" si="0"/>
        <v>7</v>
      </c>
      <c r="B13" s="56"/>
      <c r="C13" s="405"/>
      <c r="D13" s="69"/>
      <c r="E13" s="69"/>
      <c r="F13" s="69"/>
      <c r="G13" s="69"/>
      <c r="H13" s="69"/>
      <c r="I13" s="69"/>
      <c r="J13" s="69"/>
      <c r="K13" s="69"/>
      <c r="L13" s="69"/>
      <c r="M13" s="69"/>
      <c r="N13" s="69"/>
      <c r="O13" s="69"/>
      <c r="P13" s="69"/>
      <c r="Q13" s="69"/>
      <c r="R13" s="69"/>
      <c r="S13" s="69"/>
      <c r="T13" s="69"/>
      <c r="U13" s="69"/>
      <c r="V13" s="69"/>
      <c r="W13" s="69"/>
      <c r="X13" s="69"/>
      <c r="Y13" s="56"/>
      <c r="Z13" s="56"/>
      <c r="AA13" s="56"/>
      <c r="AB13" s="48"/>
      <c r="AC13" s="48"/>
      <c r="AD13" s="48"/>
      <c r="AE13" s="48"/>
      <c r="AF13" s="48"/>
      <c r="AG13" s="48"/>
      <c r="AH13" s="48"/>
      <c r="AI13" s="48"/>
      <c r="AJ13" s="48"/>
      <c r="AK13" s="56"/>
    </row>
    <row r="14" spans="1:37">
      <c r="A14" s="58">
        <f t="shared" si="0"/>
        <v>8</v>
      </c>
      <c r="B14" s="64" t="s">
        <v>73</v>
      </c>
      <c r="C14" s="403"/>
      <c r="D14" s="48"/>
      <c r="E14" s="48"/>
      <c r="F14" s="48"/>
      <c r="G14" s="48"/>
      <c r="H14" s="48"/>
      <c r="I14" s="48"/>
      <c r="J14" s="48"/>
      <c r="K14" s="48"/>
      <c r="L14" s="48"/>
      <c r="M14" s="48"/>
      <c r="N14" s="48"/>
      <c r="O14" s="48"/>
      <c r="P14" s="48"/>
      <c r="Q14" s="48"/>
      <c r="R14" s="48"/>
      <c r="S14" s="48"/>
      <c r="T14" s="48"/>
      <c r="U14" s="48"/>
      <c r="V14" s="48"/>
      <c r="W14" s="48"/>
      <c r="X14" s="48"/>
      <c r="Y14" s="56"/>
      <c r="Z14" s="56"/>
      <c r="AA14" s="56"/>
      <c r="AB14" s="48"/>
      <c r="AC14" s="48"/>
      <c r="AD14" s="48"/>
      <c r="AE14" s="48"/>
      <c r="AF14" s="48"/>
      <c r="AG14" s="48"/>
      <c r="AH14" s="48"/>
      <c r="AI14" s="48"/>
      <c r="AJ14" s="48"/>
      <c r="AK14" s="56"/>
    </row>
    <row r="15" spans="1:37">
      <c r="A15" s="58">
        <f t="shared" si="0"/>
        <v>9</v>
      </c>
      <c r="B15" s="56" t="s">
        <v>74</v>
      </c>
      <c r="C15" s="403"/>
      <c r="D15" s="48"/>
      <c r="E15" s="48"/>
      <c r="F15" s="48"/>
      <c r="G15" s="48"/>
      <c r="H15" s="48"/>
      <c r="I15" s="48"/>
      <c r="J15" s="48"/>
      <c r="K15" s="48"/>
      <c r="L15" s="48"/>
      <c r="M15" s="48"/>
      <c r="N15" s="48"/>
      <c r="O15" s="48"/>
      <c r="P15" s="48"/>
      <c r="Q15" s="48"/>
      <c r="R15" s="48"/>
      <c r="S15" s="48"/>
      <c r="T15" s="48"/>
      <c r="U15" s="48"/>
      <c r="V15" s="48"/>
      <c r="W15" s="48"/>
      <c r="X15" s="48">
        <f t="shared" si="1"/>
        <v>0</v>
      </c>
      <c r="Y15" s="56"/>
      <c r="Z15" s="56"/>
      <c r="AA15" s="56"/>
      <c r="AB15" s="48"/>
      <c r="AC15" s="48"/>
      <c r="AD15" s="48"/>
      <c r="AE15" s="48"/>
      <c r="AF15" s="48"/>
      <c r="AG15" s="48"/>
      <c r="AH15" s="48"/>
      <c r="AI15" s="48"/>
      <c r="AJ15" s="48"/>
      <c r="AK15" s="56"/>
    </row>
    <row r="16" spans="1:37">
      <c r="A16" s="58">
        <f t="shared" si="0"/>
        <v>10</v>
      </c>
      <c r="B16" s="56" t="s">
        <v>94</v>
      </c>
      <c r="C16" s="403"/>
      <c r="D16" s="48"/>
      <c r="E16" s="48"/>
      <c r="F16" s="48">
        <f>'Adj List'!E10</f>
        <v>929272.66</v>
      </c>
      <c r="G16" s="48"/>
      <c r="H16" s="48"/>
      <c r="I16" s="48"/>
      <c r="J16" s="48"/>
      <c r="K16" s="48"/>
      <c r="L16" s="48"/>
      <c r="M16" s="48"/>
      <c r="N16" s="48"/>
      <c r="O16" s="48"/>
      <c r="P16" s="48"/>
      <c r="Q16" s="48"/>
      <c r="R16" s="48"/>
      <c r="S16" s="48"/>
      <c r="T16" s="48"/>
      <c r="U16" s="48"/>
      <c r="V16" s="48"/>
      <c r="W16" s="48"/>
      <c r="X16" s="48">
        <f t="shared" si="1"/>
        <v>929272.66</v>
      </c>
      <c r="Y16" s="56"/>
      <c r="Z16" s="56"/>
      <c r="AA16" s="56"/>
      <c r="AB16" s="48"/>
      <c r="AC16" s="48"/>
      <c r="AD16" s="48"/>
      <c r="AE16" s="48"/>
      <c r="AF16" s="48"/>
      <c r="AG16" s="48"/>
      <c r="AH16" s="48"/>
      <c r="AI16" s="48"/>
      <c r="AJ16" s="48"/>
      <c r="AK16" s="56"/>
    </row>
    <row r="17" spans="1:37">
      <c r="A17" s="58">
        <f t="shared" si="0"/>
        <v>11</v>
      </c>
      <c r="B17" s="56" t="s">
        <v>253</v>
      </c>
      <c r="C17" s="403">
        <f>'Adj List'!E7</f>
        <v>-11241462</v>
      </c>
      <c r="D17" s="48">
        <f>'Adj List'!E8</f>
        <v>-15508843</v>
      </c>
      <c r="E17" s="48"/>
      <c r="F17" s="48"/>
      <c r="G17" s="48"/>
      <c r="H17" s="48"/>
      <c r="I17" s="48"/>
      <c r="J17" s="48"/>
      <c r="K17" s="48"/>
      <c r="L17" s="48"/>
      <c r="M17" s="48"/>
      <c r="N17" s="48"/>
      <c r="O17" s="48"/>
      <c r="P17" s="48"/>
      <c r="Q17" s="48"/>
      <c r="R17" s="48"/>
      <c r="S17" s="48"/>
      <c r="T17" s="48"/>
      <c r="U17" s="48"/>
      <c r="V17" s="48"/>
      <c r="W17" s="48"/>
      <c r="X17" s="48">
        <f t="shared" si="1"/>
        <v>-26750305</v>
      </c>
      <c r="Y17" s="56"/>
      <c r="Z17" s="56"/>
      <c r="AA17" s="56"/>
      <c r="AB17" s="48"/>
      <c r="AC17" s="48"/>
      <c r="AD17" s="48"/>
      <c r="AE17" s="48"/>
      <c r="AF17" s="48"/>
      <c r="AG17" s="48"/>
      <c r="AH17" s="48"/>
      <c r="AI17" s="48"/>
      <c r="AJ17" s="48"/>
      <c r="AK17" s="56"/>
    </row>
    <row r="18" spans="1:37">
      <c r="A18" s="58">
        <f t="shared" si="0"/>
        <v>12</v>
      </c>
      <c r="B18" s="56" t="s">
        <v>101</v>
      </c>
      <c r="C18" s="403"/>
      <c r="D18" s="48"/>
      <c r="E18" s="48"/>
      <c r="F18" s="48"/>
      <c r="G18" s="48"/>
      <c r="H18" s="48"/>
      <c r="I18" s="48"/>
      <c r="J18" s="48"/>
      <c r="K18" s="48"/>
      <c r="L18" s="48"/>
      <c r="M18" s="48"/>
      <c r="N18" s="48"/>
      <c r="O18" s="48"/>
      <c r="P18" s="48"/>
      <c r="Q18" s="48"/>
      <c r="R18" s="48"/>
      <c r="S18" s="48"/>
      <c r="T18" s="48"/>
      <c r="U18" s="48"/>
      <c r="V18" s="48"/>
      <c r="W18" s="48"/>
      <c r="X18" s="48">
        <f t="shared" si="1"/>
        <v>0</v>
      </c>
      <c r="Y18" s="56"/>
      <c r="Z18" s="56"/>
      <c r="AA18" s="56"/>
      <c r="AB18" s="48"/>
      <c r="AC18" s="48"/>
      <c r="AD18" s="48"/>
      <c r="AE18" s="48"/>
      <c r="AF18" s="48"/>
      <c r="AG18" s="48"/>
      <c r="AH18" s="48"/>
      <c r="AI18" s="48"/>
      <c r="AJ18" s="48"/>
      <c r="AK18" s="56"/>
    </row>
    <row r="19" spans="1:37">
      <c r="A19" s="58">
        <f t="shared" si="0"/>
        <v>13</v>
      </c>
      <c r="B19" s="56" t="s">
        <v>102</v>
      </c>
      <c r="C19" s="403"/>
      <c r="D19" s="48"/>
      <c r="E19" s="48"/>
      <c r="F19" s="48"/>
      <c r="G19" s="48"/>
      <c r="H19" s="48"/>
      <c r="I19" s="48"/>
      <c r="J19" s="48"/>
      <c r="K19" s="48"/>
      <c r="L19" s="48"/>
      <c r="M19" s="48"/>
      <c r="N19" s="48"/>
      <c r="O19" s="48"/>
      <c r="P19" s="48"/>
      <c r="Q19" s="48"/>
      <c r="R19" s="48"/>
      <c r="S19" s="48"/>
      <c r="T19" s="48"/>
      <c r="U19" s="48"/>
      <c r="V19" s="48"/>
      <c r="W19" s="48"/>
      <c r="X19" s="48">
        <f t="shared" si="1"/>
        <v>0</v>
      </c>
      <c r="Y19" s="56"/>
      <c r="Z19" s="56"/>
      <c r="AA19" s="56"/>
      <c r="AB19" s="48"/>
      <c r="AC19" s="48"/>
      <c r="AD19" s="48"/>
      <c r="AE19" s="48"/>
      <c r="AF19" s="48"/>
      <c r="AG19" s="48"/>
      <c r="AH19" s="48"/>
      <c r="AI19" s="48"/>
      <c r="AJ19" s="48"/>
      <c r="AK19" s="56"/>
    </row>
    <row r="20" spans="1:37">
      <c r="A20" s="58">
        <f t="shared" si="0"/>
        <v>14</v>
      </c>
      <c r="B20" s="56" t="s">
        <v>103</v>
      </c>
      <c r="C20" s="403"/>
      <c r="D20" s="48"/>
      <c r="E20" s="48"/>
      <c r="F20" s="48"/>
      <c r="G20" s="48"/>
      <c r="H20" s="48"/>
      <c r="I20" s="48"/>
      <c r="J20" s="48"/>
      <c r="K20" s="48"/>
      <c r="L20" s="48"/>
      <c r="M20" s="48"/>
      <c r="N20" s="48"/>
      <c r="O20" s="48"/>
      <c r="P20" s="48"/>
      <c r="Q20" s="48"/>
      <c r="R20" s="48"/>
      <c r="S20" s="48"/>
      <c r="T20" s="48"/>
      <c r="U20" s="48"/>
      <c r="V20" s="48"/>
      <c r="W20" s="48"/>
      <c r="X20" s="48">
        <f t="shared" si="1"/>
        <v>0</v>
      </c>
      <c r="Y20" s="56"/>
      <c r="Z20" s="56"/>
      <c r="AA20" s="56"/>
      <c r="AB20" s="48"/>
      <c r="AC20" s="48"/>
      <c r="AD20" s="48"/>
      <c r="AE20" s="48"/>
      <c r="AF20" s="48"/>
      <c r="AG20" s="48"/>
      <c r="AH20" s="48"/>
      <c r="AI20" s="48"/>
      <c r="AJ20" s="48"/>
      <c r="AK20" s="56"/>
    </row>
    <row r="21" spans="1:37">
      <c r="A21" s="58">
        <f t="shared" si="0"/>
        <v>15</v>
      </c>
      <c r="B21" s="56" t="s">
        <v>78</v>
      </c>
      <c r="C21" s="403"/>
      <c r="D21" s="48"/>
      <c r="E21" s="48"/>
      <c r="F21" s="48"/>
      <c r="G21" s="48"/>
      <c r="H21" s="48"/>
      <c r="I21" s="48"/>
      <c r="J21" s="48"/>
      <c r="K21" s="48"/>
      <c r="L21" s="48"/>
      <c r="M21" s="48"/>
      <c r="N21" s="48"/>
      <c r="O21" s="48"/>
      <c r="P21" s="48"/>
      <c r="Q21" s="48"/>
      <c r="R21" s="48"/>
      <c r="S21" s="48"/>
      <c r="T21" s="48"/>
      <c r="U21" s="48"/>
      <c r="V21" s="48"/>
      <c r="W21" s="48"/>
      <c r="X21" s="48">
        <f t="shared" si="1"/>
        <v>0</v>
      </c>
      <c r="Y21" s="56"/>
      <c r="Z21" s="56"/>
      <c r="AA21" s="56"/>
      <c r="AB21" s="48"/>
      <c r="AC21" s="48"/>
      <c r="AD21" s="48"/>
      <c r="AE21" s="48"/>
      <c r="AF21" s="48"/>
      <c r="AG21" s="48"/>
      <c r="AH21" s="48"/>
      <c r="AI21" s="48"/>
      <c r="AJ21" s="48"/>
      <c r="AK21" s="56"/>
    </row>
    <row r="22" spans="1:37">
      <c r="A22" s="58">
        <f t="shared" si="0"/>
        <v>16</v>
      </c>
      <c r="B22" s="56" t="s">
        <v>104</v>
      </c>
      <c r="C22" s="403"/>
      <c r="D22" s="48"/>
      <c r="E22" s="48"/>
      <c r="F22" s="48"/>
      <c r="G22" s="48"/>
      <c r="H22" s="48"/>
      <c r="I22" s="48"/>
      <c r="J22" s="48"/>
      <c r="K22" s="48"/>
      <c r="L22" s="48"/>
      <c r="M22" s="48"/>
      <c r="N22" s="48"/>
      <c r="O22" s="48"/>
      <c r="P22" s="48"/>
      <c r="Q22" s="48"/>
      <c r="R22" s="48"/>
      <c r="S22" s="48"/>
      <c r="T22" s="48"/>
      <c r="U22" s="48"/>
      <c r="V22" s="48"/>
      <c r="W22" s="48"/>
      <c r="X22" s="48">
        <f t="shared" si="1"/>
        <v>0</v>
      </c>
      <c r="Y22" s="56"/>
      <c r="Z22" s="56"/>
      <c r="AA22" s="56"/>
      <c r="AB22" s="48"/>
      <c r="AC22" s="48"/>
      <c r="AD22" s="48"/>
      <c r="AE22" s="48"/>
      <c r="AF22" s="48"/>
      <c r="AG22" s="48"/>
      <c r="AH22" s="48"/>
      <c r="AI22" s="48"/>
      <c r="AJ22" s="48"/>
      <c r="AK22" s="56"/>
    </row>
    <row r="23" spans="1:37">
      <c r="A23" s="58">
        <f t="shared" si="0"/>
        <v>17</v>
      </c>
      <c r="B23" s="56" t="s">
        <v>105</v>
      </c>
      <c r="C23" s="403"/>
      <c r="D23" s="48"/>
      <c r="E23" s="48">
        <f>'Adj List'!E9</f>
        <v>53333.33</v>
      </c>
      <c r="F23" s="48"/>
      <c r="G23" s="48"/>
      <c r="H23" s="48">
        <f>'Adj List'!E12</f>
        <v>-668128.66999999864</v>
      </c>
      <c r="I23" s="48">
        <f>'Adj List'!E13</f>
        <v>996188.39000000013</v>
      </c>
      <c r="J23" s="48">
        <f>'Adj List'!E14</f>
        <v>-2460.859999999986</v>
      </c>
      <c r="K23" s="48">
        <f>'Adj List'!E15</f>
        <v>360833.06520366488</v>
      </c>
      <c r="L23" s="48">
        <f>'Adj List'!E16</f>
        <v>404317.80598334823</v>
      </c>
      <c r="M23" s="48">
        <f>'Adj List'!E17</f>
        <v>-578100.22466666671</v>
      </c>
      <c r="N23" s="48"/>
      <c r="O23" s="48"/>
      <c r="P23" s="48"/>
      <c r="Q23" s="48">
        <f>'Adj List'!E21</f>
        <v>-23886.235535070555</v>
      </c>
      <c r="R23" s="48">
        <f>'Adj List'!E22</f>
        <v>106898.61540385675</v>
      </c>
      <c r="S23" s="48"/>
      <c r="T23" s="48"/>
      <c r="U23" s="48"/>
      <c r="V23" s="48"/>
      <c r="W23" s="48"/>
      <c r="X23" s="48">
        <f t="shared" si="1"/>
        <v>648995.21638913418</v>
      </c>
      <c r="Y23" s="56"/>
      <c r="Z23" s="56"/>
      <c r="AA23" s="56"/>
      <c r="AB23" s="48"/>
      <c r="AC23" s="48"/>
      <c r="AD23" s="48"/>
      <c r="AE23" s="48"/>
      <c r="AF23" s="48"/>
      <c r="AG23" s="48"/>
      <c r="AH23" s="48"/>
      <c r="AI23" s="48"/>
      <c r="AJ23" s="48"/>
      <c r="AK23" s="56"/>
    </row>
    <row r="24" spans="1:37">
      <c r="A24" s="58">
        <f t="shared" si="0"/>
        <v>18</v>
      </c>
      <c r="B24" s="67" t="s">
        <v>95</v>
      </c>
      <c r="C24" s="404">
        <f t="shared" ref="C24:V24" si="5">SUM(C15:C23)</f>
        <v>-11241462</v>
      </c>
      <c r="D24" s="68">
        <f t="shared" si="5"/>
        <v>-15508843</v>
      </c>
      <c r="E24" s="68">
        <f t="shared" si="5"/>
        <v>53333.33</v>
      </c>
      <c r="F24" s="68">
        <f t="shared" si="5"/>
        <v>929272.66</v>
      </c>
      <c r="G24" s="68">
        <f t="shared" si="5"/>
        <v>0</v>
      </c>
      <c r="H24" s="68">
        <f t="shared" si="5"/>
        <v>-668128.66999999864</v>
      </c>
      <c r="I24" s="68">
        <f t="shared" si="5"/>
        <v>996188.39000000013</v>
      </c>
      <c r="J24" s="68">
        <f t="shared" si="5"/>
        <v>-2460.859999999986</v>
      </c>
      <c r="K24" s="68">
        <f t="shared" si="5"/>
        <v>360833.06520366488</v>
      </c>
      <c r="L24" s="68">
        <f t="shared" si="5"/>
        <v>404317.80598334823</v>
      </c>
      <c r="M24" s="68">
        <f t="shared" si="5"/>
        <v>-578100.22466666671</v>
      </c>
      <c r="N24" s="68">
        <f t="shared" si="5"/>
        <v>0</v>
      </c>
      <c r="O24" s="68">
        <f t="shared" ref="O24" si="6">SUM(O15:O23)</f>
        <v>0</v>
      </c>
      <c r="P24" s="68">
        <f t="shared" si="5"/>
        <v>0</v>
      </c>
      <c r="Q24" s="68">
        <f t="shared" si="5"/>
        <v>-23886.235535070555</v>
      </c>
      <c r="R24" s="68">
        <f t="shared" si="5"/>
        <v>106898.61540385675</v>
      </c>
      <c r="S24" s="68">
        <f t="shared" si="5"/>
        <v>0</v>
      </c>
      <c r="T24" s="68">
        <f t="shared" ref="T24" si="7">SUM(T15:T23)</f>
        <v>0</v>
      </c>
      <c r="U24" s="68">
        <f>SUM(U15:U23)</f>
        <v>0</v>
      </c>
      <c r="V24" s="68">
        <f t="shared" si="5"/>
        <v>0</v>
      </c>
      <c r="W24" s="68">
        <f>SUM(W15:W23)</f>
        <v>0</v>
      </c>
      <c r="X24" s="68">
        <f t="shared" si="1"/>
        <v>-25172037.123610862</v>
      </c>
      <c r="Y24" s="56"/>
      <c r="Z24" s="48"/>
      <c r="AA24" s="56"/>
      <c r="AB24" s="48"/>
      <c r="AC24" s="48"/>
      <c r="AD24" s="48"/>
      <c r="AE24" s="48"/>
      <c r="AF24" s="48"/>
      <c r="AG24" s="48"/>
      <c r="AH24" s="48"/>
      <c r="AI24" s="48"/>
      <c r="AJ24" s="48"/>
      <c r="AK24" s="56"/>
    </row>
    <row r="25" spans="1:37">
      <c r="A25" s="58">
        <f t="shared" si="0"/>
        <v>19</v>
      </c>
      <c r="B25" s="56"/>
      <c r="C25" s="405"/>
      <c r="D25" s="69"/>
      <c r="E25" s="69"/>
      <c r="F25" s="69"/>
      <c r="G25" s="69"/>
      <c r="H25" s="69"/>
      <c r="I25" s="69"/>
      <c r="J25" s="69"/>
      <c r="K25" s="69"/>
      <c r="L25" s="69"/>
      <c r="M25" s="69"/>
      <c r="N25" s="69"/>
      <c r="O25" s="69"/>
      <c r="P25" s="69"/>
      <c r="Q25" s="69"/>
      <c r="R25" s="69"/>
      <c r="S25" s="69"/>
      <c r="T25" s="69"/>
      <c r="U25" s="69"/>
      <c r="V25" s="69"/>
      <c r="W25" s="69"/>
      <c r="X25" s="69"/>
      <c r="Y25" s="56"/>
      <c r="Z25" s="56"/>
      <c r="AA25" s="56"/>
      <c r="AB25" s="48"/>
      <c r="AC25" s="48"/>
      <c r="AD25" s="48"/>
      <c r="AE25" s="48"/>
      <c r="AF25" s="48"/>
      <c r="AG25" s="48"/>
      <c r="AH25" s="48"/>
      <c r="AI25" s="48"/>
      <c r="AJ25" s="48"/>
      <c r="AK25" s="56"/>
    </row>
    <row r="26" spans="1:37">
      <c r="A26" s="58">
        <f t="shared" si="0"/>
        <v>20</v>
      </c>
      <c r="B26" s="56" t="s">
        <v>29</v>
      </c>
      <c r="C26" s="403"/>
      <c r="D26" s="48"/>
      <c r="E26" s="48"/>
      <c r="F26" s="48"/>
      <c r="G26" s="48">
        <f>'Adj List'!E11</f>
        <v>810902.82</v>
      </c>
      <c r="H26" s="48"/>
      <c r="I26" s="48"/>
      <c r="J26" s="48"/>
      <c r="K26" s="48"/>
      <c r="L26" s="48"/>
      <c r="M26" s="48"/>
      <c r="N26" s="48"/>
      <c r="O26" s="48"/>
      <c r="P26" s="48"/>
      <c r="Q26" s="48"/>
      <c r="R26" s="48"/>
      <c r="S26" s="48"/>
      <c r="T26" s="48"/>
      <c r="U26" s="48"/>
      <c r="V26" s="48"/>
      <c r="W26" s="48"/>
      <c r="X26" s="48">
        <f t="shared" si="1"/>
        <v>810902.82</v>
      </c>
      <c r="Y26" s="56"/>
      <c r="Z26" s="56"/>
      <c r="AA26" s="56"/>
      <c r="AB26" s="48"/>
      <c r="AC26" s="48"/>
      <c r="AD26" s="48"/>
      <c r="AE26" s="48"/>
      <c r="AF26" s="48"/>
      <c r="AG26" s="48"/>
      <c r="AH26" s="48"/>
      <c r="AI26" s="48"/>
      <c r="AJ26" s="48"/>
      <c r="AK26" s="56"/>
    </row>
    <row r="27" spans="1:37">
      <c r="A27" s="58">
        <f t="shared" si="0"/>
        <v>21</v>
      </c>
      <c r="B27" s="56" t="s">
        <v>83</v>
      </c>
      <c r="C27" s="403"/>
      <c r="D27" s="48"/>
      <c r="E27" s="48"/>
      <c r="F27" s="48"/>
      <c r="G27" s="48"/>
      <c r="H27" s="48"/>
      <c r="I27" s="48"/>
      <c r="J27" s="48"/>
      <c r="K27" s="48"/>
      <c r="L27" s="48"/>
      <c r="M27" s="48"/>
      <c r="N27" s="48"/>
      <c r="O27" s="48">
        <f>'Adj List'!E19</f>
        <v>60775.058700315712</v>
      </c>
      <c r="P27" s="48"/>
      <c r="Q27" s="48"/>
      <c r="R27" s="48"/>
      <c r="S27" s="48"/>
      <c r="T27" s="48"/>
      <c r="U27" s="48"/>
      <c r="V27" s="48"/>
      <c r="W27" s="48"/>
      <c r="X27" s="48">
        <f t="shared" si="1"/>
        <v>60775.058700315712</v>
      </c>
      <c r="Y27" s="56"/>
      <c r="Z27" s="56"/>
      <c r="AA27" s="56"/>
      <c r="AB27" s="48"/>
      <c r="AC27" s="48"/>
      <c r="AD27" s="48"/>
      <c r="AE27" s="48"/>
      <c r="AF27" s="48"/>
      <c r="AG27" s="48"/>
      <c r="AH27" s="48"/>
      <c r="AI27" s="48"/>
      <c r="AJ27" s="48"/>
      <c r="AK27" s="56"/>
    </row>
    <row r="28" spans="1:37">
      <c r="A28" s="58">
        <f t="shared" si="0"/>
        <v>22</v>
      </c>
      <c r="B28" s="56" t="s">
        <v>97</v>
      </c>
      <c r="C28" s="403"/>
      <c r="D28" s="48"/>
      <c r="E28" s="48"/>
      <c r="F28" s="48"/>
      <c r="G28" s="48"/>
      <c r="H28" s="48"/>
      <c r="I28" s="48"/>
      <c r="J28" s="48"/>
      <c r="K28" s="48"/>
      <c r="L28" s="48"/>
      <c r="M28" s="48"/>
      <c r="N28" s="48"/>
      <c r="O28" s="48"/>
      <c r="P28" s="48">
        <f>'Adj List'!E20</f>
        <v>66154.910000000149</v>
      </c>
      <c r="Q28" s="48"/>
      <c r="R28" s="48"/>
      <c r="S28" s="48"/>
      <c r="T28" s="48"/>
      <c r="U28" s="48"/>
      <c r="V28" s="48"/>
      <c r="W28" s="48"/>
      <c r="X28" s="48">
        <f t="shared" si="1"/>
        <v>66154.910000000149</v>
      </c>
      <c r="Y28" s="56"/>
      <c r="Z28" s="56"/>
      <c r="AA28" s="56"/>
      <c r="AB28" s="48"/>
      <c r="AC28" s="48"/>
      <c r="AD28" s="48"/>
      <c r="AE28" s="48"/>
      <c r="AF28" s="48"/>
      <c r="AG28" s="48"/>
      <c r="AH28" s="48"/>
      <c r="AI28" s="48"/>
      <c r="AJ28" s="48"/>
      <c r="AK28" s="56"/>
    </row>
    <row r="29" spans="1:37">
      <c r="A29" s="58">
        <f>(A28+1)</f>
        <v>23</v>
      </c>
      <c r="B29" s="56" t="s">
        <v>98</v>
      </c>
      <c r="C29" s="403"/>
      <c r="D29" s="48"/>
      <c r="E29" s="48"/>
      <c r="F29" s="48"/>
      <c r="G29" s="48"/>
      <c r="H29" s="48"/>
      <c r="I29" s="48"/>
      <c r="J29" s="48"/>
      <c r="K29" s="48"/>
      <c r="L29" s="48"/>
      <c r="M29" s="48"/>
      <c r="N29" s="48"/>
      <c r="O29" s="48"/>
      <c r="P29" s="48"/>
      <c r="Q29" s="48"/>
      <c r="R29" s="48"/>
      <c r="S29" s="48"/>
      <c r="T29" s="48"/>
      <c r="U29" s="48"/>
      <c r="V29" s="48"/>
      <c r="W29" s="48"/>
      <c r="X29" s="48">
        <f t="shared" si="1"/>
        <v>0</v>
      </c>
      <c r="Y29" s="56"/>
      <c r="Z29" s="56"/>
      <c r="AA29" s="56"/>
      <c r="AB29" s="48"/>
      <c r="AC29" s="48"/>
      <c r="AD29" s="48"/>
      <c r="AE29" s="48"/>
      <c r="AF29" s="48"/>
      <c r="AG29" s="48"/>
      <c r="AH29" s="48"/>
      <c r="AI29" s="48"/>
      <c r="AJ29" s="48"/>
      <c r="AK29" s="56"/>
    </row>
    <row r="30" spans="1:37">
      <c r="A30" s="58">
        <f>(A29+1)</f>
        <v>24</v>
      </c>
      <c r="B30" s="56" t="s">
        <v>85</v>
      </c>
      <c r="C30" s="403"/>
      <c r="D30" s="48"/>
      <c r="E30" s="48"/>
      <c r="F30" s="48"/>
      <c r="G30" s="48"/>
      <c r="H30" s="48"/>
      <c r="I30" s="48"/>
      <c r="J30" s="48"/>
      <c r="K30" s="48"/>
      <c r="L30" s="48"/>
      <c r="M30" s="48"/>
      <c r="N30" s="48"/>
      <c r="O30" s="48"/>
      <c r="P30" s="48"/>
      <c r="Q30" s="48"/>
      <c r="R30" s="48"/>
      <c r="S30" s="48"/>
      <c r="T30" s="48"/>
      <c r="U30" s="48"/>
      <c r="V30" s="48"/>
      <c r="W30" s="48"/>
      <c r="X30" s="48">
        <f t="shared" si="1"/>
        <v>0</v>
      </c>
      <c r="Y30" s="56"/>
      <c r="Z30" s="56"/>
      <c r="AA30" s="56"/>
      <c r="AB30" s="48"/>
      <c r="AC30" s="48"/>
      <c r="AD30" s="48"/>
      <c r="AE30" s="48"/>
      <c r="AF30" s="48"/>
      <c r="AG30" s="48"/>
      <c r="AH30" s="48"/>
      <c r="AI30" s="48"/>
      <c r="AJ30" s="48"/>
      <c r="AK30" s="56"/>
    </row>
    <row r="31" spans="1:37">
      <c r="A31" s="58">
        <f t="shared" si="0"/>
        <v>25</v>
      </c>
      <c r="B31" s="67" t="s">
        <v>33</v>
      </c>
      <c r="C31" s="404">
        <f t="shared" ref="C31:V31" si="8">SUM(C24:C30)</f>
        <v>-11241462</v>
      </c>
      <c r="D31" s="68">
        <f t="shared" si="8"/>
        <v>-15508843</v>
      </c>
      <c r="E31" s="68">
        <f t="shared" si="8"/>
        <v>53333.33</v>
      </c>
      <c r="F31" s="68">
        <f t="shared" si="8"/>
        <v>929272.66</v>
      </c>
      <c r="G31" s="68">
        <f t="shared" si="8"/>
        <v>810902.82</v>
      </c>
      <c r="H31" s="68">
        <f t="shared" si="8"/>
        <v>-668128.66999999864</v>
      </c>
      <c r="I31" s="68">
        <f t="shared" si="8"/>
        <v>996188.39000000013</v>
      </c>
      <c r="J31" s="68">
        <f t="shared" si="8"/>
        <v>-2460.859999999986</v>
      </c>
      <c r="K31" s="68">
        <f t="shared" si="8"/>
        <v>360833.06520366488</v>
      </c>
      <c r="L31" s="68">
        <f t="shared" si="8"/>
        <v>404317.80598334823</v>
      </c>
      <c r="M31" s="68">
        <f t="shared" si="8"/>
        <v>-578100.22466666671</v>
      </c>
      <c r="N31" s="68">
        <f t="shared" si="8"/>
        <v>0</v>
      </c>
      <c r="O31" s="68">
        <f t="shared" ref="O31" si="9">SUM(O24:O30)</f>
        <v>60775.058700315712</v>
      </c>
      <c r="P31" s="68">
        <f t="shared" si="8"/>
        <v>66154.910000000149</v>
      </c>
      <c r="Q31" s="68">
        <f t="shared" si="8"/>
        <v>-23886.235535070555</v>
      </c>
      <c r="R31" s="68">
        <f t="shared" si="8"/>
        <v>106898.61540385675</v>
      </c>
      <c r="S31" s="68">
        <f t="shared" si="8"/>
        <v>0</v>
      </c>
      <c r="T31" s="68">
        <f t="shared" ref="T31" si="10">SUM(T24:T30)</f>
        <v>0</v>
      </c>
      <c r="U31" s="68">
        <f>SUM(U24:U30)</f>
        <v>0</v>
      </c>
      <c r="V31" s="68">
        <f t="shared" si="8"/>
        <v>0</v>
      </c>
      <c r="W31" s="68">
        <f>SUM(W24:W30)</f>
        <v>0</v>
      </c>
      <c r="X31" s="68">
        <f t="shared" si="1"/>
        <v>-24234204.334910545</v>
      </c>
      <c r="Y31" s="56"/>
      <c r="Z31" s="48"/>
      <c r="AA31" s="56"/>
      <c r="AB31" s="48"/>
      <c r="AC31" s="48"/>
      <c r="AD31" s="48"/>
      <c r="AE31" s="48"/>
      <c r="AF31" s="48"/>
      <c r="AG31" s="48"/>
      <c r="AH31" s="48"/>
      <c r="AI31" s="48"/>
      <c r="AJ31" s="48"/>
      <c r="AK31" s="56"/>
    </row>
    <row r="32" spans="1:37">
      <c r="A32" s="58">
        <f t="shared" si="0"/>
        <v>26</v>
      </c>
      <c r="B32" s="56"/>
      <c r="C32" s="405"/>
      <c r="D32" s="69"/>
      <c r="E32" s="69"/>
      <c r="F32" s="69"/>
      <c r="G32" s="69"/>
      <c r="H32" s="69"/>
      <c r="I32" s="69"/>
      <c r="J32" s="69"/>
      <c r="K32" s="69"/>
      <c r="L32" s="69"/>
      <c r="M32" s="69"/>
      <c r="N32" s="69"/>
      <c r="O32" s="69"/>
      <c r="P32" s="69"/>
      <c r="Q32" s="69"/>
      <c r="R32" s="69"/>
      <c r="S32" s="69"/>
      <c r="T32" s="69"/>
      <c r="U32" s="69"/>
      <c r="V32" s="69"/>
      <c r="W32" s="69"/>
      <c r="X32" s="69"/>
      <c r="Y32" s="56"/>
      <c r="Z32" s="56"/>
      <c r="AA32" s="56"/>
      <c r="AB32" s="48"/>
      <c r="AC32" s="48"/>
      <c r="AD32" s="48"/>
      <c r="AE32" s="48"/>
      <c r="AF32" s="48"/>
      <c r="AG32" s="48"/>
      <c r="AH32" s="48"/>
      <c r="AI32" s="48"/>
      <c r="AJ32" s="48"/>
      <c r="AK32" s="56"/>
    </row>
    <row r="33" spans="1:37">
      <c r="A33" s="58">
        <f t="shared" si="0"/>
        <v>27</v>
      </c>
      <c r="B33" s="56" t="s">
        <v>86</v>
      </c>
      <c r="C33" s="403">
        <f t="shared" ref="C33:V33" si="11">(+C12-C31)</f>
        <v>-632610</v>
      </c>
      <c r="D33" s="48">
        <f t="shared" si="11"/>
        <v>-164651</v>
      </c>
      <c r="E33" s="48">
        <f t="shared" si="11"/>
        <v>-53333.33</v>
      </c>
      <c r="F33" s="48">
        <f t="shared" si="11"/>
        <v>498437.96999999986</v>
      </c>
      <c r="G33" s="48">
        <f t="shared" si="11"/>
        <v>-810902.82</v>
      </c>
      <c r="H33" s="48">
        <f t="shared" si="11"/>
        <v>668128.66999999864</v>
      </c>
      <c r="I33" s="48">
        <f t="shared" si="11"/>
        <v>-996188.39000000013</v>
      </c>
      <c r="J33" s="48">
        <f t="shared" si="11"/>
        <v>2460.859999999986</v>
      </c>
      <c r="K33" s="48">
        <f t="shared" si="11"/>
        <v>-360833.06520366488</v>
      </c>
      <c r="L33" s="48">
        <f t="shared" si="11"/>
        <v>-404317.80598334823</v>
      </c>
      <c r="M33" s="48">
        <f t="shared" si="11"/>
        <v>578100.22466666671</v>
      </c>
      <c r="N33" s="48">
        <f t="shared" si="11"/>
        <v>0</v>
      </c>
      <c r="O33" s="48">
        <f t="shared" ref="O33" si="12">(+O12-O31)</f>
        <v>-60775.058700315712</v>
      </c>
      <c r="P33" s="48">
        <f t="shared" si="11"/>
        <v>-66154.910000000149</v>
      </c>
      <c r="Q33" s="48">
        <f t="shared" si="11"/>
        <v>23886.235535070555</v>
      </c>
      <c r="R33" s="48">
        <f t="shared" si="11"/>
        <v>-106898.61540385675</v>
      </c>
      <c r="S33" s="48">
        <f t="shared" si="11"/>
        <v>1854.3</v>
      </c>
      <c r="T33" s="48">
        <f t="shared" ref="T33" si="13">(+T12-T31)</f>
        <v>173061.67000000004</v>
      </c>
      <c r="U33" s="48">
        <f>(+U12-U31)</f>
        <v>14000</v>
      </c>
      <c r="V33" s="48">
        <f t="shared" si="11"/>
        <v>6000</v>
      </c>
      <c r="W33" s="48">
        <f>(+W12-W31)</f>
        <v>6384</v>
      </c>
      <c r="X33" s="48">
        <f t="shared" si="1"/>
        <v>-1684351.0650894502</v>
      </c>
      <c r="Y33" s="56"/>
      <c r="Z33" s="56"/>
      <c r="AA33" s="56"/>
      <c r="AB33" s="48"/>
      <c r="AC33" s="48"/>
      <c r="AD33" s="48"/>
      <c r="AE33" s="48"/>
      <c r="AF33" s="48"/>
      <c r="AG33" s="48"/>
      <c r="AH33" s="48"/>
      <c r="AI33" s="48"/>
      <c r="AJ33" s="48"/>
      <c r="AK33" s="56"/>
    </row>
    <row r="34" spans="1:37">
      <c r="A34" s="58">
        <f t="shared" si="0"/>
        <v>28</v>
      </c>
      <c r="B34" s="56"/>
      <c r="C34" s="405"/>
      <c r="D34" s="69"/>
      <c r="E34" s="69"/>
      <c r="F34" s="69"/>
      <c r="G34" s="69"/>
      <c r="H34" s="69"/>
      <c r="I34" s="69"/>
      <c r="J34" s="69"/>
      <c r="K34" s="69"/>
      <c r="L34" s="69"/>
      <c r="M34" s="69"/>
      <c r="N34" s="69"/>
      <c r="O34" s="69"/>
      <c r="P34" s="69"/>
      <c r="Q34" s="69"/>
      <c r="R34" s="69"/>
      <c r="S34" s="69"/>
      <c r="T34" s="69"/>
      <c r="U34" s="69"/>
      <c r="V34" s="69"/>
      <c r="W34" s="69"/>
      <c r="X34" s="69"/>
      <c r="Y34" s="56"/>
      <c r="Z34" s="56"/>
      <c r="AA34" s="56"/>
      <c r="AB34" s="48"/>
      <c r="AC34" s="48"/>
      <c r="AD34" s="48"/>
      <c r="AE34" s="48"/>
      <c r="AF34" s="48"/>
      <c r="AG34" s="48"/>
      <c r="AH34" s="48"/>
      <c r="AI34" s="48"/>
      <c r="AJ34" s="48"/>
      <c r="AK34" s="56"/>
    </row>
    <row r="35" spans="1:37">
      <c r="A35" s="58">
        <f t="shared" si="0"/>
        <v>29</v>
      </c>
      <c r="B35" s="56" t="s">
        <v>34</v>
      </c>
      <c r="C35" s="403"/>
      <c r="D35" s="48"/>
      <c r="E35" s="48"/>
      <c r="F35" s="48"/>
      <c r="G35" s="48"/>
      <c r="H35" s="48"/>
      <c r="I35" s="48"/>
      <c r="J35" s="48"/>
      <c r="K35" s="48"/>
      <c r="L35" s="48"/>
      <c r="M35" s="48"/>
      <c r="N35" s="48"/>
      <c r="O35" s="48"/>
      <c r="P35" s="48"/>
      <c r="Q35" s="48"/>
      <c r="R35" s="48"/>
      <c r="S35" s="48"/>
      <c r="T35" s="48"/>
      <c r="U35" s="48"/>
      <c r="V35" s="48"/>
      <c r="W35" s="48"/>
      <c r="X35" s="48">
        <f t="shared" si="1"/>
        <v>0</v>
      </c>
      <c r="Y35" s="56"/>
      <c r="Z35" s="56"/>
      <c r="AA35" s="56"/>
      <c r="AB35" s="48"/>
      <c r="AC35" s="48"/>
      <c r="AD35" s="48"/>
      <c r="AE35" s="48"/>
      <c r="AF35" s="48"/>
      <c r="AG35" s="48"/>
      <c r="AH35" s="48"/>
      <c r="AI35" s="48"/>
      <c r="AJ35" s="48"/>
      <c r="AK35" s="56"/>
    </row>
    <row r="36" spans="1:37">
      <c r="A36" s="58" t="s">
        <v>203</v>
      </c>
      <c r="B36" s="56" t="s">
        <v>204</v>
      </c>
      <c r="C36" s="403"/>
      <c r="D36" s="48"/>
      <c r="E36" s="48"/>
      <c r="F36" s="48"/>
      <c r="G36" s="48"/>
      <c r="H36" s="48"/>
      <c r="I36" s="48"/>
      <c r="J36" s="48"/>
      <c r="K36" s="48"/>
      <c r="L36" s="48"/>
      <c r="M36" s="48"/>
      <c r="N36" s="48"/>
      <c r="O36" s="48"/>
      <c r="P36" s="48"/>
      <c r="Q36" s="48"/>
      <c r="R36" s="48"/>
      <c r="S36" s="48"/>
      <c r="T36" s="48"/>
      <c r="U36" s="48"/>
      <c r="V36" s="48"/>
      <c r="W36" s="48"/>
      <c r="X36" s="48"/>
      <c r="Y36" s="56"/>
      <c r="Z36" s="56"/>
      <c r="AA36" s="56"/>
      <c r="AB36" s="48"/>
      <c r="AC36" s="48"/>
      <c r="AD36" s="48"/>
      <c r="AE36" s="48"/>
      <c r="AF36" s="48"/>
      <c r="AG36" s="48"/>
      <c r="AH36" s="48"/>
      <c r="AI36" s="48"/>
      <c r="AJ36" s="48"/>
      <c r="AK36" s="56"/>
    </row>
    <row r="37" spans="1:37">
      <c r="A37" s="58">
        <f>(A35+1)</f>
        <v>30</v>
      </c>
      <c r="B37" s="56" t="s">
        <v>35</v>
      </c>
      <c r="C37" s="403"/>
      <c r="D37" s="48"/>
      <c r="E37" s="48"/>
      <c r="F37" s="48"/>
      <c r="G37" s="48"/>
      <c r="H37" s="48"/>
      <c r="I37" s="48"/>
      <c r="J37" s="48"/>
      <c r="K37" s="48"/>
      <c r="L37" s="48"/>
      <c r="M37" s="48"/>
      <c r="N37" s="48"/>
      <c r="O37" s="48"/>
      <c r="P37" s="48"/>
      <c r="Q37" s="48"/>
      <c r="R37" s="48"/>
      <c r="S37" s="48"/>
      <c r="T37" s="48"/>
      <c r="U37" s="48"/>
      <c r="V37" s="48"/>
      <c r="W37" s="48"/>
      <c r="X37" s="48">
        <f t="shared" si="1"/>
        <v>0</v>
      </c>
      <c r="Y37" s="56"/>
      <c r="Z37" s="56"/>
      <c r="AA37" s="56"/>
      <c r="AB37" s="48"/>
      <c r="AC37" s="48"/>
      <c r="AD37" s="48"/>
      <c r="AE37" s="48"/>
      <c r="AF37" s="48"/>
      <c r="AG37" s="48"/>
      <c r="AH37" s="48"/>
      <c r="AI37" s="48"/>
      <c r="AJ37" s="48"/>
      <c r="AK37" s="56"/>
    </row>
    <row r="38" spans="1:37">
      <c r="A38" s="58">
        <f t="shared" si="0"/>
        <v>31</v>
      </c>
      <c r="B38" s="56" t="s">
        <v>31</v>
      </c>
      <c r="C38" s="403"/>
      <c r="D38" s="48"/>
      <c r="E38" s="48"/>
      <c r="F38" s="48"/>
      <c r="G38" s="48"/>
      <c r="H38" s="48"/>
      <c r="I38" s="48"/>
      <c r="J38" s="48"/>
      <c r="K38" s="48"/>
      <c r="L38" s="48"/>
      <c r="M38" s="48"/>
      <c r="N38" s="48">
        <f>'Adj List'!F18</f>
        <v>-2018096.45</v>
      </c>
      <c r="O38" s="48"/>
      <c r="P38" s="48"/>
      <c r="Q38" s="48"/>
      <c r="R38" s="48"/>
      <c r="S38" s="48"/>
      <c r="T38" s="48"/>
      <c r="U38" s="48"/>
      <c r="V38" s="48"/>
      <c r="W38" s="48"/>
      <c r="X38" s="48">
        <f t="shared" si="1"/>
        <v>-2018096.45</v>
      </c>
      <c r="Y38" s="56"/>
      <c r="Z38" s="56"/>
      <c r="AA38" s="56"/>
      <c r="AB38" s="48"/>
      <c r="AC38" s="48"/>
      <c r="AD38" s="48"/>
      <c r="AE38" s="48"/>
      <c r="AF38" s="48"/>
      <c r="AG38" s="48"/>
      <c r="AH38" s="48"/>
      <c r="AI38" s="48"/>
      <c r="AJ38" s="48"/>
      <c r="AK38" s="56"/>
    </row>
    <row r="39" spans="1:37">
      <c r="A39" s="58">
        <f t="shared" si="0"/>
        <v>32</v>
      </c>
      <c r="B39" s="56" t="s">
        <v>87</v>
      </c>
      <c r="C39" s="403"/>
      <c r="D39" s="48"/>
      <c r="E39" s="48"/>
      <c r="F39" s="48"/>
      <c r="G39" s="48"/>
      <c r="H39" s="48"/>
      <c r="I39" s="48"/>
      <c r="J39" s="48"/>
      <c r="K39" s="48"/>
      <c r="L39" s="48"/>
      <c r="M39" s="48"/>
      <c r="N39" s="48"/>
      <c r="O39" s="48"/>
      <c r="P39" s="48"/>
      <c r="Q39" s="48"/>
      <c r="R39" s="48"/>
      <c r="S39" s="48"/>
      <c r="T39" s="48"/>
      <c r="U39" s="48"/>
      <c r="V39" s="48"/>
      <c r="W39" s="48"/>
      <c r="X39" s="48">
        <f t="shared" si="1"/>
        <v>0</v>
      </c>
      <c r="Y39" s="56"/>
      <c r="Z39" s="56"/>
      <c r="AA39" s="56"/>
      <c r="AB39" s="48"/>
      <c r="AC39" s="48"/>
      <c r="AD39" s="48"/>
      <c r="AE39" s="48"/>
      <c r="AF39" s="48"/>
      <c r="AG39" s="48"/>
      <c r="AH39" s="48"/>
      <c r="AI39" s="48"/>
      <c r="AJ39" s="48"/>
      <c r="AK39" s="56"/>
    </row>
    <row r="40" spans="1:37">
      <c r="A40" s="58">
        <f t="shared" si="0"/>
        <v>33</v>
      </c>
      <c r="B40" s="67" t="s">
        <v>96</v>
      </c>
      <c r="C40" s="404">
        <f t="shared" ref="C40:V40" si="14">SUM(C35:C39)</f>
        <v>0</v>
      </c>
      <c r="D40" s="68">
        <f t="shared" si="14"/>
        <v>0</v>
      </c>
      <c r="E40" s="68">
        <f t="shared" si="14"/>
        <v>0</v>
      </c>
      <c r="F40" s="68">
        <f t="shared" si="14"/>
        <v>0</v>
      </c>
      <c r="G40" s="68">
        <f t="shared" si="14"/>
        <v>0</v>
      </c>
      <c r="H40" s="68">
        <f t="shared" si="14"/>
        <v>0</v>
      </c>
      <c r="I40" s="68">
        <f t="shared" si="14"/>
        <v>0</v>
      </c>
      <c r="J40" s="68">
        <f t="shared" si="14"/>
        <v>0</v>
      </c>
      <c r="K40" s="68">
        <f t="shared" si="14"/>
        <v>0</v>
      </c>
      <c r="L40" s="68">
        <f t="shared" si="14"/>
        <v>0</v>
      </c>
      <c r="M40" s="68">
        <f t="shared" si="14"/>
        <v>0</v>
      </c>
      <c r="N40" s="68">
        <f t="shared" si="14"/>
        <v>-2018096.45</v>
      </c>
      <c r="O40" s="68">
        <f t="shared" ref="O40" si="15">SUM(O35:O39)</f>
        <v>0</v>
      </c>
      <c r="P40" s="68">
        <f t="shared" si="14"/>
        <v>0</v>
      </c>
      <c r="Q40" s="68">
        <f t="shared" si="14"/>
        <v>0</v>
      </c>
      <c r="R40" s="68">
        <f t="shared" si="14"/>
        <v>0</v>
      </c>
      <c r="S40" s="68">
        <f t="shared" si="14"/>
        <v>0</v>
      </c>
      <c r="T40" s="68">
        <f t="shared" ref="T40" si="16">SUM(T35:T39)</f>
        <v>0</v>
      </c>
      <c r="U40" s="68">
        <f>SUM(U35:U39)</f>
        <v>0</v>
      </c>
      <c r="V40" s="68">
        <f t="shared" si="14"/>
        <v>0</v>
      </c>
      <c r="W40" s="68">
        <f>SUM(W35:W39)</f>
        <v>0</v>
      </c>
      <c r="X40" s="68">
        <f t="shared" si="1"/>
        <v>-2018096.45</v>
      </c>
      <c r="Y40" s="56"/>
      <c r="Z40" s="48"/>
      <c r="AA40" s="56"/>
      <c r="AB40" s="48"/>
      <c r="AC40" s="48"/>
      <c r="AD40" s="48"/>
      <c r="AE40" s="48"/>
      <c r="AF40" s="48"/>
      <c r="AG40" s="48"/>
      <c r="AH40" s="48"/>
      <c r="AI40" s="48"/>
      <c r="AJ40" s="48"/>
      <c r="AK40" s="56"/>
    </row>
    <row r="41" spans="1:37">
      <c r="A41" s="58">
        <f t="shared" si="0"/>
        <v>34</v>
      </c>
      <c r="B41" s="56"/>
      <c r="C41" s="403"/>
      <c r="D41" s="48"/>
      <c r="E41" s="48"/>
      <c r="F41" s="48"/>
      <c r="G41" s="48"/>
      <c r="H41" s="48"/>
      <c r="I41" s="48"/>
      <c r="J41" s="48"/>
      <c r="K41" s="48"/>
      <c r="L41" s="48"/>
      <c r="M41" s="48"/>
      <c r="N41" s="48"/>
      <c r="O41" s="48"/>
      <c r="P41" s="48"/>
      <c r="Q41" s="48"/>
      <c r="R41" s="48"/>
      <c r="S41" s="48"/>
      <c r="T41" s="48"/>
      <c r="U41" s="48"/>
      <c r="V41" s="48"/>
      <c r="W41" s="48"/>
      <c r="X41" s="48"/>
      <c r="Y41" s="56"/>
      <c r="Z41" s="56"/>
      <c r="AA41" s="56"/>
      <c r="AB41" s="48"/>
      <c r="AC41" s="48"/>
      <c r="AD41" s="48"/>
      <c r="AE41" s="48"/>
      <c r="AF41" s="48"/>
      <c r="AG41" s="48"/>
      <c r="AH41" s="48"/>
      <c r="AI41" s="48"/>
      <c r="AJ41" s="48"/>
      <c r="AK41" s="56"/>
    </row>
    <row r="42" spans="1:37" ht="15" thickBot="1">
      <c r="A42" s="58">
        <f t="shared" si="0"/>
        <v>35</v>
      </c>
      <c r="B42" s="70" t="s">
        <v>88</v>
      </c>
      <c r="C42" s="406">
        <f t="shared" ref="C42:V42" si="17">+C33+C40</f>
        <v>-632610</v>
      </c>
      <c r="D42" s="71">
        <f t="shared" si="17"/>
        <v>-164651</v>
      </c>
      <c r="E42" s="71">
        <f t="shared" si="17"/>
        <v>-53333.33</v>
      </c>
      <c r="F42" s="71">
        <f t="shared" si="17"/>
        <v>498437.96999999986</v>
      </c>
      <c r="G42" s="71">
        <f t="shared" si="17"/>
        <v>-810902.82</v>
      </c>
      <c r="H42" s="71">
        <f t="shared" si="17"/>
        <v>668128.66999999864</v>
      </c>
      <c r="I42" s="71">
        <f t="shared" si="17"/>
        <v>-996188.39000000013</v>
      </c>
      <c r="J42" s="71">
        <f t="shared" si="17"/>
        <v>2460.859999999986</v>
      </c>
      <c r="K42" s="71">
        <f t="shared" si="17"/>
        <v>-360833.06520366488</v>
      </c>
      <c r="L42" s="71">
        <f t="shared" si="17"/>
        <v>-404317.80598334823</v>
      </c>
      <c r="M42" s="71">
        <f t="shared" si="17"/>
        <v>578100.22466666671</v>
      </c>
      <c r="N42" s="71">
        <f t="shared" si="17"/>
        <v>-2018096.45</v>
      </c>
      <c r="O42" s="71">
        <f t="shared" ref="O42" si="18">+O33+O40</f>
        <v>-60775.058700315712</v>
      </c>
      <c r="P42" s="71">
        <f t="shared" si="17"/>
        <v>-66154.910000000149</v>
      </c>
      <c r="Q42" s="71">
        <f t="shared" si="17"/>
        <v>23886.235535070555</v>
      </c>
      <c r="R42" s="71">
        <f t="shared" si="17"/>
        <v>-106898.61540385675</v>
      </c>
      <c r="S42" s="71">
        <f t="shared" si="17"/>
        <v>1854.3</v>
      </c>
      <c r="T42" s="71">
        <f t="shared" ref="T42" si="19">+T33+T40</f>
        <v>173061.67000000004</v>
      </c>
      <c r="U42" s="71">
        <f>+U33+U40</f>
        <v>14000</v>
      </c>
      <c r="V42" s="71">
        <f t="shared" si="17"/>
        <v>6000</v>
      </c>
      <c r="W42" s="71">
        <f>+W33+W40</f>
        <v>6384</v>
      </c>
      <c r="X42" s="71">
        <f t="shared" si="1"/>
        <v>-3702447.5150894504</v>
      </c>
      <c r="Y42" s="56"/>
      <c r="Z42" s="48"/>
      <c r="AA42" s="56"/>
      <c r="AB42" s="48"/>
      <c r="AC42" s="48"/>
      <c r="AD42" s="48"/>
      <c r="AE42" s="48"/>
      <c r="AF42" s="48"/>
      <c r="AG42" s="48"/>
      <c r="AH42" s="48"/>
      <c r="AI42" s="48"/>
      <c r="AJ42" s="48"/>
      <c r="AK42" s="56"/>
    </row>
    <row r="43" spans="1:37" ht="18" customHeight="1" thickTop="1">
      <c r="A43" s="58"/>
      <c r="B43" s="56"/>
      <c r="C43" s="407"/>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row>
    <row r="44" spans="1:37" ht="18" customHeight="1">
      <c r="A44" s="58"/>
      <c r="B44" s="56"/>
      <c r="C44" s="403"/>
      <c r="D44" s="48"/>
      <c r="E44" s="48"/>
      <c r="F44" s="48"/>
      <c r="G44" s="48"/>
      <c r="H44" s="48"/>
      <c r="I44" s="48"/>
      <c r="J44" s="48"/>
      <c r="K44" s="48"/>
      <c r="L44" s="48"/>
      <c r="M44" s="48"/>
      <c r="N44" s="48"/>
      <c r="O44" s="48"/>
      <c r="P44" s="48"/>
      <c r="Q44" s="48"/>
      <c r="R44" s="48"/>
      <c r="S44" s="48"/>
      <c r="T44" s="48"/>
      <c r="U44" s="48"/>
      <c r="V44" s="48"/>
      <c r="W44" s="48"/>
      <c r="X44" s="48"/>
      <c r="Y44" s="56"/>
      <c r="Z44" s="48"/>
      <c r="AA44" s="56"/>
      <c r="AB44" s="56"/>
      <c r="AC44" s="56"/>
      <c r="AD44" s="56"/>
      <c r="AE44" s="56"/>
      <c r="AF44" s="56"/>
      <c r="AG44" s="56"/>
      <c r="AH44" s="56"/>
      <c r="AI44" s="56"/>
      <c r="AJ44" s="56"/>
      <c r="AK44" s="56"/>
    </row>
    <row r="45" spans="1:37" ht="18" customHeight="1">
      <c r="A45" s="58"/>
      <c r="B45" s="56"/>
      <c r="C45" s="403"/>
      <c r="D45" s="48"/>
      <c r="E45" s="48"/>
      <c r="F45" s="48"/>
      <c r="G45" s="48"/>
      <c r="H45" s="48"/>
      <c r="I45" s="48"/>
      <c r="J45" s="48"/>
      <c r="K45" s="48"/>
      <c r="L45" s="48"/>
      <c r="M45" s="48"/>
      <c r="N45" s="48"/>
      <c r="O45" s="48"/>
      <c r="P45" s="48"/>
      <c r="Q45" s="48"/>
      <c r="R45" s="48"/>
      <c r="S45" s="48"/>
      <c r="T45" s="48"/>
      <c r="U45" s="48"/>
      <c r="V45" s="48"/>
      <c r="W45" s="48"/>
      <c r="X45" s="48"/>
      <c r="Y45" s="56"/>
      <c r="Z45" s="48"/>
      <c r="AA45" s="56"/>
      <c r="AB45" s="56"/>
      <c r="AC45" s="56"/>
      <c r="AD45" s="56"/>
      <c r="AE45" s="56"/>
      <c r="AF45" s="56"/>
      <c r="AG45" s="56"/>
      <c r="AH45" s="56"/>
      <c r="AI45" s="56"/>
      <c r="AJ45" s="56"/>
      <c r="AK45" s="56"/>
    </row>
    <row r="46" spans="1:37" ht="18" customHeight="1">
      <c r="A46" s="58"/>
      <c r="B46" s="56"/>
      <c r="C46" s="403"/>
      <c r="D46" s="48"/>
      <c r="E46" s="48"/>
      <c r="F46" s="48"/>
      <c r="G46" s="48"/>
      <c r="H46" s="48"/>
      <c r="I46" s="48"/>
      <c r="J46" s="48"/>
      <c r="K46" s="48"/>
      <c r="L46" s="48"/>
      <c r="M46" s="48"/>
      <c r="N46" s="48"/>
      <c r="O46" s="48"/>
      <c r="P46" s="48"/>
      <c r="Q46" s="48"/>
      <c r="R46" s="48"/>
      <c r="S46" s="48"/>
      <c r="T46" s="48"/>
      <c r="U46" s="48"/>
      <c r="V46" s="48"/>
      <c r="W46" s="48"/>
      <c r="X46" s="48"/>
      <c r="Y46" s="56"/>
      <c r="Z46" s="48"/>
      <c r="AA46" s="56"/>
      <c r="AB46" s="56"/>
      <c r="AC46" s="56"/>
      <c r="AD46" s="56"/>
      <c r="AE46" s="56"/>
      <c r="AF46" s="56"/>
      <c r="AG46" s="56"/>
      <c r="AH46" s="56"/>
      <c r="AI46" s="56"/>
      <c r="AJ46" s="56"/>
      <c r="AK46" s="56"/>
    </row>
    <row r="47" spans="1:37" ht="18" customHeight="1">
      <c r="A47" s="58"/>
      <c r="B47" s="56"/>
      <c r="C47" s="403"/>
      <c r="D47" s="48"/>
      <c r="E47" s="48"/>
      <c r="F47" s="48"/>
      <c r="G47" s="48"/>
      <c r="H47" s="48"/>
      <c r="I47" s="48"/>
      <c r="J47" s="48"/>
      <c r="K47" s="48"/>
      <c r="L47" s="48"/>
      <c r="M47" s="48"/>
      <c r="N47" s="48"/>
      <c r="O47" s="48"/>
      <c r="P47" s="48"/>
      <c r="Q47" s="48"/>
      <c r="R47" s="48"/>
      <c r="S47" s="48"/>
      <c r="T47" s="48"/>
      <c r="U47" s="48"/>
      <c r="V47" s="48"/>
      <c r="W47" s="48"/>
      <c r="X47" s="48"/>
      <c r="Y47" s="56"/>
      <c r="Z47" s="48"/>
      <c r="AA47" s="56"/>
      <c r="AB47" s="56"/>
      <c r="AC47" s="56"/>
      <c r="AD47" s="56"/>
      <c r="AE47" s="56"/>
      <c r="AF47" s="56"/>
      <c r="AG47" s="56"/>
      <c r="AH47" s="56"/>
      <c r="AI47" s="56"/>
      <c r="AJ47" s="56"/>
      <c r="AK47" s="56"/>
    </row>
    <row r="48" spans="1:37" ht="18" customHeight="1">
      <c r="A48" s="58"/>
      <c r="B48" s="56"/>
      <c r="C48" s="403"/>
      <c r="D48" s="48"/>
      <c r="E48" s="48"/>
      <c r="F48" s="48"/>
      <c r="G48" s="48"/>
      <c r="H48" s="48"/>
      <c r="I48" s="48"/>
      <c r="J48" s="48"/>
      <c r="K48" s="48"/>
      <c r="L48" s="48"/>
      <c r="M48" s="48"/>
      <c r="N48" s="48"/>
      <c r="O48" s="48"/>
      <c r="P48" s="48"/>
      <c r="Q48" s="48"/>
      <c r="R48" s="48"/>
      <c r="S48" s="48"/>
      <c r="T48" s="48"/>
      <c r="U48" s="48"/>
      <c r="V48" s="48"/>
      <c r="W48" s="48"/>
      <c r="X48" s="48"/>
      <c r="Y48" s="56"/>
      <c r="Z48" s="56"/>
      <c r="AA48" s="56"/>
      <c r="AB48" s="56"/>
      <c r="AC48" s="56"/>
      <c r="AD48" s="56"/>
      <c r="AE48" s="56"/>
      <c r="AF48" s="56"/>
      <c r="AG48" s="56"/>
      <c r="AH48" s="56"/>
      <c r="AI48" s="56"/>
      <c r="AJ48" s="56"/>
      <c r="AK48" s="56"/>
    </row>
    <row r="49" spans="1:37" ht="18" customHeight="1">
      <c r="A49" s="58"/>
      <c r="B49" s="56"/>
      <c r="C49" s="407"/>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row>
    <row r="50" spans="1:37" ht="18" customHeight="1">
      <c r="A50" s="58"/>
      <c r="B50" s="56"/>
      <c r="C50" s="407"/>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37">
      <c r="A51" s="58"/>
      <c r="B51" s="56"/>
      <c r="C51" s="407"/>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row>
    <row r="52" spans="1:37">
      <c r="A52" s="58"/>
      <c r="B52" s="56"/>
      <c r="C52" s="407"/>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row>
    <row r="53" spans="1:37">
      <c r="A53" s="58"/>
      <c r="B53" s="56"/>
      <c r="C53" s="407"/>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row>
    <row r="54" spans="1:37">
      <c r="A54" s="58"/>
      <c r="B54" s="56"/>
      <c r="C54" s="407"/>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row>
    <row r="55" spans="1:37">
      <c r="A55" s="58"/>
      <c r="B55" s="56"/>
      <c r="C55" s="407"/>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row>
    <row r="56" spans="1:37">
      <c r="A56" s="58"/>
      <c r="B56" s="56"/>
      <c r="C56" s="407"/>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row>
    <row r="57" spans="1:37">
      <c r="A57" s="58"/>
      <c r="B57" s="56"/>
      <c r="C57" s="407"/>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1:37">
      <c r="A58" s="58"/>
      <c r="B58" s="56"/>
      <c r="C58" s="407"/>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row>
    <row r="59" spans="1:37">
      <c r="A59" s="58"/>
      <c r="B59" s="56"/>
      <c r="C59" s="407"/>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row>
    <row r="60" spans="1:37">
      <c r="A60" s="58"/>
      <c r="B60" s="56"/>
      <c r="C60" s="407"/>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row>
    <row r="61" spans="1:37">
      <c r="A61" s="58"/>
      <c r="B61" s="56"/>
      <c r="C61" s="407"/>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row>
    <row r="62" spans="1:37">
      <c r="A62" s="58"/>
      <c r="B62" s="56"/>
      <c r="C62" s="407"/>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row>
    <row r="63" spans="1:37">
      <c r="A63" s="58"/>
      <c r="B63" s="56"/>
      <c r="C63" s="407"/>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row>
    <row r="64" spans="1:37">
      <c r="A64" s="58"/>
      <c r="B64" s="56"/>
      <c r="C64" s="407"/>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row>
    <row r="65" spans="1:37">
      <c r="A65" s="58"/>
      <c r="B65" s="56"/>
      <c r="C65" s="407"/>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row>
    <row r="66" spans="1:37">
      <c r="A66" s="58"/>
      <c r="B66" s="56"/>
      <c r="C66" s="407"/>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row>
    <row r="67" spans="1:37">
      <c r="A67" s="58"/>
      <c r="B67" s="56"/>
      <c r="C67" s="407"/>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row>
    <row r="68" spans="1:37">
      <c r="A68" s="58"/>
      <c r="B68" s="56"/>
      <c r="C68" s="407"/>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row>
    <row r="69" spans="1:37">
      <c r="A69" s="58"/>
      <c r="B69" s="56"/>
      <c r="C69" s="407"/>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row>
    <row r="70" spans="1:37">
      <c r="A70" s="58"/>
      <c r="B70" s="56"/>
      <c r="C70" s="407"/>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row>
    <row r="71" spans="1:37">
      <c r="A71" s="58"/>
      <c r="B71" s="56"/>
      <c r="C71" s="407"/>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row>
    <row r="72" spans="1:37">
      <c r="A72" s="58"/>
      <c r="B72" s="56"/>
      <c r="C72" s="407"/>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row>
    <row r="73" spans="1:37">
      <c r="A73" s="58"/>
      <c r="B73" s="56"/>
      <c r="C73" s="407"/>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row>
    <row r="74" spans="1:37">
      <c r="A74" s="58"/>
      <c r="B74" s="56"/>
      <c r="C74" s="407"/>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row>
    <row r="75" spans="1:37">
      <c r="A75" s="58"/>
      <c r="B75" s="56"/>
      <c r="C75" s="407"/>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row>
    <row r="76" spans="1:37">
      <c r="A76" s="58"/>
      <c r="B76" s="56"/>
      <c r="C76" s="407"/>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row>
    <row r="77" spans="1:37">
      <c r="A77" s="58"/>
      <c r="B77" s="56"/>
      <c r="C77" s="407"/>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row>
    <row r="78" spans="1:37">
      <c r="A78" s="58"/>
      <c r="B78" s="56"/>
      <c r="C78" s="407"/>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row>
    <row r="79" spans="1:37">
      <c r="A79" s="58"/>
      <c r="B79" s="56"/>
      <c r="C79" s="407"/>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row>
    <row r="80" spans="1:37">
      <c r="A80" s="58"/>
      <c r="B80" s="56"/>
      <c r="C80" s="407"/>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row>
    <row r="81" spans="1:37">
      <c r="A81" s="58"/>
      <c r="B81" s="56"/>
      <c r="C81" s="407"/>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row>
    <row r="82" spans="1:37">
      <c r="A82" s="58"/>
      <c r="B82" s="56"/>
      <c r="C82" s="407"/>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row>
    <row r="83" spans="1:37">
      <c r="A83" s="58"/>
      <c r="B83" s="56"/>
      <c r="C83" s="407"/>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row>
    <row r="84" spans="1:37">
      <c r="A84" s="58"/>
      <c r="B84" s="56"/>
      <c r="C84" s="407"/>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row>
    <row r="85" spans="1:37">
      <c r="A85" s="58"/>
      <c r="B85" s="56"/>
      <c r="C85" s="407"/>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row>
    <row r="86" spans="1:37">
      <c r="A86" s="58"/>
      <c r="B86" s="56"/>
      <c r="C86" s="407"/>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row>
    <row r="87" spans="1:37">
      <c r="A87" s="58"/>
      <c r="B87" s="56"/>
      <c r="C87" s="407"/>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row>
    <row r="88" spans="1:37">
      <c r="A88" s="58"/>
      <c r="B88" s="56"/>
      <c r="C88" s="407"/>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row>
    <row r="89" spans="1:37">
      <c r="A89" s="58"/>
      <c r="B89" s="56"/>
      <c r="C89" s="407"/>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row>
    <row r="90" spans="1:37">
      <c r="A90" s="58"/>
      <c r="B90" s="56"/>
      <c r="C90" s="407"/>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row>
    <row r="91" spans="1:37">
      <c r="A91" s="58"/>
      <c r="B91" s="56"/>
      <c r="C91" s="407"/>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row>
    <row r="92" spans="1:37">
      <c r="A92" s="58"/>
      <c r="B92" s="56"/>
      <c r="C92" s="407"/>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row>
    <row r="93" spans="1:37">
      <c r="A93" s="58"/>
      <c r="B93" s="56"/>
      <c r="C93" s="407"/>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row>
    <row r="94" spans="1:37">
      <c r="A94" s="58"/>
      <c r="B94" s="56"/>
      <c r="C94" s="407"/>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row>
    <row r="95" spans="1:37">
      <c r="A95" s="58"/>
      <c r="B95" s="56"/>
      <c r="C95" s="407"/>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row>
    <row r="96" spans="1:37">
      <c r="A96" s="58"/>
      <c r="B96" s="56"/>
      <c r="C96" s="407"/>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row>
    <row r="97" spans="1:37">
      <c r="A97" s="58"/>
      <c r="B97" s="56"/>
      <c r="C97" s="407"/>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row>
    <row r="98" spans="1:37">
      <c r="A98" s="58"/>
      <c r="B98" s="56"/>
      <c r="C98" s="407"/>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row>
    <row r="99" spans="1:37">
      <c r="A99" s="58"/>
      <c r="B99" s="56"/>
      <c r="C99" s="407"/>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row>
    <row r="100" spans="1:37">
      <c r="A100" s="58"/>
      <c r="B100" s="56"/>
      <c r="C100" s="407"/>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row>
    <row r="101" spans="1:37">
      <c r="A101" s="58"/>
      <c r="B101" s="56"/>
      <c r="C101" s="407"/>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row>
    <row r="102" spans="1:37">
      <c r="B102" s="56"/>
      <c r="C102" s="407"/>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row>
    <row r="103" spans="1:37">
      <c r="B103" s="56"/>
      <c r="C103" s="407"/>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row>
    <row r="104" spans="1:37">
      <c r="B104" s="56"/>
      <c r="C104" s="407"/>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row>
    <row r="105" spans="1:37">
      <c r="B105" s="56"/>
      <c r="C105" s="407"/>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row>
    <row r="106" spans="1:37">
      <c r="B106" s="56"/>
      <c r="C106" s="407"/>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row>
    <row r="107" spans="1:37">
      <c r="B107" s="56"/>
      <c r="C107" s="407"/>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row>
    <row r="108" spans="1:37">
      <c r="B108" s="56"/>
      <c r="C108" s="407"/>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row>
    <row r="109" spans="1:37">
      <c r="B109" s="56"/>
      <c r="C109" s="407"/>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row>
    <row r="110" spans="1:37">
      <c r="B110" s="56"/>
      <c r="C110" s="407"/>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row>
    <row r="111" spans="1:37">
      <c r="B111" s="56"/>
      <c r="C111" s="407"/>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row>
    <row r="112" spans="1:37">
      <c r="B112" s="56"/>
      <c r="C112" s="407"/>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row>
    <row r="113" spans="2:31">
      <c r="B113" s="56"/>
      <c r="C113" s="407"/>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row>
    <row r="114" spans="2:31">
      <c r="B114" s="56"/>
      <c r="C114" s="407"/>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row>
    <row r="115" spans="2:31">
      <c r="B115" s="56"/>
      <c r="C115" s="407"/>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row>
    <row r="116" spans="2:31">
      <c r="B116" s="56"/>
      <c r="C116" s="407"/>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row>
    <row r="117" spans="2:31">
      <c r="B117" s="56"/>
      <c r="C117" s="407"/>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row>
    <row r="118" spans="2:31">
      <c r="B118" s="56"/>
      <c r="C118" s="407"/>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row>
    <row r="119" spans="2:31">
      <c r="B119" s="56"/>
      <c r="C119" s="407"/>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row>
    <row r="120" spans="2:31">
      <c r="B120" s="56"/>
      <c r="C120" s="407"/>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row>
    <row r="121" spans="2:31">
      <c r="B121" s="56"/>
      <c r="C121" s="407"/>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row>
    <row r="122" spans="2:31">
      <c r="B122" s="56"/>
      <c r="C122" s="407"/>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row>
    <row r="123" spans="2:31">
      <c r="B123" s="56"/>
      <c r="C123" s="407"/>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row>
    <row r="124" spans="2:31">
      <c r="B124" s="56"/>
      <c r="C124" s="407"/>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row>
    <row r="125" spans="2:31">
      <c r="B125" s="56"/>
      <c r="C125" s="407"/>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row>
    <row r="126" spans="2:31">
      <c r="B126" s="56"/>
      <c r="C126" s="407"/>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row>
    <row r="127" spans="2:31">
      <c r="B127" s="56"/>
      <c r="C127" s="407"/>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row>
    <row r="128" spans="2:31">
      <c r="B128" s="56"/>
      <c r="C128" s="407"/>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row>
    <row r="129" spans="2:31">
      <c r="B129" s="56"/>
      <c r="C129" s="407"/>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row>
    <row r="130" spans="2:31">
      <c r="B130" s="56"/>
      <c r="C130" s="407"/>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row>
    <row r="131" spans="2:31">
      <c r="B131" s="56"/>
      <c r="C131" s="407"/>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row>
    <row r="132" spans="2:31">
      <c r="B132" s="56"/>
      <c r="C132" s="407"/>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row>
    <row r="133" spans="2:31">
      <c r="B133" s="56"/>
      <c r="C133" s="407"/>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row>
    <row r="134" spans="2:31">
      <c r="B134" s="56"/>
      <c r="C134" s="407"/>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row>
    <row r="135" spans="2:31">
      <c r="B135" s="56"/>
      <c r="C135" s="407"/>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row>
    <row r="136" spans="2:31">
      <c r="B136" s="56"/>
      <c r="C136" s="407"/>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row>
    <row r="137" spans="2:31">
      <c r="B137" s="56"/>
      <c r="C137" s="407"/>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row>
    <row r="138" spans="2:31">
      <c r="B138" s="56"/>
      <c r="C138" s="407"/>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row>
    <row r="139" spans="2:31">
      <c r="B139" s="56"/>
      <c r="C139" s="407"/>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row>
    <row r="140" spans="2:31">
      <c r="B140" s="56"/>
      <c r="C140" s="407"/>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row>
    <row r="141" spans="2:31">
      <c r="B141" s="56"/>
      <c r="C141" s="407"/>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row>
    <row r="142" spans="2:31">
      <c r="B142" s="56"/>
      <c r="C142" s="407"/>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row>
    <row r="143" spans="2:31">
      <c r="B143" s="56"/>
      <c r="C143" s="407"/>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row>
    <row r="144" spans="2:31">
      <c r="B144" s="56"/>
      <c r="C144" s="407"/>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row>
    <row r="145" spans="2:31">
      <c r="B145" s="56"/>
      <c r="C145" s="407"/>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row>
    <row r="146" spans="2:31">
      <c r="B146" s="56"/>
      <c r="C146" s="407"/>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row>
    <row r="147" spans="2:31">
      <c r="Y147" s="56"/>
      <c r="Z147" s="56"/>
      <c r="AA147" s="56"/>
      <c r="AB147" s="56"/>
      <c r="AC147" s="56"/>
      <c r="AD147" s="56"/>
      <c r="AE147" s="56"/>
    </row>
    <row r="148" spans="2:31">
      <c r="Y148" s="56"/>
      <c r="Z148" s="56"/>
      <c r="AA148" s="56"/>
      <c r="AB148" s="56"/>
      <c r="AC148" s="56"/>
      <c r="AD148" s="56"/>
      <c r="AE148" s="56"/>
    </row>
    <row r="149" spans="2:31">
      <c r="Y149" s="56"/>
      <c r="Z149" s="56"/>
      <c r="AA149" s="56"/>
      <c r="AB149" s="56"/>
      <c r="AC149" s="56"/>
      <c r="AD149" s="56"/>
      <c r="AE149" s="56"/>
    </row>
    <row r="150" spans="2:31">
      <c r="Y150" s="56"/>
      <c r="Z150" s="56"/>
      <c r="AA150" s="56"/>
      <c r="AB150" s="56"/>
      <c r="AC150" s="56"/>
      <c r="AD150" s="56"/>
      <c r="AE150" s="56"/>
    </row>
    <row r="151" spans="2:31">
      <c r="Y151" s="56"/>
      <c r="Z151" s="56"/>
      <c r="AA151" s="56"/>
      <c r="AB151" s="56"/>
      <c r="AC151" s="56"/>
      <c r="AD151" s="56"/>
      <c r="AE151" s="56"/>
    </row>
  </sheetData>
  <conditionalFormatting sqref="C48:X48">
    <cfRule type="cellIs" dxfId="11" priority="1" operator="notEqual">
      <formula>0</formula>
    </cfRule>
    <cfRule type="cellIs" dxfId="10" priority="2" operator="equal">
      <formula>0</formula>
    </cfRule>
  </conditionalFormatting>
  <conditionalFormatting sqref="Z12">
    <cfRule type="cellIs" dxfId="9" priority="13" operator="notEqual">
      <formula>0</formula>
    </cfRule>
    <cfRule type="cellIs" dxfId="8" priority="14" operator="equal">
      <formula>0</formula>
    </cfRule>
  </conditionalFormatting>
  <conditionalFormatting sqref="Z31">
    <cfRule type="cellIs" dxfId="7" priority="11" operator="notEqual">
      <formula>0</formula>
    </cfRule>
    <cfRule type="cellIs" dxfId="6" priority="12" operator="equal">
      <formula>0</formula>
    </cfRule>
  </conditionalFormatting>
  <conditionalFormatting sqref="Z40">
    <cfRule type="cellIs" dxfId="5" priority="9" operator="notEqual">
      <formula>0</formula>
    </cfRule>
    <cfRule type="cellIs" dxfId="4" priority="10" operator="equal">
      <formula>0</formula>
    </cfRule>
  </conditionalFormatting>
  <conditionalFormatting sqref="Z42">
    <cfRule type="cellIs" dxfId="3" priority="7" operator="notEqual">
      <formula>0</formula>
    </cfRule>
    <cfRule type="cellIs" dxfId="2" priority="8" operator="equal">
      <formula>0</formula>
    </cfRule>
  </conditionalFormatting>
  <conditionalFormatting sqref="Z44:Z47">
    <cfRule type="cellIs" dxfId="1" priority="5" operator="notEqual">
      <formula>0</formula>
    </cfRule>
    <cfRule type="cellIs" dxfId="0" priority="6" operator="equal">
      <formula>0</formula>
    </cfRule>
  </conditionalFormatting>
  <printOptions horizontalCentered="1"/>
  <pageMargins left="0.25" right="0.25" top="0.75" bottom="0.75" header="0.3" footer="0.3"/>
  <pageSetup scale="41" orientation="landscape" r:id="rId1"/>
  <headerFooter>
    <oddFooter>&amp;RExhibit  JW-2
Page &amp;P of &amp;N</oddFooter>
  </headerFooter>
  <ignoredErrors>
    <ignoredError sqref="V31:X37 C38:F38 V38:X38 V39:X43 C39:N43 H38:M38 C31:N37 P39:S43 P38:S38 P31:S37"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F22EA-24A3-4C49-9BE2-932F9788DC07}">
  <sheetPr>
    <pageSetUpPr fitToPage="1"/>
  </sheetPr>
  <dimension ref="A1:O34"/>
  <sheetViews>
    <sheetView view="pageBreakPreview" zoomScaleNormal="75" zoomScaleSheetLayoutView="100" workbookViewId="0">
      <selection activeCell="K25" sqref="K25"/>
    </sheetView>
  </sheetViews>
  <sheetFormatPr defaultColWidth="9.140625" defaultRowHeight="12.75"/>
  <cols>
    <col min="1" max="1" width="5.85546875" style="10" customWidth="1"/>
    <col min="2" max="2" width="2.28515625" style="10" customWidth="1"/>
    <col min="3" max="3" width="11.7109375" style="10" customWidth="1"/>
    <col min="4" max="4" width="10.85546875" style="10" customWidth="1"/>
    <col min="5" max="5" width="5.85546875" style="10" customWidth="1"/>
    <col min="6" max="6" width="15.28515625" style="10" customWidth="1"/>
    <col min="7" max="7" width="3.28515625" style="10" customWidth="1"/>
    <col min="8" max="8" width="15.7109375" style="10" customWidth="1"/>
    <col min="9" max="9" width="9.85546875" style="10" bestFit="1" customWidth="1"/>
    <col min="10" max="16384" width="9.140625" style="10"/>
  </cols>
  <sheetData>
    <row r="1" spans="1:15">
      <c r="G1" s="5"/>
      <c r="H1" s="5" t="s">
        <v>27</v>
      </c>
    </row>
    <row r="2" spans="1:15" ht="20.25" customHeight="1">
      <c r="G2" s="5"/>
      <c r="H2" s="5"/>
    </row>
    <row r="3" spans="1:15">
      <c r="G3" s="5"/>
      <c r="H3" s="5"/>
    </row>
    <row r="4" spans="1:15">
      <c r="A4" s="447" t="str">
        <f>RevReq!A1</f>
        <v>SOUTH KENTUCKY R.E.C.C.</v>
      </c>
      <c r="B4" s="447"/>
      <c r="C4" s="447"/>
      <c r="D4" s="447"/>
      <c r="E4" s="447"/>
      <c r="F4" s="447"/>
      <c r="G4" s="447"/>
      <c r="H4" s="447"/>
      <c r="J4" s="7"/>
      <c r="K4" s="7"/>
      <c r="L4" s="7"/>
      <c r="M4" s="7"/>
      <c r="N4" s="7"/>
      <c r="O4" s="7"/>
    </row>
    <row r="5" spans="1:15">
      <c r="A5" s="447" t="str">
        <f>RevReq!A3</f>
        <v>For the 12 Months Ended May 2024</v>
      </c>
      <c r="B5" s="447"/>
      <c r="C5" s="447"/>
      <c r="D5" s="447"/>
      <c r="E5" s="447"/>
      <c r="F5" s="447"/>
      <c r="G5" s="447"/>
      <c r="H5" s="447"/>
    </row>
    <row r="7" spans="1:15" s="6" customFormat="1" ht="15" customHeight="1">
      <c r="A7" s="448" t="s">
        <v>113</v>
      </c>
      <c r="B7" s="448"/>
      <c r="C7" s="448"/>
      <c r="D7" s="448"/>
      <c r="E7" s="448"/>
      <c r="F7" s="448"/>
      <c r="G7" s="448"/>
      <c r="H7" s="448"/>
    </row>
    <row r="9" spans="1:15">
      <c r="A9" s="9" t="s">
        <v>0</v>
      </c>
      <c r="C9" s="9" t="s">
        <v>16</v>
      </c>
      <c r="D9" s="9" t="s">
        <v>17</v>
      </c>
      <c r="E9" s="9"/>
      <c r="F9" s="9" t="s">
        <v>23</v>
      </c>
      <c r="G9" s="9"/>
      <c r="H9" s="9" t="s">
        <v>24</v>
      </c>
    </row>
    <row r="10" spans="1:15">
      <c r="A10" s="11" t="s">
        <v>21</v>
      </c>
      <c r="C10" s="12" t="s">
        <v>18</v>
      </c>
      <c r="D10" s="12" t="s">
        <v>20</v>
      </c>
      <c r="E10" s="9"/>
      <c r="F10" s="12" t="s">
        <v>19</v>
      </c>
      <c r="G10" s="12"/>
      <c r="H10" s="12" t="s">
        <v>25</v>
      </c>
    </row>
    <row r="11" spans="1:15">
      <c r="A11" s="9"/>
    </row>
    <row r="12" spans="1:15">
      <c r="A12" s="9"/>
    </row>
    <row r="13" spans="1:15">
      <c r="A13" s="9">
        <v>1</v>
      </c>
      <c r="C13" s="9">
        <v>2024</v>
      </c>
      <c r="D13" s="1" t="s">
        <v>6</v>
      </c>
      <c r="E13" s="13"/>
      <c r="F13" s="13">
        <v>1047764</v>
      </c>
      <c r="G13" s="13"/>
      <c r="H13" s="13">
        <v>1459952</v>
      </c>
      <c r="K13" s="24"/>
    </row>
    <row r="14" spans="1:15">
      <c r="A14" s="9">
        <v>2</v>
      </c>
      <c r="C14" s="9">
        <f>C13</f>
        <v>2024</v>
      </c>
      <c r="D14" s="1" t="s">
        <v>7</v>
      </c>
      <c r="E14" s="13"/>
      <c r="F14" s="13">
        <v>523287</v>
      </c>
      <c r="G14" s="13"/>
      <c r="H14" s="13">
        <v>1692954</v>
      </c>
      <c r="K14" s="24"/>
    </row>
    <row r="15" spans="1:15">
      <c r="A15" s="9">
        <v>3</v>
      </c>
      <c r="C15" s="9">
        <f t="shared" ref="C15:C24" si="0">C14</f>
        <v>2024</v>
      </c>
      <c r="D15" s="1" t="s">
        <v>8</v>
      </c>
      <c r="E15" s="13"/>
      <c r="F15" s="13">
        <v>755650</v>
      </c>
      <c r="G15" s="13"/>
      <c r="H15" s="13">
        <v>1077099</v>
      </c>
      <c r="K15" s="24"/>
    </row>
    <row r="16" spans="1:15">
      <c r="A16" s="9">
        <v>4</v>
      </c>
      <c r="C16" s="9">
        <f t="shared" si="0"/>
        <v>2024</v>
      </c>
      <c r="D16" s="1" t="s">
        <v>9</v>
      </c>
      <c r="E16" s="13"/>
      <c r="F16" s="13">
        <v>1375045</v>
      </c>
      <c r="G16" s="13"/>
      <c r="H16" s="13">
        <v>213924</v>
      </c>
      <c r="K16" s="24"/>
    </row>
    <row r="17" spans="1:11">
      <c r="A17" s="9">
        <v>5</v>
      </c>
      <c r="C17" s="217">
        <f t="shared" si="0"/>
        <v>2024</v>
      </c>
      <c r="D17" s="134" t="s">
        <v>10</v>
      </c>
      <c r="E17" s="13"/>
      <c r="F17" s="13">
        <v>1227108</v>
      </c>
      <c r="G17" s="13"/>
      <c r="H17" s="13">
        <v>768552</v>
      </c>
      <c r="K17" s="24"/>
    </row>
    <row r="18" spans="1:11">
      <c r="A18" s="9">
        <v>6</v>
      </c>
      <c r="C18" s="9">
        <v>2023</v>
      </c>
      <c r="D18" s="1" t="s">
        <v>11</v>
      </c>
      <c r="E18" s="13"/>
      <c r="F18" s="13">
        <v>935662</v>
      </c>
      <c r="G18" s="13"/>
      <c r="H18" s="13">
        <v>426371</v>
      </c>
      <c r="K18" s="24"/>
    </row>
    <row r="19" spans="1:11">
      <c r="A19" s="9">
        <v>7</v>
      </c>
      <c r="C19" s="9">
        <f t="shared" si="0"/>
        <v>2023</v>
      </c>
      <c r="D19" s="1" t="s">
        <v>12</v>
      </c>
      <c r="E19" s="13"/>
      <c r="F19" s="13">
        <v>1535851</v>
      </c>
      <c r="G19" s="13"/>
      <c r="H19" s="13">
        <v>783838</v>
      </c>
      <c r="K19" s="24"/>
    </row>
    <row r="20" spans="1:11">
      <c r="A20" s="9">
        <v>8</v>
      </c>
      <c r="C20" s="9">
        <f t="shared" si="0"/>
        <v>2023</v>
      </c>
      <c r="D20" s="1" t="s">
        <v>13</v>
      </c>
      <c r="E20" s="13"/>
      <c r="F20" s="13">
        <v>418024</v>
      </c>
      <c r="G20" s="13"/>
      <c r="H20" s="13">
        <v>1233070</v>
      </c>
      <c r="K20" s="24"/>
    </row>
    <row r="21" spans="1:11">
      <c r="A21" s="9">
        <v>9</v>
      </c>
      <c r="C21" s="9">
        <f t="shared" si="0"/>
        <v>2023</v>
      </c>
      <c r="D21" s="1" t="s">
        <v>2</v>
      </c>
      <c r="E21" s="13"/>
      <c r="F21" s="13">
        <v>551481</v>
      </c>
      <c r="G21" s="13"/>
      <c r="H21" s="13">
        <v>945281</v>
      </c>
      <c r="K21" s="24"/>
    </row>
    <row r="22" spans="1:11">
      <c r="A22" s="9">
        <v>10</v>
      </c>
      <c r="C22" s="9">
        <f t="shared" si="0"/>
        <v>2023</v>
      </c>
      <c r="D22" s="1" t="s">
        <v>3</v>
      </c>
      <c r="E22" s="13"/>
      <c r="F22" s="13">
        <v>906615</v>
      </c>
      <c r="G22" s="13"/>
      <c r="H22" s="13">
        <v>985847</v>
      </c>
      <c r="K22" s="24"/>
    </row>
    <row r="23" spans="1:11">
      <c r="A23" s="9">
        <v>11</v>
      </c>
      <c r="C23" s="9">
        <f t="shared" si="0"/>
        <v>2023</v>
      </c>
      <c r="D23" s="1" t="s">
        <v>4</v>
      </c>
      <c r="E23" s="13"/>
      <c r="F23" s="13">
        <v>1014198</v>
      </c>
      <c r="G23" s="13"/>
      <c r="H23" s="13">
        <v>855148</v>
      </c>
      <c r="K23" s="24"/>
    </row>
    <row r="24" spans="1:11">
      <c r="A24" s="9">
        <v>12</v>
      </c>
      <c r="C24" s="9">
        <f t="shared" si="0"/>
        <v>2023</v>
      </c>
      <c r="D24" s="1" t="s">
        <v>5</v>
      </c>
      <c r="E24" s="13"/>
      <c r="F24" s="13">
        <v>1583387</v>
      </c>
      <c r="G24" s="13"/>
      <c r="H24" s="13">
        <v>799426</v>
      </c>
      <c r="K24" s="24"/>
    </row>
    <row r="25" spans="1:11">
      <c r="A25" s="9">
        <v>13</v>
      </c>
      <c r="C25" s="15"/>
      <c r="D25" s="4" t="s">
        <v>14</v>
      </c>
      <c r="E25" s="16"/>
      <c r="F25" s="16">
        <f>SUM(F13:F24)</f>
        <v>11874072</v>
      </c>
      <c r="G25" s="16"/>
      <c r="H25" s="16">
        <f>SUM(H13:H24)</f>
        <v>11241462</v>
      </c>
      <c r="K25" s="24"/>
    </row>
    <row r="26" spans="1:11">
      <c r="A26" s="9">
        <v>14</v>
      </c>
      <c r="D26" s="2"/>
      <c r="E26" s="17"/>
      <c r="F26" s="17"/>
      <c r="G26" s="17"/>
    </row>
    <row r="27" spans="1:11">
      <c r="A27" s="9">
        <v>15</v>
      </c>
      <c r="C27" s="10" t="s">
        <v>36</v>
      </c>
      <c r="D27" s="2"/>
      <c r="E27" s="17"/>
      <c r="F27" s="18">
        <f>F25</f>
        <v>11874072</v>
      </c>
      <c r="G27" s="18"/>
      <c r="H27" s="18">
        <f>H25</f>
        <v>11241462</v>
      </c>
    </row>
    <row r="28" spans="1:11">
      <c r="A28" s="9">
        <v>16</v>
      </c>
      <c r="D28" s="2"/>
      <c r="E28" s="17"/>
      <c r="F28" s="17"/>
      <c r="G28" s="17"/>
    </row>
    <row r="29" spans="1:11">
      <c r="A29" s="9">
        <v>17</v>
      </c>
      <c r="C29" s="10" t="s">
        <v>37</v>
      </c>
      <c r="E29" s="13"/>
      <c r="F29" s="13">
        <v>0</v>
      </c>
      <c r="G29" s="13"/>
      <c r="H29" s="13">
        <v>0</v>
      </c>
    </row>
    <row r="30" spans="1:11">
      <c r="A30" s="9">
        <v>18</v>
      </c>
    </row>
    <row r="31" spans="1:11" ht="13.5" thickBot="1">
      <c r="A31" s="9">
        <v>19</v>
      </c>
      <c r="C31" s="19" t="s">
        <v>15</v>
      </c>
      <c r="D31" s="19"/>
      <c r="E31" s="20"/>
      <c r="F31" s="21">
        <f>ROUND(F29-F27,2)</f>
        <v>-11874072</v>
      </c>
      <c r="G31" s="20"/>
      <c r="H31" s="21">
        <f>ROUND(H29-H27,2)</f>
        <v>-11241462</v>
      </c>
      <c r="I31" s="24"/>
    </row>
    <row r="32" spans="1:11" ht="13.5" thickTop="1"/>
    <row r="34" spans="3:8" ht="30" customHeight="1">
      <c r="C34" s="449" t="s">
        <v>38</v>
      </c>
      <c r="D34" s="449"/>
      <c r="E34" s="449"/>
      <c r="F34" s="449"/>
      <c r="G34" s="449"/>
      <c r="H34" s="449"/>
    </row>
  </sheetData>
  <mergeCells count="4">
    <mergeCell ref="A4:H4"/>
    <mergeCell ref="A5:H5"/>
    <mergeCell ref="A7:H7"/>
    <mergeCell ref="C34:H34"/>
  </mergeCells>
  <printOptions horizontalCentered="1"/>
  <pageMargins left="1" right="0.75" top="0.75" bottom="0.5" header="0.5" footer="0.5"/>
  <pageSetup orientation="portrait" r:id="rId1"/>
  <headerFooter alignWithMargins="0">
    <oddFooter>&amp;RExhibit  JW-2
Page &amp;P of &amp;N</oddFooter>
  </headerFooter>
  <ignoredErrors>
    <ignoredError sqref="C10:H1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470B2-86C0-4CC9-B86E-9899004144AB}">
  <sheetPr>
    <pageSetUpPr fitToPage="1"/>
  </sheetPr>
  <dimension ref="A1:H34"/>
  <sheetViews>
    <sheetView view="pageBreakPreview" zoomScaleNormal="75" zoomScaleSheetLayoutView="100" workbookViewId="0">
      <selection activeCell="J16" sqref="J16"/>
    </sheetView>
  </sheetViews>
  <sheetFormatPr defaultColWidth="9.140625" defaultRowHeight="12.75"/>
  <cols>
    <col min="1" max="1" width="5.85546875" style="10" customWidth="1"/>
    <col min="2" max="2" width="2.28515625" style="10" customWidth="1"/>
    <col min="3" max="3" width="11.7109375" style="10" customWidth="1"/>
    <col min="4" max="4" width="10.85546875" style="10" customWidth="1"/>
    <col min="5" max="5" width="5.85546875" style="10" customWidth="1"/>
    <col min="6" max="6" width="15.28515625" style="10" customWidth="1"/>
    <col min="7" max="7" width="3.28515625" style="10" customWidth="1"/>
    <col min="8" max="8" width="14.42578125" style="10" customWidth="1"/>
    <col min="9" max="9" width="9.140625" style="10"/>
    <col min="10" max="10" width="12.28515625" style="10" bestFit="1" customWidth="1"/>
    <col min="11" max="16384" width="9.140625" style="10"/>
  </cols>
  <sheetData>
    <row r="1" spans="1:8">
      <c r="G1" s="5"/>
      <c r="H1" s="5" t="s">
        <v>26</v>
      </c>
    </row>
    <row r="2" spans="1:8" ht="20.25" customHeight="1">
      <c r="G2" s="5"/>
      <c r="H2" s="5"/>
    </row>
    <row r="3" spans="1:8">
      <c r="G3" s="5"/>
      <c r="H3" s="5"/>
    </row>
    <row r="4" spans="1:8">
      <c r="A4" s="447" t="str">
        <f>RevReq!A1</f>
        <v>SOUTH KENTUCKY R.E.C.C.</v>
      </c>
      <c r="B4" s="447"/>
      <c r="C4" s="447"/>
      <c r="D4" s="447"/>
      <c r="E4" s="447"/>
      <c r="F4" s="447"/>
      <c r="G4" s="447"/>
      <c r="H4" s="447"/>
    </row>
    <row r="5" spans="1:8">
      <c r="A5" s="447" t="str">
        <f>RevReq!A3</f>
        <v>For the 12 Months Ended May 2024</v>
      </c>
      <c r="B5" s="447"/>
      <c r="C5" s="447"/>
      <c r="D5" s="447"/>
      <c r="E5" s="447"/>
      <c r="F5" s="447"/>
      <c r="G5" s="447"/>
      <c r="H5" s="447"/>
    </row>
    <row r="7" spans="1:8" s="6" customFormat="1" ht="15" customHeight="1">
      <c r="A7" s="448" t="s">
        <v>112</v>
      </c>
      <c r="B7" s="448"/>
      <c r="C7" s="448"/>
      <c r="D7" s="448"/>
      <c r="E7" s="448"/>
      <c r="F7" s="448"/>
      <c r="G7" s="448"/>
      <c r="H7" s="448"/>
    </row>
    <row r="9" spans="1:8">
      <c r="A9" s="9" t="s">
        <v>0</v>
      </c>
      <c r="C9" s="9" t="s">
        <v>16</v>
      </c>
      <c r="D9" s="9" t="s">
        <v>17</v>
      </c>
      <c r="E9" s="9"/>
      <c r="F9" s="9" t="s">
        <v>23</v>
      </c>
      <c r="G9" s="9"/>
      <c r="H9" s="9" t="s">
        <v>24</v>
      </c>
    </row>
    <row r="10" spans="1:8">
      <c r="A10" s="11" t="s">
        <v>21</v>
      </c>
      <c r="C10" s="12" t="s">
        <v>18</v>
      </c>
      <c r="D10" s="12" t="s">
        <v>20</v>
      </c>
      <c r="E10" s="9"/>
      <c r="F10" s="12" t="s">
        <v>19</v>
      </c>
      <c r="G10" s="12"/>
      <c r="H10" s="12" t="s">
        <v>25</v>
      </c>
    </row>
    <row r="11" spans="1:8">
      <c r="A11" s="9"/>
    </row>
    <row r="12" spans="1:8">
      <c r="A12" s="9"/>
      <c r="F12" s="109"/>
    </row>
    <row r="13" spans="1:8">
      <c r="A13" s="9">
        <v>1</v>
      </c>
      <c r="C13" s="9">
        <v>2024</v>
      </c>
      <c r="D13" s="1" t="s">
        <v>6</v>
      </c>
      <c r="E13" s="13"/>
      <c r="F13" s="13">
        <v>1795498</v>
      </c>
      <c r="G13" s="13"/>
      <c r="H13" s="13">
        <v>2060911</v>
      </c>
    </row>
    <row r="14" spans="1:8">
      <c r="A14" s="9">
        <v>2</v>
      </c>
      <c r="C14" s="9">
        <f>C13</f>
        <v>2024</v>
      </c>
      <c r="D14" s="1" t="s">
        <v>7</v>
      </c>
      <c r="E14" s="13"/>
      <c r="F14" s="13">
        <v>1572656</v>
      </c>
      <c r="G14" s="13"/>
      <c r="H14" s="13">
        <v>1402458</v>
      </c>
    </row>
    <row r="15" spans="1:8">
      <c r="A15" s="9">
        <v>3</v>
      </c>
      <c r="C15" s="9">
        <f t="shared" ref="C15:C24" si="0">C14</f>
        <v>2024</v>
      </c>
      <c r="D15" s="1" t="s">
        <v>8</v>
      </c>
      <c r="E15" s="13"/>
      <c r="F15" s="13">
        <v>1171886</v>
      </c>
      <c r="G15" s="13"/>
      <c r="H15" s="13">
        <v>816532</v>
      </c>
    </row>
    <row r="16" spans="1:8">
      <c r="A16" s="9">
        <v>4</v>
      </c>
      <c r="C16" s="9">
        <f t="shared" si="0"/>
        <v>2024</v>
      </c>
      <c r="D16" s="1" t="s">
        <v>9</v>
      </c>
      <c r="E16" s="13"/>
      <c r="F16" s="13">
        <v>822408</v>
      </c>
      <c r="G16" s="13"/>
      <c r="H16" s="13">
        <v>832802</v>
      </c>
    </row>
    <row r="17" spans="1:8">
      <c r="A17" s="9">
        <v>5</v>
      </c>
      <c r="C17" s="217">
        <f t="shared" si="0"/>
        <v>2024</v>
      </c>
      <c r="D17" s="134" t="s">
        <v>10</v>
      </c>
      <c r="E17" s="13"/>
      <c r="F17" s="13">
        <v>1104882</v>
      </c>
      <c r="G17" s="13"/>
      <c r="H17" s="13">
        <v>1130702</v>
      </c>
    </row>
    <row r="18" spans="1:8">
      <c r="A18" s="9">
        <v>6</v>
      </c>
      <c r="C18" s="9">
        <v>2023</v>
      </c>
      <c r="D18" s="1" t="s">
        <v>11</v>
      </c>
      <c r="E18" s="13"/>
      <c r="F18" s="13">
        <v>1136314</v>
      </c>
      <c r="G18" s="13"/>
      <c r="H18" s="13">
        <v>1170831</v>
      </c>
    </row>
    <row r="19" spans="1:8">
      <c r="A19" s="9">
        <v>7</v>
      </c>
      <c r="C19" s="9">
        <f t="shared" si="0"/>
        <v>2023</v>
      </c>
      <c r="D19" s="1" t="s">
        <v>12</v>
      </c>
      <c r="E19" s="13"/>
      <c r="F19" s="13">
        <v>1523757</v>
      </c>
      <c r="G19" s="13"/>
      <c r="H19" s="13">
        <v>1548373</v>
      </c>
    </row>
    <row r="20" spans="1:8">
      <c r="A20" s="9">
        <v>8</v>
      </c>
      <c r="C20" s="9">
        <f t="shared" si="0"/>
        <v>2023</v>
      </c>
      <c r="D20" s="1" t="s">
        <v>13</v>
      </c>
      <c r="E20" s="13"/>
      <c r="F20" s="13">
        <v>1530214</v>
      </c>
      <c r="G20" s="13"/>
      <c r="H20" s="13">
        <v>1597519</v>
      </c>
    </row>
    <row r="21" spans="1:8">
      <c r="A21" s="9">
        <v>9</v>
      </c>
      <c r="C21" s="9">
        <f t="shared" si="0"/>
        <v>2023</v>
      </c>
      <c r="D21" s="1" t="s">
        <v>2</v>
      </c>
      <c r="E21" s="13"/>
      <c r="F21" s="13">
        <v>1453232</v>
      </c>
      <c r="G21" s="13"/>
      <c r="H21" s="13">
        <v>1042433</v>
      </c>
    </row>
    <row r="22" spans="1:8">
      <c r="A22" s="9">
        <v>10</v>
      </c>
      <c r="C22" s="9">
        <f t="shared" si="0"/>
        <v>2023</v>
      </c>
      <c r="D22" s="1" t="s">
        <v>3</v>
      </c>
      <c r="E22" s="13"/>
      <c r="F22" s="13">
        <v>1004824</v>
      </c>
      <c r="G22" s="13"/>
      <c r="H22" s="13">
        <v>959036</v>
      </c>
    </row>
    <row r="23" spans="1:8">
      <c r="A23" s="9">
        <v>11</v>
      </c>
      <c r="C23" s="9">
        <f t="shared" si="0"/>
        <v>2023</v>
      </c>
      <c r="D23" s="1" t="s">
        <v>4</v>
      </c>
      <c r="E23" s="13"/>
      <c r="F23" s="13">
        <v>1051350</v>
      </c>
      <c r="G23" s="13"/>
      <c r="H23" s="13">
        <v>1383341</v>
      </c>
    </row>
    <row r="24" spans="1:8">
      <c r="A24" s="9">
        <v>12</v>
      </c>
      <c r="C24" s="9">
        <f t="shared" si="0"/>
        <v>2023</v>
      </c>
      <c r="D24" s="1" t="s">
        <v>5</v>
      </c>
      <c r="E24" s="13"/>
      <c r="F24" s="13">
        <v>1506473</v>
      </c>
      <c r="G24" s="13"/>
      <c r="H24" s="13">
        <v>1563905</v>
      </c>
    </row>
    <row r="25" spans="1:8">
      <c r="A25" s="9">
        <v>13</v>
      </c>
      <c r="C25" s="15"/>
      <c r="D25" s="4" t="s">
        <v>14</v>
      </c>
      <c r="E25" s="16"/>
      <c r="F25" s="16">
        <f>SUM(F13:F24)</f>
        <v>15673494</v>
      </c>
      <c r="G25" s="16"/>
      <c r="H25" s="16">
        <f>SUM(H13:H24)</f>
        <v>15508843</v>
      </c>
    </row>
    <row r="26" spans="1:8">
      <c r="A26" s="9">
        <v>14</v>
      </c>
      <c r="D26" s="2"/>
      <c r="E26" s="17"/>
      <c r="F26" s="17"/>
      <c r="G26" s="17"/>
    </row>
    <row r="27" spans="1:8">
      <c r="A27" s="9">
        <v>15</v>
      </c>
      <c r="C27" s="10" t="s">
        <v>36</v>
      </c>
      <c r="D27" s="2"/>
      <c r="E27" s="17"/>
      <c r="F27" s="18">
        <f>F25</f>
        <v>15673494</v>
      </c>
      <c r="G27" s="18"/>
      <c r="H27" s="18">
        <f>H25</f>
        <v>15508843</v>
      </c>
    </row>
    <row r="28" spans="1:8">
      <c r="A28" s="9">
        <v>16</v>
      </c>
      <c r="D28" s="2"/>
      <c r="E28" s="17"/>
      <c r="F28" s="18"/>
      <c r="G28" s="18"/>
    </row>
    <row r="29" spans="1:8">
      <c r="A29" s="9">
        <v>17</v>
      </c>
      <c r="C29" s="10" t="s">
        <v>37</v>
      </c>
      <c r="E29" s="13"/>
      <c r="F29" s="13">
        <v>0</v>
      </c>
      <c r="G29" s="13"/>
      <c r="H29" s="13">
        <v>0</v>
      </c>
    </row>
    <row r="30" spans="1:8">
      <c r="A30" s="9">
        <v>18</v>
      </c>
    </row>
    <row r="31" spans="1:8" ht="13.5" thickBot="1">
      <c r="A31" s="9">
        <v>19</v>
      </c>
      <c r="C31" s="19" t="s">
        <v>15</v>
      </c>
      <c r="D31" s="19"/>
      <c r="E31" s="20"/>
      <c r="F31" s="21">
        <f>ROUND(F29-F27,2)</f>
        <v>-15673494</v>
      </c>
      <c r="G31" s="20"/>
      <c r="H31" s="21">
        <f>ROUND(H29-H27,2)</f>
        <v>-15508843</v>
      </c>
    </row>
    <row r="32" spans="1:8" ht="13.5" thickTop="1"/>
    <row r="34" spans="3:8" ht="29.25" customHeight="1">
      <c r="C34" s="449" t="s">
        <v>39</v>
      </c>
      <c r="D34" s="449"/>
      <c r="E34" s="449"/>
      <c r="F34" s="449"/>
      <c r="G34" s="449"/>
      <c r="H34" s="449"/>
    </row>
  </sheetData>
  <mergeCells count="4">
    <mergeCell ref="A4:H4"/>
    <mergeCell ref="A5:H5"/>
    <mergeCell ref="A7:H7"/>
    <mergeCell ref="C34:H34"/>
  </mergeCells>
  <printOptions horizontalCentered="1"/>
  <pageMargins left="1" right="0.75" top="0.75" bottom="0.5" header="0.5" footer="0.5"/>
  <pageSetup orientation="portrait" r:id="rId1"/>
  <headerFooter alignWithMargins="0">
    <oddFooter>&amp;RExhibit  JW-2
Page &amp;P of &amp;N]</oddFooter>
  </headerFooter>
  <ignoredErrors>
    <ignoredError sqref="C10:H1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52E26-8012-4A42-9F0E-0947DE784BE1}">
  <sheetPr>
    <pageSetUpPr fitToPage="1"/>
  </sheetPr>
  <dimension ref="A1:P30"/>
  <sheetViews>
    <sheetView view="pageBreakPreview" zoomScaleNormal="75" zoomScaleSheetLayoutView="100" workbookViewId="0">
      <selection activeCell="K19" sqref="K19"/>
    </sheetView>
  </sheetViews>
  <sheetFormatPr defaultColWidth="9.140625" defaultRowHeight="12.75"/>
  <cols>
    <col min="1" max="1" width="5.85546875" style="10" customWidth="1"/>
    <col min="2" max="2" width="2.28515625" style="10" customWidth="1"/>
    <col min="3" max="3" width="37.7109375" style="10" bestFit="1" customWidth="1"/>
    <col min="4" max="4" width="2.42578125" style="10" customWidth="1"/>
    <col min="5" max="6" width="15.7109375" style="10" customWidth="1"/>
    <col min="7" max="9" width="9.140625" style="10"/>
    <col min="10" max="11" width="10.42578125" style="10" bestFit="1" customWidth="1"/>
    <col min="12" max="12" width="9.42578125" style="10" bestFit="1" customWidth="1"/>
    <col min="13" max="13" width="10.42578125" style="10" bestFit="1" customWidth="1"/>
    <col min="14" max="14" width="9.140625" style="10"/>
    <col min="15" max="15" width="10.42578125" style="10" bestFit="1" customWidth="1"/>
    <col min="16" max="16384" width="9.140625" style="10"/>
  </cols>
  <sheetData>
    <row r="1" spans="1:16">
      <c r="E1" s="5"/>
      <c r="F1" s="5" t="s">
        <v>369</v>
      </c>
    </row>
    <row r="2" spans="1:16" ht="20.25" customHeight="1">
      <c r="E2" s="5"/>
      <c r="F2" s="5"/>
    </row>
    <row r="3" spans="1:16">
      <c r="A3" s="447" t="str">
        <f>RevReq!A1</f>
        <v>SOUTH KENTUCKY R.E.C.C.</v>
      </c>
      <c r="B3" s="447"/>
      <c r="C3" s="447"/>
      <c r="D3" s="447"/>
      <c r="E3" s="447"/>
      <c r="F3" s="447"/>
    </row>
    <row r="4" spans="1:16">
      <c r="A4" s="447" t="str">
        <f>RevReq!A3</f>
        <v>For the 12 Months Ended May 2024</v>
      </c>
      <c r="B4" s="447"/>
      <c r="C4" s="447"/>
      <c r="D4" s="447"/>
      <c r="E4" s="447"/>
      <c r="F4" s="447"/>
    </row>
    <row r="6" spans="1:16" s="6" customFormat="1" ht="15" customHeight="1">
      <c r="A6" s="448" t="s">
        <v>30</v>
      </c>
      <c r="B6" s="448"/>
      <c r="C6" s="448"/>
      <c r="D6" s="448"/>
      <c r="E6" s="448"/>
      <c r="F6" s="448"/>
      <c r="J6" s="10"/>
      <c r="K6" s="10"/>
      <c r="L6" s="10"/>
      <c r="M6" s="10"/>
      <c r="N6" s="10"/>
      <c r="O6" s="10"/>
      <c r="P6" s="10"/>
    </row>
    <row r="8" spans="1:16">
      <c r="A8" s="9" t="s">
        <v>0</v>
      </c>
      <c r="C8" s="9" t="s">
        <v>40</v>
      </c>
      <c r="D8" s="9"/>
      <c r="E8" s="9" t="s">
        <v>267</v>
      </c>
    </row>
    <row r="9" spans="1:16">
      <c r="A9" s="11" t="s">
        <v>21</v>
      </c>
      <c r="C9" s="12" t="s">
        <v>18</v>
      </c>
      <c r="D9" s="12"/>
      <c r="E9" s="12" t="s">
        <v>20</v>
      </c>
    </row>
    <row r="10" spans="1:16">
      <c r="A10" s="9"/>
    </row>
    <row r="11" spans="1:16">
      <c r="A11" s="9">
        <v>1</v>
      </c>
      <c r="C11" s="14" t="s">
        <v>381</v>
      </c>
      <c r="E11" s="165">
        <v>115000</v>
      </c>
    </row>
    <row r="12" spans="1:16">
      <c r="A12" s="9">
        <f>A11+1</f>
        <v>2</v>
      </c>
      <c r="C12" s="14" t="s">
        <v>106</v>
      </c>
      <c r="E12" s="165">
        <v>45000</v>
      </c>
    </row>
    <row r="13" spans="1:16">
      <c r="A13" s="9">
        <f>A12+1</f>
        <v>3</v>
      </c>
      <c r="C13" s="14" t="s">
        <v>296</v>
      </c>
      <c r="E13" s="165">
        <v>0</v>
      </c>
    </row>
    <row r="14" spans="1:16">
      <c r="A14" s="9">
        <f>A13+1</f>
        <v>4</v>
      </c>
      <c r="C14" s="14" t="s">
        <v>357</v>
      </c>
      <c r="D14" s="1"/>
      <c r="E14" s="165">
        <v>0</v>
      </c>
    </row>
    <row r="15" spans="1:16">
      <c r="A15" s="9">
        <f t="shared" ref="A15:A26" si="0">A14+1</f>
        <v>5</v>
      </c>
      <c r="C15" s="14" t="s">
        <v>358</v>
      </c>
      <c r="D15" s="1"/>
      <c r="E15" s="165">
        <v>0</v>
      </c>
    </row>
    <row r="16" spans="1:16">
      <c r="A16" s="9">
        <f>A15+1</f>
        <v>6</v>
      </c>
      <c r="C16" s="15" t="s">
        <v>22</v>
      </c>
      <c r="D16" s="4"/>
      <c r="E16" s="246">
        <f>SUM(E11:E15)</f>
        <v>160000</v>
      </c>
    </row>
    <row r="17" spans="1:6">
      <c r="A17" s="9">
        <f t="shared" si="0"/>
        <v>7</v>
      </c>
      <c r="D17" s="2"/>
      <c r="E17" s="2"/>
    </row>
    <row r="18" spans="1:6">
      <c r="A18" s="9">
        <f t="shared" si="0"/>
        <v>8</v>
      </c>
      <c r="C18" s="10" t="s">
        <v>41</v>
      </c>
      <c r="D18" s="2"/>
      <c r="E18" s="108">
        <f>E16</f>
        <v>160000</v>
      </c>
    </row>
    <row r="19" spans="1:6">
      <c r="A19" s="9">
        <f t="shared" si="0"/>
        <v>9</v>
      </c>
      <c r="C19" s="10" t="s">
        <v>42</v>
      </c>
      <c r="D19" s="2"/>
      <c r="E19" s="108">
        <v>3</v>
      </c>
    </row>
    <row r="20" spans="1:6">
      <c r="A20" s="9">
        <f t="shared" si="0"/>
        <v>10</v>
      </c>
      <c r="C20" s="10" t="s">
        <v>44</v>
      </c>
      <c r="D20" s="2"/>
      <c r="E20" s="108">
        <f>E18/E19</f>
        <v>53333.333333333336</v>
      </c>
    </row>
    <row r="21" spans="1:6">
      <c r="A21" s="9">
        <f t="shared" si="0"/>
        <v>11</v>
      </c>
      <c r="D21" s="2"/>
      <c r="E21" s="108"/>
    </row>
    <row r="22" spans="1:6">
      <c r="A22" s="9">
        <f t="shared" si="0"/>
        <v>12</v>
      </c>
      <c r="C22" s="10" t="s">
        <v>36</v>
      </c>
      <c r="D22" s="2"/>
      <c r="E22" s="108">
        <v>0</v>
      </c>
    </row>
    <row r="23" spans="1:6">
      <c r="A23" s="9">
        <f t="shared" si="0"/>
        <v>13</v>
      </c>
      <c r="D23" s="2"/>
      <c r="E23" s="2"/>
    </row>
    <row r="24" spans="1:6">
      <c r="A24" s="9">
        <f t="shared" si="0"/>
        <v>14</v>
      </c>
      <c r="C24" s="10" t="s">
        <v>37</v>
      </c>
      <c r="E24" s="13">
        <f>E20</f>
        <v>53333.333333333336</v>
      </c>
    </row>
    <row r="25" spans="1:6">
      <c r="A25" s="9">
        <f t="shared" si="0"/>
        <v>15</v>
      </c>
      <c r="C25" s="354"/>
    </row>
    <row r="26" spans="1:6" ht="13.5" thickBot="1">
      <c r="A26" s="9">
        <f t="shared" si="0"/>
        <v>16</v>
      </c>
      <c r="C26" s="19" t="s">
        <v>15</v>
      </c>
      <c r="D26" s="19"/>
      <c r="E26" s="21">
        <f>ROUND(E24-E22,2)</f>
        <v>53333.33</v>
      </c>
    </row>
    <row r="27" spans="1:6" ht="13.5" thickTop="1"/>
    <row r="29" spans="1:6" ht="30" customHeight="1">
      <c r="C29" s="449" t="s">
        <v>45</v>
      </c>
      <c r="D29" s="449"/>
      <c r="E29" s="449"/>
      <c r="F29" s="449"/>
    </row>
    <row r="30" spans="1:6">
      <c r="B30" s="266"/>
      <c r="C30" s="354"/>
    </row>
  </sheetData>
  <mergeCells count="4">
    <mergeCell ref="A3:F3"/>
    <mergeCell ref="A4:F4"/>
    <mergeCell ref="A6:F6"/>
    <mergeCell ref="C29:F29"/>
  </mergeCells>
  <printOptions horizontalCentered="1"/>
  <pageMargins left="1" right="0.75" top="0.75" bottom="0.5" header="0.5" footer="0.5"/>
  <pageSetup orientation="portrait" r:id="rId1"/>
  <headerFooter alignWithMargins="0">
    <oddFooter>&amp;RExhibit  JW-2
Page &amp;P of &amp;N</oddFooter>
  </headerFooter>
  <ignoredErrors>
    <ignoredError sqref="C9:E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4B19E-7FF9-4A80-B121-04AFB933E5F2}">
  <sheetPr>
    <pageSetUpPr fitToPage="1"/>
  </sheetPr>
  <dimension ref="A1:N60"/>
  <sheetViews>
    <sheetView view="pageBreakPreview" zoomScaleNormal="75" zoomScaleSheetLayoutView="100" workbookViewId="0">
      <selection activeCell="G53" sqref="G53:G58"/>
    </sheetView>
  </sheetViews>
  <sheetFormatPr defaultColWidth="9.140625" defaultRowHeight="12.75"/>
  <cols>
    <col min="1" max="1" width="5.85546875" style="10" customWidth="1"/>
    <col min="2" max="2" width="2.28515625" style="10" customWidth="1"/>
    <col min="3" max="3" width="13.28515625" style="10" customWidth="1"/>
    <col min="4" max="4" width="10.85546875" style="10" customWidth="1"/>
    <col min="5" max="5" width="4.140625" style="10" customWidth="1"/>
    <col min="6" max="6" width="13.5703125" style="10" customWidth="1"/>
    <col min="7" max="7" width="15.28515625" style="10" customWidth="1"/>
    <col min="8" max="8" width="12.5703125" style="10" customWidth="1"/>
    <col min="9" max="9" width="11.5703125" style="10" bestFit="1" customWidth="1"/>
    <col min="10" max="10" width="12.7109375" style="10" customWidth="1"/>
    <col min="11" max="11" width="11.7109375" style="10" customWidth="1"/>
    <col min="12" max="16384" width="9.140625" style="10"/>
  </cols>
  <sheetData>
    <row r="1" spans="1:14">
      <c r="A1" s="2"/>
      <c r="B1" s="2"/>
      <c r="D1" s="2"/>
      <c r="E1" s="2"/>
      <c r="F1" s="2"/>
      <c r="G1" s="2"/>
      <c r="H1" s="2"/>
      <c r="I1" s="2"/>
      <c r="J1" s="2"/>
      <c r="K1" s="115" t="s">
        <v>370</v>
      </c>
    </row>
    <row r="2" spans="1:14" ht="20.25" customHeight="1">
      <c r="A2" s="2"/>
      <c r="B2" s="2"/>
      <c r="D2" s="2"/>
      <c r="E2" s="2"/>
      <c r="F2" s="2"/>
      <c r="G2" s="2"/>
      <c r="H2" s="2"/>
      <c r="I2" s="2"/>
      <c r="J2" s="2"/>
      <c r="K2" s="115"/>
    </row>
    <row r="3" spans="1:14">
      <c r="A3" s="2"/>
      <c r="B3" s="2"/>
      <c r="D3" s="2"/>
      <c r="E3" s="2"/>
      <c r="F3" s="2"/>
      <c r="G3" s="115"/>
      <c r="H3" s="2"/>
      <c r="I3" s="2"/>
      <c r="J3" s="2"/>
      <c r="K3" s="2"/>
    </row>
    <row r="4" spans="1:14">
      <c r="A4" s="450" t="str">
        <f>RevReq!A1</f>
        <v>SOUTH KENTUCKY R.E.C.C.</v>
      </c>
      <c r="B4" s="450"/>
      <c r="C4" s="450"/>
      <c r="D4" s="450"/>
      <c r="E4" s="450"/>
      <c r="F4" s="450"/>
      <c r="G4" s="450"/>
      <c r="H4" s="450"/>
      <c r="I4" s="450"/>
      <c r="J4" s="450"/>
      <c r="K4" s="450"/>
    </row>
    <row r="5" spans="1:14">
      <c r="A5" s="450" t="str">
        <f>RevReq!A3</f>
        <v>For the 12 Months Ended May 2024</v>
      </c>
      <c r="B5" s="450"/>
      <c r="C5" s="450"/>
      <c r="D5" s="450"/>
      <c r="E5" s="450"/>
      <c r="F5" s="450"/>
      <c r="G5" s="450"/>
      <c r="H5" s="450"/>
      <c r="I5" s="450"/>
      <c r="J5" s="450"/>
      <c r="K5" s="450"/>
    </row>
    <row r="6" spans="1:14">
      <c r="A6" s="2"/>
      <c r="B6" s="2"/>
      <c r="D6" s="2"/>
      <c r="E6" s="2"/>
      <c r="F6" s="2"/>
      <c r="G6" s="2"/>
      <c r="H6" s="2"/>
      <c r="I6" s="2"/>
      <c r="J6" s="2"/>
      <c r="K6" s="2"/>
    </row>
    <row r="7" spans="1:14" s="6" customFormat="1" ht="15" customHeight="1">
      <c r="A7" s="448" t="s">
        <v>46</v>
      </c>
      <c r="B7" s="448"/>
      <c r="C7" s="448"/>
      <c r="D7" s="448"/>
      <c r="E7" s="448"/>
      <c r="F7" s="448"/>
      <c r="G7" s="448"/>
      <c r="H7" s="448"/>
      <c r="I7" s="448"/>
      <c r="J7" s="448"/>
      <c r="K7" s="448"/>
    </row>
    <row r="8" spans="1:14">
      <c r="A8" s="2"/>
      <c r="B8" s="2"/>
      <c r="D8" s="2"/>
      <c r="E8" s="2"/>
      <c r="F8" s="2"/>
      <c r="G8" s="2"/>
      <c r="H8" s="2"/>
      <c r="I8" s="2"/>
      <c r="J8" s="2"/>
      <c r="K8" s="2"/>
    </row>
    <row r="9" spans="1:14" ht="64.5" customHeight="1">
      <c r="A9" s="451" t="s">
        <v>0</v>
      </c>
      <c r="B9" s="2"/>
      <c r="C9" s="452" t="s">
        <v>16</v>
      </c>
      <c r="D9" s="2"/>
      <c r="E9" s="1"/>
      <c r="F9" s="35" t="s">
        <v>401</v>
      </c>
      <c r="G9" s="35" t="s">
        <v>402</v>
      </c>
      <c r="H9" s="35" t="s">
        <v>403</v>
      </c>
      <c r="I9" s="35" t="s">
        <v>404</v>
      </c>
      <c r="J9" s="35" t="s">
        <v>405</v>
      </c>
      <c r="K9" s="451" t="s">
        <v>43</v>
      </c>
      <c r="M9" s="35"/>
      <c r="N9" s="35"/>
    </row>
    <row r="10" spans="1:14">
      <c r="A10" s="451"/>
      <c r="B10" s="2"/>
      <c r="C10" s="452"/>
      <c r="D10" s="1" t="s">
        <v>17</v>
      </c>
      <c r="E10" s="1"/>
      <c r="F10" s="35" t="s">
        <v>123</v>
      </c>
      <c r="G10" s="35" t="s">
        <v>124</v>
      </c>
      <c r="H10" s="35" t="s">
        <v>406</v>
      </c>
      <c r="I10" s="35" t="s">
        <v>408</v>
      </c>
      <c r="J10" s="35" t="s">
        <v>407</v>
      </c>
      <c r="K10" s="451"/>
      <c r="M10" s="35"/>
      <c r="N10" s="35"/>
    </row>
    <row r="11" spans="1:14">
      <c r="A11" s="36" t="s">
        <v>21</v>
      </c>
      <c r="B11" s="2"/>
      <c r="C11" s="12" t="s">
        <v>18</v>
      </c>
      <c r="D11" s="247" t="s">
        <v>20</v>
      </c>
      <c r="E11" s="1"/>
      <c r="F11" s="247" t="s">
        <v>19</v>
      </c>
      <c r="G11" s="247" t="s">
        <v>25</v>
      </c>
      <c r="H11" s="247" t="s">
        <v>47</v>
      </c>
      <c r="I11" s="247" t="s">
        <v>48</v>
      </c>
      <c r="J11" s="247" t="s">
        <v>49</v>
      </c>
      <c r="K11" s="247" t="s">
        <v>50</v>
      </c>
    </row>
    <row r="12" spans="1:14">
      <c r="A12" s="1"/>
      <c r="B12" s="2"/>
      <c r="D12" s="2"/>
      <c r="E12" s="2"/>
      <c r="F12" s="2"/>
      <c r="G12" s="2"/>
      <c r="H12" s="2"/>
      <c r="I12" s="2"/>
      <c r="J12" s="2"/>
      <c r="K12" s="2"/>
    </row>
    <row r="13" spans="1:14">
      <c r="A13" s="1"/>
      <c r="B13" s="2"/>
      <c r="D13" s="2"/>
      <c r="E13" s="2"/>
      <c r="F13" s="2"/>
      <c r="G13" s="2"/>
      <c r="H13" s="2"/>
      <c r="I13" s="2"/>
      <c r="J13" s="2"/>
      <c r="K13" s="2"/>
    </row>
    <row r="14" spans="1:14">
      <c r="A14" s="1">
        <v>1</v>
      </c>
      <c r="B14" s="2"/>
      <c r="C14" s="9">
        <v>2024</v>
      </c>
      <c r="D14" s="1" t="s">
        <v>6</v>
      </c>
      <c r="E14" s="127"/>
      <c r="F14" s="22">
        <v>65156</v>
      </c>
      <c r="G14" s="22">
        <v>4810</v>
      </c>
      <c r="H14" s="22">
        <v>486</v>
      </c>
      <c r="I14" s="22">
        <v>157</v>
      </c>
      <c r="J14" s="10">
        <v>17</v>
      </c>
      <c r="K14" s="248"/>
      <c r="M14" s="94"/>
      <c r="N14" s="235"/>
    </row>
    <row r="15" spans="1:14">
      <c r="A15" s="1">
        <v>2</v>
      </c>
      <c r="B15" s="2"/>
      <c r="C15" s="9">
        <v>2024</v>
      </c>
      <c r="D15" s="1" t="s">
        <v>7</v>
      </c>
      <c r="E15" s="127"/>
      <c r="F15" s="22">
        <v>65238</v>
      </c>
      <c r="G15" s="22">
        <v>4802</v>
      </c>
      <c r="H15" s="22">
        <v>484</v>
      </c>
      <c r="I15" s="22">
        <v>157</v>
      </c>
      <c r="J15" s="10">
        <v>17</v>
      </c>
      <c r="K15" s="249"/>
      <c r="M15" s="94"/>
      <c r="N15" s="235"/>
    </row>
    <row r="16" spans="1:14">
      <c r="A16" s="1">
        <v>3</v>
      </c>
      <c r="B16" s="2"/>
      <c r="C16" s="9">
        <v>2024</v>
      </c>
      <c r="D16" s="1" t="s">
        <v>8</v>
      </c>
      <c r="E16" s="127"/>
      <c r="F16" s="22">
        <v>65337</v>
      </c>
      <c r="G16" s="22">
        <v>5032</v>
      </c>
      <c r="H16" s="22">
        <v>341</v>
      </c>
      <c r="I16" s="22">
        <v>90</v>
      </c>
      <c r="J16" s="10">
        <v>17</v>
      </c>
      <c r="K16" s="249"/>
      <c r="M16" s="94"/>
      <c r="N16" s="235"/>
    </row>
    <row r="17" spans="1:14">
      <c r="A17" s="1">
        <v>4</v>
      </c>
      <c r="B17" s="2"/>
      <c r="C17" s="9">
        <v>2024</v>
      </c>
      <c r="D17" s="1" t="s">
        <v>9</v>
      </c>
      <c r="E17" s="127"/>
      <c r="F17" s="22">
        <v>65349</v>
      </c>
      <c r="G17" s="22">
        <v>5042</v>
      </c>
      <c r="H17" s="22">
        <v>341</v>
      </c>
      <c r="I17" s="22">
        <v>89</v>
      </c>
      <c r="J17" s="10">
        <v>17</v>
      </c>
      <c r="K17" s="249"/>
      <c r="M17" s="94"/>
      <c r="N17" s="235"/>
    </row>
    <row r="18" spans="1:14">
      <c r="A18" s="1">
        <v>5</v>
      </c>
      <c r="B18" s="2"/>
      <c r="C18" s="9">
        <v>2024</v>
      </c>
      <c r="D18" s="1" t="s">
        <v>10</v>
      </c>
      <c r="E18" s="127"/>
      <c r="F18" s="22">
        <v>65479</v>
      </c>
      <c r="G18" s="22">
        <v>5047</v>
      </c>
      <c r="H18" s="22">
        <v>345</v>
      </c>
      <c r="I18" s="22">
        <v>89</v>
      </c>
      <c r="J18" s="10">
        <v>17</v>
      </c>
      <c r="K18" s="249"/>
      <c r="M18" s="94"/>
      <c r="N18" s="235"/>
    </row>
    <row r="19" spans="1:14">
      <c r="A19" s="1">
        <v>6</v>
      </c>
      <c r="B19" s="2"/>
      <c r="C19" s="9">
        <v>2023</v>
      </c>
      <c r="D19" s="1" t="s">
        <v>11</v>
      </c>
      <c r="E19" s="127"/>
      <c r="F19" s="22">
        <v>64841</v>
      </c>
      <c r="G19" s="22">
        <v>4801</v>
      </c>
      <c r="H19" s="22">
        <v>474</v>
      </c>
      <c r="I19" s="22">
        <v>160</v>
      </c>
      <c r="J19" s="10">
        <v>17</v>
      </c>
      <c r="K19" s="249"/>
      <c r="M19" s="94"/>
      <c r="N19" s="235"/>
    </row>
    <row r="20" spans="1:14">
      <c r="A20" s="1">
        <v>7</v>
      </c>
      <c r="B20" s="2"/>
      <c r="C20" s="9">
        <v>2023</v>
      </c>
      <c r="D20" s="1" t="s">
        <v>12</v>
      </c>
      <c r="E20" s="127"/>
      <c r="F20" s="22">
        <v>64922</v>
      </c>
      <c r="G20" s="22">
        <v>4827</v>
      </c>
      <c r="H20" s="22">
        <v>477</v>
      </c>
      <c r="I20" s="22">
        <v>160</v>
      </c>
      <c r="J20" s="10">
        <v>17</v>
      </c>
      <c r="K20" s="249"/>
      <c r="M20" s="94"/>
      <c r="N20" s="235"/>
    </row>
    <row r="21" spans="1:14">
      <c r="A21" s="1">
        <v>8</v>
      </c>
      <c r="B21" s="2"/>
      <c r="C21" s="9">
        <v>2023</v>
      </c>
      <c r="D21" s="1" t="s">
        <v>13</v>
      </c>
      <c r="E21" s="127"/>
      <c r="F21" s="22">
        <v>65002</v>
      </c>
      <c r="G21" s="22">
        <v>4844</v>
      </c>
      <c r="H21" s="22">
        <v>479</v>
      </c>
      <c r="I21" s="22">
        <v>160</v>
      </c>
      <c r="J21" s="10">
        <v>17</v>
      </c>
      <c r="K21" s="249"/>
      <c r="M21" s="94"/>
      <c r="N21" s="235"/>
    </row>
    <row r="22" spans="1:14">
      <c r="A22" s="1">
        <v>9</v>
      </c>
      <c r="B22" s="2"/>
      <c r="C22" s="9">
        <v>2023</v>
      </c>
      <c r="D22" s="1" t="s">
        <v>2</v>
      </c>
      <c r="E22" s="127"/>
      <c r="F22" s="22">
        <v>65067</v>
      </c>
      <c r="G22" s="22">
        <v>4843</v>
      </c>
      <c r="H22" s="22">
        <v>478</v>
      </c>
      <c r="I22" s="22">
        <v>160</v>
      </c>
      <c r="J22" s="10">
        <v>17</v>
      </c>
      <c r="K22" s="249"/>
      <c r="M22" s="94"/>
      <c r="N22" s="235"/>
    </row>
    <row r="23" spans="1:14">
      <c r="A23" s="1">
        <v>10</v>
      </c>
      <c r="B23" s="2"/>
      <c r="C23" s="9">
        <v>2023</v>
      </c>
      <c r="D23" s="1" t="s">
        <v>3</v>
      </c>
      <c r="E23" s="127"/>
      <c r="F23" s="22">
        <v>65051</v>
      </c>
      <c r="G23" s="22">
        <v>4822</v>
      </c>
      <c r="H23" s="22">
        <v>480</v>
      </c>
      <c r="I23" s="22">
        <v>160</v>
      </c>
      <c r="J23" s="10">
        <v>17</v>
      </c>
      <c r="K23" s="249"/>
      <c r="M23" s="94"/>
      <c r="N23" s="235"/>
    </row>
    <row r="24" spans="1:14">
      <c r="A24" s="1">
        <v>11</v>
      </c>
      <c r="B24" s="2"/>
      <c r="C24" s="9">
        <v>2023</v>
      </c>
      <c r="D24" s="1" t="s">
        <v>4</v>
      </c>
      <c r="E24" s="127"/>
      <c r="F24" s="22">
        <v>65007</v>
      </c>
      <c r="G24" s="22">
        <v>4818</v>
      </c>
      <c r="H24" s="22">
        <v>482</v>
      </c>
      <c r="I24" s="22">
        <v>160</v>
      </c>
      <c r="J24" s="10">
        <v>17</v>
      </c>
      <c r="K24" s="249"/>
      <c r="M24" s="94"/>
      <c r="N24" s="235"/>
    </row>
    <row r="25" spans="1:14">
      <c r="A25" s="1">
        <v>12</v>
      </c>
      <c r="B25" s="2"/>
      <c r="C25" s="9">
        <v>2023</v>
      </c>
      <c r="D25" s="1" t="s">
        <v>5</v>
      </c>
      <c r="E25" s="127"/>
      <c r="F25" s="22">
        <v>65097</v>
      </c>
      <c r="G25" s="22">
        <v>4815</v>
      </c>
      <c r="H25" s="22">
        <v>481</v>
      </c>
      <c r="I25" s="22">
        <v>159</v>
      </c>
      <c r="J25" s="10">
        <v>17</v>
      </c>
      <c r="K25" s="249"/>
      <c r="M25" s="94"/>
      <c r="N25" s="235"/>
    </row>
    <row r="26" spans="1:14">
      <c r="A26" s="1">
        <v>13</v>
      </c>
      <c r="B26" s="2"/>
      <c r="C26" s="147" t="s">
        <v>51</v>
      </c>
      <c r="D26" s="41"/>
      <c r="E26" s="250"/>
      <c r="F26" s="208">
        <f t="shared" ref="F26:J26" si="0">ROUND(AVERAGE(F14:F25),0)</f>
        <v>65129</v>
      </c>
      <c r="G26" s="208">
        <f t="shared" si="0"/>
        <v>4875</v>
      </c>
      <c r="H26" s="208">
        <f t="shared" si="0"/>
        <v>446</v>
      </c>
      <c r="I26" s="208">
        <f t="shared" si="0"/>
        <v>142</v>
      </c>
      <c r="J26" s="208">
        <f t="shared" si="0"/>
        <v>17</v>
      </c>
      <c r="K26" s="249"/>
    </row>
    <row r="27" spans="1:14">
      <c r="A27" s="1">
        <v>14</v>
      </c>
      <c r="B27" s="2"/>
      <c r="D27" s="2"/>
      <c r="E27" s="2"/>
      <c r="F27" s="2"/>
      <c r="G27" s="2"/>
      <c r="H27" s="2"/>
      <c r="I27" s="2"/>
      <c r="J27" s="2"/>
      <c r="K27" s="2"/>
    </row>
    <row r="28" spans="1:14">
      <c r="A28" s="1">
        <v>15</v>
      </c>
      <c r="B28" s="2"/>
      <c r="C28" s="392" t="s">
        <v>66</v>
      </c>
      <c r="D28" s="2"/>
      <c r="E28" s="250"/>
      <c r="F28" s="251">
        <f t="shared" ref="F28:J28" si="1">F25-F26</f>
        <v>-32</v>
      </c>
      <c r="G28" s="251">
        <f t="shared" si="1"/>
        <v>-60</v>
      </c>
      <c r="H28" s="251">
        <f t="shared" si="1"/>
        <v>35</v>
      </c>
      <c r="I28" s="251">
        <f t="shared" si="1"/>
        <v>17</v>
      </c>
      <c r="J28" s="251">
        <f t="shared" si="1"/>
        <v>0</v>
      </c>
      <c r="K28" s="249"/>
    </row>
    <row r="29" spans="1:14">
      <c r="A29" s="1">
        <v>16</v>
      </c>
      <c r="B29" s="2"/>
      <c r="D29" s="1"/>
      <c r="E29" s="250"/>
      <c r="F29" s="250"/>
      <c r="G29" s="250"/>
      <c r="H29" s="2"/>
      <c r="I29" s="2"/>
      <c r="J29" s="2"/>
      <c r="K29" s="2"/>
    </row>
    <row r="30" spans="1:14">
      <c r="A30" s="1">
        <v>17</v>
      </c>
      <c r="B30" s="2"/>
      <c r="C30" s="10" t="s">
        <v>52</v>
      </c>
      <c r="D30" s="1"/>
      <c r="E30" s="250"/>
      <c r="F30" s="29">
        <v>766561470</v>
      </c>
      <c r="G30" s="29">
        <v>69966370</v>
      </c>
      <c r="H30" s="29">
        <v>183071000</v>
      </c>
      <c r="I30" s="29">
        <v>11928714</v>
      </c>
      <c r="J30" s="29">
        <v>10463040</v>
      </c>
      <c r="K30" s="249"/>
    </row>
    <row r="31" spans="1:14">
      <c r="A31" s="1">
        <v>18</v>
      </c>
      <c r="B31" s="2"/>
      <c r="C31" s="10" t="s">
        <v>53</v>
      </c>
      <c r="D31" s="1"/>
      <c r="E31" s="250"/>
      <c r="F31" s="29">
        <f t="shared" ref="F31:J31" si="2">F30/F26</f>
        <v>11769.894670576856</v>
      </c>
      <c r="G31" s="29">
        <f t="shared" si="2"/>
        <v>14352.075897435898</v>
      </c>
      <c r="H31" s="29">
        <f t="shared" si="2"/>
        <v>410473.09417040361</v>
      </c>
      <c r="I31" s="29">
        <f t="shared" si="2"/>
        <v>84005.028169014084</v>
      </c>
      <c r="J31" s="29">
        <f t="shared" si="2"/>
        <v>615472.9411764706</v>
      </c>
      <c r="K31" s="249"/>
    </row>
    <row r="32" spans="1:14">
      <c r="A32" s="1">
        <v>19</v>
      </c>
      <c r="B32" s="2"/>
      <c r="C32" s="10" t="s">
        <v>54</v>
      </c>
      <c r="D32" s="1"/>
      <c r="E32" s="250"/>
      <c r="F32" s="29">
        <f t="shared" ref="F32:J32" si="3">F31*F28</f>
        <v>-376636.62945845939</v>
      </c>
      <c r="G32" s="29">
        <f t="shared" si="3"/>
        <v>-861124.5538461539</v>
      </c>
      <c r="H32" s="29">
        <f t="shared" si="3"/>
        <v>14366558.295964126</v>
      </c>
      <c r="I32" s="29">
        <f t="shared" si="3"/>
        <v>1428085.4788732394</v>
      </c>
      <c r="J32" s="29">
        <f t="shared" si="3"/>
        <v>0</v>
      </c>
      <c r="K32" s="207">
        <f>SUM(F32:J32)</f>
        <v>14556882.591532752</v>
      </c>
    </row>
    <row r="33" spans="1:11">
      <c r="A33" s="1">
        <v>20</v>
      </c>
      <c r="B33" s="2"/>
      <c r="D33" s="1"/>
      <c r="E33" s="250"/>
      <c r="F33" s="17"/>
      <c r="G33" s="17"/>
      <c r="K33" s="2"/>
    </row>
    <row r="34" spans="1:11">
      <c r="A34" s="1">
        <v>21</v>
      </c>
      <c r="B34" s="2"/>
      <c r="C34" s="81" t="s">
        <v>58</v>
      </c>
      <c r="D34" s="1"/>
      <c r="E34" s="250"/>
      <c r="F34" s="17"/>
      <c r="G34" s="17"/>
      <c r="K34" s="2"/>
    </row>
    <row r="35" spans="1:11">
      <c r="A35" s="1">
        <v>22</v>
      </c>
      <c r="B35" s="2"/>
      <c r="C35" s="10" t="s">
        <v>55</v>
      </c>
      <c r="D35" s="1"/>
      <c r="E35" s="250"/>
      <c r="F35" s="17">
        <v>89892672.198880002</v>
      </c>
      <c r="G35" s="17">
        <v>9470063.6194599997</v>
      </c>
      <c r="H35" s="13">
        <v>17924680.225239996</v>
      </c>
      <c r="I35" s="13">
        <v>1518457.33522</v>
      </c>
      <c r="J35" s="13">
        <v>1024082.7493</v>
      </c>
      <c r="K35" s="249"/>
    </row>
    <row r="36" spans="1:11">
      <c r="A36" s="1">
        <v>23</v>
      </c>
      <c r="B36" s="2"/>
      <c r="C36" s="10" t="s">
        <v>56</v>
      </c>
      <c r="D36" s="1"/>
      <c r="E36" s="250"/>
      <c r="F36" s="416">
        <f t="shared" ref="F36:J36" si="4">F35/F30</f>
        <v>0.11726740218091056</v>
      </c>
      <c r="G36" s="416">
        <f t="shared" si="4"/>
        <v>0.1353516499349616</v>
      </c>
      <c r="H36" s="416">
        <f t="shared" si="4"/>
        <v>9.7911084908259616E-2</v>
      </c>
      <c r="I36" s="416">
        <f t="shared" si="4"/>
        <v>0.12729430307575484</v>
      </c>
      <c r="J36" s="416">
        <f t="shared" si="4"/>
        <v>9.7876214685215776E-2</v>
      </c>
      <c r="K36" s="249"/>
    </row>
    <row r="37" spans="1:11">
      <c r="A37" s="1">
        <v>24</v>
      </c>
      <c r="B37" s="2"/>
      <c r="C37" s="10" t="s">
        <v>57</v>
      </c>
      <c r="D37" s="1"/>
      <c r="E37" s="250"/>
      <c r="F37" s="250">
        <f t="shared" ref="F37:J37" si="5">F36*F32</f>
        <v>-44167.199102767743</v>
      </c>
      <c r="G37" s="250">
        <f t="shared" si="5"/>
        <v>-116554.62916258461</v>
      </c>
      <c r="H37" s="250">
        <f t="shared" si="5"/>
        <v>1406645.309155605</v>
      </c>
      <c r="I37" s="250">
        <f t="shared" si="5"/>
        <v>181787.14576577462</v>
      </c>
      <c r="J37" s="250">
        <f t="shared" si="5"/>
        <v>0</v>
      </c>
      <c r="K37" s="207">
        <f>SUM(F37:J37)</f>
        <v>1427710.6266560273</v>
      </c>
    </row>
    <row r="38" spans="1:11">
      <c r="A38" s="1">
        <v>25</v>
      </c>
      <c r="B38" s="2"/>
      <c r="D38" s="1"/>
      <c r="E38" s="250"/>
      <c r="F38" s="250"/>
      <c r="G38" s="250"/>
      <c r="H38" s="250"/>
      <c r="I38" s="250"/>
      <c r="J38" s="250"/>
      <c r="K38" s="2"/>
    </row>
    <row r="39" spans="1:11">
      <c r="A39" s="1">
        <v>26</v>
      </c>
      <c r="B39" s="2"/>
      <c r="C39" s="81" t="s">
        <v>59</v>
      </c>
      <c r="D39" s="1"/>
      <c r="E39" s="250"/>
      <c r="F39" s="250"/>
      <c r="G39" s="250"/>
      <c r="H39" s="250"/>
      <c r="I39" s="250"/>
      <c r="J39" s="250"/>
      <c r="K39" s="2"/>
    </row>
    <row r="40" spans="1:11">
      <c r="A40" s="1">
        <v>27</v>
      </c>
      <c r="B40" s="2"/>
      <c r="C40" s="10" t="s">
        <v>68</v>
      </c>
      <c r="D40" s="1"/>
      <c r="E40" s="250"/>
      <c r="F40" s="252">
        <f>G57/G58</f>
        <v>6.3837339676037774E-2</v>
      </c>
      <c r="G40" s="252">
        <f>F40</f>
        <v>6.3837339676037774E-2</v>
      </c>
      <c r="H40" s="252">
        <f>G40</f>
        <v>6.3837339676037774E-2</v>
      </c>
      <c r="I40" s="252">
        <f>F40</f>
        <v>6.3837339676037774E-2</v>
      </c>
      <c r="J40" s="252">
        <f>H40</f>
        <v>6.3837339676037774E-2</v>
      </c>
      <c r="K40" s="249"/>
    </row>
    <row r="41" spans="1:11">
      <c r="A41" s="1">
        <v>28</v>
      </c>
      <c r="B41" s="2"/>
      <c r="C41" s="10" t="s">
        <v>60</v>
      </c>
      <c r="D41" s="1"/>
      <c r="E41" s="250"/>
      <c r="F41" s="250">
        <f t="shared" ref="F41:J41" si="6">F40*F32</f>
        <v>-24043.480449177649</v>
      </c>
      <c r="G41" s="250">
        <f t="shared" si="6"/>
        <v>-54971.900647253409</v>
      </c>
      <c r="H41" s="250">
        <f t="shared" si="6"/>
        <v>917122.86191506032</v>
      </c>
      <c r="I41" s="250">
        <f t="shared" si="6"/>
        <v>91165.17780124805</v>
      </c>
      <c r="J41" s="250">
        <f t="shared" si="6"/>
        <v>0</v>
      </c>
      <c r="K41" s="207">
        <f>SUM(F41:J41)</f>
        <v>929272.6586198773</v>
      </c>
    </row>
    <row r="42" spans="1:11" ht="13.5" thickBot="1">
      <c r="A42" s="1">
        <v>29</v>
      </c>
      <c r="B42" s="2"/>
      <c r="C42" s="399"/>
      <c r="D42" s="30"/>
      <c r="E42" s="254"/>
      <c r="F42" s="254"/>
      <c r="G42" s="254"/>
      <c r="H42" s="254"/>
      <c r="I42" s="254"/>
      <c r="J42" s="254"/>
      <c r="K42" s="253"/>
    </row>
    <row r="43" spans="1:11" ht="13.5" thickTop="1">
      <c r="A43" s="1">
        <v>30</v>
      </c>
      <c r="B43" s="2"/>
      <c r="D43" s="1"/>
      <c r="E43" s="250"/>
      <c r="F43" s="2"/>
      <c r="G43" s="2"/>
      <c r="H43" s="2"/>
      <c r="I43" s="2"/>
      <c r="J43" s="2"/>
      <c r="K43" s="2"/>
    </row>
    <row r="44" spans="1:11">
      <c r="A44" s="1">
        <v>31</v>
      </c>
      <c r="B44" s="2"/>
      <c r="D44" s="2"/>
      <c r="E44" s="250"/>
      <c r="F44" s="255" t="s">
        <v>32</v>
      </c>
      <c r="G44" s="255" t="s">
        <v>24</v>
      </c>
      <c r="H44" s="2"/>
      <c r="I44" s="2"/>
      <c r="J44" s="2"/>
      <c r="K44" s="255" t="s">
        <v>69</v>
      </c>
    </row>
    <row r="45" spans="1:11">
      <c r="A45" s="1">
        <v>32</v>
      </c>
      <c r="B45" s="2"/>
      <c r="C45" s="10" t="s">
        <v>36</v>
      </c>
      <c r="D45" s="2"/>
      <c r="E45" s="250"/>
      <c r="F45" s="108">
        <v>0</v>
      </c>
      <c r="G45" s="108">
        <v>0</v>
      </c>
      <c r="H45" s="2"/>
      <c r="I45" s="2"/>
      <c r="J45" s="2"/>
      <c r="K45" s="169">
        <f>F45-G45</f>
        <v>0</v>
      </c>
    </row>
    <row r="46" spans="1:11">
      <c r="A46" s="1">
        <v>33</v>
      </c>
      <c r="B46" s="2"/>
      <c r="D46" s="2"/>
      <c r="E46" s="250"/>
      <c r="F46" s="250"/>
      <c r="G46" s="2"/>
      <c r="H46" s="2"/>
      <c r="I46" s="2"/>
      <c r="J46" s="2"/>
      <c r="K46" s="2"/>
    </row>
    <row r="47" spans="1:11">
      <c r="A47" s="1">
        <v>34</v>
      </c>
      <c r="B47" s="2"/>
      <c r="C47" s="10" t="s">
        <v>37</v>
      </c>
      <c r="D47" s="2"/>
      <c r="E47" s="127"/>
      <c r="F47" s="127">
        <f>K37</f>
        <v>1427710.6266560273</v>
      </c>
      <c r="G47" s="127">
        <f>K41</f>
        <v>929272.6586198773</v>
      </c>
      <c r="H47" s="2"/>
      <c r="I47" s="2"/>
      <c r="J47" s="2"/>
      <c r="K47" s="169">
        <f>F47-G47</f>
        <v>498437.96803614998</v>
      </c>
    </row>
    <row r="48" spans="1:11">
      <c r="A48" s="1">
        <v>35</v>
      </c>
      <c r="B48" s="2"/>
      <c r="D48" s="2"/>
      <c r="E48" s="2"/>
      <c r="F48" s="2"/>
      <c r="G48" s="2"/>
      <c r="H48" s="2"/>
      <c r="I48" s="2"/>
      <c r="J48" s="2"/>
      <c r="K48" s="2"/>
    </row>
    <row r="49" spans="1:11" ht="13.5" thickBot="1">
      <c r="A49" s="1">
        <v>36</v>
      </c>
      <c r="B49" s="2"/>
      <c r="C49" s="19" t="s">
        <v>15</v>
      </c>
      <c r="D49" s="3"/>
      <c r="E49" s="256"/>
      <c r="F49" s="267">
        <f>ROUND(F47-F45,2)</f>
        <v>1427710.63</v>
      </c>
      <c r="G49" s="267">
        <f>ROUND(G47-G45,2)</f>
        <v>929272.66</v>
      </c>
      <c r="H49" s="2"/>
      <c r="I49" s="2"/>
      <c r="J49" s="2"/>
      <c r="K49" s="257">
        <f>ROUND(K47-K45,2)</f>
        <v>498437.97</v>
      </c>
    </row>
    <row r="50" spans="1:11" ht="13.5" thickTop="1">
      <c r="A50" s="1">
        <v>37</v>
      </c>
      <c r="B50" s="2"/>
      <c r="D50" s="2"/>
      <c r="E50" s="2"/>
      <c r="F50" s="2"/>
      <c r="G50" s="2"/>
      <c r="H50" s="2"/>
      <c r="I50" s="2"/>
      <c r="J50" s="2"/>
      <c r="K50" s="2"/>
    </row>
    <row r="51" spans="1:11">
      <c r="A51" s="1">
        <v>38</v>
      </c>
      <c r="B51" s="2"/>
      <c r="D51" s="2"/>
      <c r="E51" s="2"/>
      <c r="F51" s="2"/>
      <c r="G51" s="2"/>
      <c r="H51" s="2"/>
      <c r="I51" s="2"/>
      <c r="J51" s="2"/>
      <c r="K51" s="2"/>
    </row>
    <row r="52" spans="1:11">
      <c r="A52" s="1">
        <v>39</v>
      </c>
      <c r="B52" s="2"/>
      <c r="C52" s="351" t="s">
        <v>67</v>
      </c>
      <c r="D52" s="2"/>
      <c r="E52" s="2"/>
      <c r="F52" s="2"/>
      <c r="G52" s="258" t="s">
        <v>210</v>
      </c>
      <c r="H52" s="2"/>
      <c r="I52" s="2"/>
      <c r="J52" s="2"/>
      <c r="K52" s="2"/>
    </row>
    <row r="53" spans="1:11">
      <c r="A53" s="1">
        <v>40</v>
      </c>
      <c r="B53" s="2"/>
      <c r="C53" s="10" t="s">
        <v>61</v>
      </c>
      <c r="D53" s="1"/>
      <c r="E53" s="250"/>
      <c r="F53" s="2"/>
      <c r="G53" s="17">
        <v>109041205</v>
      </c>
      <c r="H53" s="2"/>
      <c r="I53" s="2"/>
      <c r="J53" s="2"/>
      <c r="K53" s="2"/>
    </row>
    <row r="54" spans="1:11">
      <c r="A54" s="1">
        <v>41</v>
      </c>
      <c r="B54" s="2"/>
      <c r="C54" s="10" t="s">
        <v>63</v>
      </c>
      <c r="D54" s="1"/>
      <c r="E54" s="250"/>
      <c r="F54" s="2"/>
      <c r="G54" s="17">
        <v>-11241462</v>
      </c>
      <c r="H54" s="2"/>
      <c r="I54" s="2"/>
      <c r="J54" s="2"/>
      <c r="K54" s="2"/>
    </row>
    <row r="55" spans="1:11">
      <c r="A55" s="1">
        <v>42</v>
      </c>
      <c r="B55" s="2"/>
      <c r="C55" s="10" t="s">
        <v>62</v>
      </c>
      <c r="D55" s="1"/>
      <c r="E55" s="250"/>
      <c r="F55" s="2"/>
      <c r="G55" s="17">
        <v>-15508843</v>
      </c>
      <c r="H55" s="2"/>
      <c r="I55" s="2"/>
      <c r="J55" s="2"/>
      <c r="K55" s="2"/>
    </row>
    <row r="56" spans="1:11">
      <c r="A56" s="1">
        <v>43</v>
      </c>
      <c r="B56" s="2"/>
      <c r="C56" s="10" t="s">
        <v>362</v>
      </c>
      <c r="D56" s="1"/>
      <c r="E56" s="250"/>
      <c r="F56" s="2"/>
      <c r="G56" s="17">
        <v>0</v>
      </c>
      <c r="H56" s="2"/>
      <c r="I56" s="2"/>
      <c r="J56" s="2"/>
      <c r="K56" s="2"/>
    </row>
    <row r="57" spans="1:11">
      <c r="A57" s="1">
        <v>44</v>
      </c>
      <c r="B57" s="2"/>
      <c r="C57" s="10" t="s">
        <v>64</v>
      </c>
      <c r="D57" s="1"/>
      <c r="E57" s="250"/>
      <c r="F57" s="2"/>
      <c r="G57" s="17">
        <f>SUM(G53:G56)</f>
        <v>82290900</v>
      </c>
      <c r="H57" s="2"/>
      <c r="I57" s="2"/>
      <c r="J57" s="2"/>
      <c r="K57" s="2"/>
    </row>
    <row r="58" spans="1:11">
      <c r="A58" s="1">
        <v>45</v>
      </c>
      <c r="B58" s="2"/>
      <c r="C58" s="10" t="s">
        <v>65</v>
      </c>
      <c r="D58" s="1"/>
      <c r="E58" s="250"/>
      <c r="F58" s="2"/>
      <c r="G58" s="29">
        <v>1289071575</v>
      </c>
      <c r="H58" s="2"/>
      <c r="I58" s="2"/>
      <c r="J58" s="2"/>
      <c r="K58" s="2"/>
    </row>
    <row r="60" spans="1:11" ht="27" customHeight="1">
      <c r="C60" s="449" t="s">
        <v>152</v>
      </c>
      <c r="D60" s="449"/>
      <c r="E60" s="449"/>
      <c r="F60" s="449"/>
      <c r="G60" s="449"/>
      <c r="H60" s="449"/>
      <c r="I60" s="449"/>
      <c r="J60" s="449"/>
      <c r="K60" s="8"/>
    </row>
  </sheetData>
  <mergeCells count="7">
    <mergeCell ref="C60:J60"/>
    <mergeCell ref="A4:K4"/>
    <mergeCell ref="A5:K5"/>
    <mergeCell ref="A7:K7"/>
    <mergeCell ref="A9:A10"/>
    <mergeCell ref="C9:C10"/>
    <mergeCell ref="K9:K10"/>
  </mergeCells>
  <printOptions horizontalCentered="1"/>
  <pageMargins left="0.25" right="0.25" top="0.75" bottom="0.75" header="0.5" footer="0.25"/>
  <pageSetup scale="67" orientation="portrait" r:id="rId1"/>
  <headerFooter alignWithMargins="0">
    <oddFooter>&amp;RExhibit  JW-2
Page &amp;P of &amp;N</oddFooter>
  </headerFooter>
  <ignoredErrors>
    <ignoredError sqref="C11:K1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7BD03-66AC-4FDF-85F6-9DDC3B31E32D}">
  <dimension ref="A1:V66"/>
  <sheetViews>
    <sheetView view="pageBreakPreview" zoomScaleNormal="100" zoomScaleSheetLayoutView="100" workbookViewId="0">
      <selection activeCell="H14" sqref="H14"/>
    </sheetView>
  </sheetViews>
  <sheetFormatPr defaultColWidth="9.140625" defaultRowHeight="12.75"/>
  <cols>
    <col min="1" max="1" width="5.85546875" style="10" customWidth="1"/>
    <col min="2" max="2" width="11.140625" style="10" customWidth="1"/>
    <col min="3" max="3" width="30.5703125" style="10" bestFit="1" customWidth="1"/>
    <col min="4" max="4" width="13.42578125" style="10" customWidth="1"/>
    <col min="5" max="5" width="11.5703125" style="10" customWidth="1"/>
    <col min="6" max="6" width="8.7109375" style="10" customWidth="1"/>
    <col min="7" max="7" width="12.140625" style="10" customWidth="1"/>
    <col min="8" max="8" width="13" style="10" customWidth="1"/>
    <col min="9" max="9" width="11.5703125" style="10" customWidth="1"/>
    <col min="10" max="11" width="9.140625" style="10"/>
    <col min="12" max="12" width="11.5703125" style="10" customWidth="1"/>
    <col min="13" max="13" width="11.28515625" style="10" bestFit="1" customWidth="1"/>
    <col min="14" max="16384" width="9.140625" style="10"/>
  </cols>
  <sheetData>
    <row r="1" spans="1:9">
      <c r="F1" s="5"/>
      <c r="I1" s="5" t="s">
        <v>110</v>
      </c>
    </row>
    <row r="2" spans="1:9" ht="20.25" customHeight="1">
      <c r="F2" s="5"/>
      <c r="I2" s="265"/>
    </row>
    <row r="3" spans="1:9">
      <c r="A3" s="447" t="str">
        <f>RevReq!A1</f>
        <v>SOUTH KENTUCKY R.E.C.C.</v>
      </c>
      <c r="B3" s="447"/>
      <c r="C3" s="447"/>
      <c r="D3" s="447"/>
      <c r="E3" s="447"/>
      <c r="F3" s="447"/>
      <c r="G3" s="447"/>
      <c r="H3" s="447"/>
      <c r="I3" s="447"/>
    </row>
    <row r="4" spans="1:9">
      <c r="A4" s="447" t="str">
        <f>RevReq!A3</f>
        <v>For the 12 Months Ended May 2024</v>
      </c>
      <c r="B4" s="447"/>
      <c r="C4" s="447"/>
      <c r="D4" s="447"/>
      <c r="E4" s="447"/>
      <c r="F4" s="447"/>
      <c r="G4" s="447"/>
      <c r="H4" s="447"/>
      <c r="I4" s="447"/>
    </row>
    <row r="6" spans="1:9" s="6" customFormat="1" ht="15" customHeight="1">
      <c r="A6" s="448" t="s">
        <v>29</v>
      </c>
      <c r="B6" s="448"/>
      <c r="C6" s="448"/>
      <c r="D6" s="448"/>
      <c r="E6" s="448"/>
      <c r="F6" s="448"/>
      <c r="G6" s="448"/>
      <c r="H6" s="448"/>
      <c r="I6" s="448"/>
    </row>
    <row r="8" spans="1:9" s="27" customFormat="1" ht="38.25" customHeight="1">
      <c r="A8" s="27" t="s">
        <v>0</v>
      </c>
      <c r="B8" s="27" t="s">
        <v>130</v>
      </c>
      <c r="C8" s="27" t="s">
        <v>1</v>
      </c>
      <c r="D8" s="27" t="s">
        <v>127</v>
      </c>
      <c r="E8" s="27" t="s">
        <v>131</v>
      </c>
      <c r="F8" s="27" t="s">
        <v>1133</v>
      </c>
      <c r="G8" s="27" t="s">
        <v>128</v>
      </c>
      <c r="H8" s="27" t="s">
        <v>129</v>
      </c>
      <c r="I8" s="27" t="s">
        <v>122</v>
      </c>
    </row>
    <row r="9" spans="1:9">
      <c r="A9" s="11" t="s">
        <v>21</v>
      </c>
      <c r="B9" s="12" t="s">
        <v>18</v>
      </c>
      <c r="C9" s="12" t="s">
        <v>20</v>
      </c>
      <c r="D9" s="12" t="s">
        <v>19</v>
      </c>
      <c r="E9" s="12" t="s">
        <v>25</v>
      </c>
      <c r="F9" s="12" t="s">
        <v>47</v>
      </c>
      <c r="G9" s="12" t="s">
        <v>48</v>
      </c>
      <c r="H9" s="12" t="s">
        <v>49</v>
      </c>
      <c r="I9" s="12" t="s">
        <v>50</v>
      </c>
    </row>
    <row r="10" spans="1:9">
      <c r="A10" s="9"/>
    </row>
    <row r="11" spans="1:9">
      <c r="A11" s="9">
        <v>1</v>
      </c>
      <c r="B11" s="32" t="s">
        <v>132</v>
      </c>
    </row>
    <row r="12" spans="1:9">
      <c r="A12" s="9">
        <f>A11+1</f>
        <v>2</v>
      </c>
      <c r="B12" s="100"/>
      <c r="D12" s="45"/>
      <c r="E12" s="2"/>
      <c r="F12" s="2"/>
      <c r="G12" s="2"/>
      <c r="H12" s="2"/>
      <c r="I12" s="2"/>
    </row>
    <row r="13" spans="1:9">
      <c r="A13" s="9">
        <f>A12+1</f>
        <v>3</v>
      </c>
      <c r="B13" s="145">
        <v>360</v>
      </c>
      <c r="C13" s="10" t="s">
        <v>138</v>
      </c>
      <c r="D13" s="417">
        <v>52264.44</v>
      </c>
      <c r="E13" s="146"/>
      <c r="F13" s="418"/>
      <c r="G13" s="146">
        <f t="shared" ref="G13:G25" si="0">ROUND(((+D13-E13)*F13),2)</f>
        <v>0</v>
      </c>
      <c r="H13" s="146"/>
      <c r="I13" s="165">
        <f>G13-H13</f>
        <v>0</v>
      </c>
    </row>
    <row r="14" spans="1:9">
      <c r="A14" s="9">
        <f t="shared" ref="A14:A63" si="1">A13+1</f>
        <v>4</v>
      </c>
      <c r="B14" s="145">
        <v>361</v>
      </c>
      <c r="C14" s="10" t="s">
        <v>409</v>
      </c>
      <c r="D14" s="146">
        <v>17823.849999999999</v>
      </c>
      <c r="E14" s="146"/>
      <c r="F14" s="419">
        <v>2.9749999999999999E-2</v>
      </c>
      <c r="G14" s="146">
        <f>ROUND(((+D14-E14)*F14),2)</f>
        <v>530.26</v>
      </c>
      <c r="H14" s="146">
        <v>530.28</v>
      </c>
      <c r="I14" s="165">
        <f>G14-H14</f>
        <v>-1.999999999998181E-2</v>
      </c>
    </row>
    <row r="15" spans="1:9">
      <c r="A15" s="9">
        <f t="shared" si="1"/>
        <v>5</v>
      </c>
      <c r="B15" s="145">
        <v>362</v>
      </c>
      <c r="C15" s="10" t="s">
        <v>133</v>
      </c>
      <c r="D15" s="146">
        <f>138936.07+805208.42</f>
        <v>944144.49</v>
      </c>
      <c r="E15" s="146">
        <v>0</v>
      </c>
      <c r="F15" s="419">
        <v>3.3669999999999999E-2</v>
      </c>
      <c r="G15" s="146">
        <f t="shared" si="0"/>
        <v>31789.34</v>
      </c>
      <c r="H15" s="146">
        <f>4678.2+25103.1</f>
        <v>29781.3</v>
      </c>
      <c r="I15" s="165">
        <f>G15-H15</f>
        <v>2008.0400000000009</v>
      </c>
    </row>
    <row r="16" spans="1:9">
      <c r="A16" s="9">
        <f t="shared" si="1"/>
        <v>6</v>
      </c>
      <c r="B16" s="145">
        <v>364</v>
      </c>
      <c r="C16" s="10" t="s">
        <v>134</v>
      </c>
      <c r="D16" s="146">
        <v>75150798.909999996</v>
      </c>
      <c r="E16" s="146">
        <v>0</v>
      </c>
      <c r="F16" s="419">
        <v>3.6670000000000001E-2</v>
      </c>
      <c r="G16" s="146">
        <f t="shared" si="0"/>
        <v>2755779.8</v>
      </c>
      <c r="H16" s="146">
        <v>2713680.02</v>
      </c>
      <c r="I16" s="165">
        <f t="shared" ref="I16:I24" si="2">G16-H16</f>
        <v>42099.779999999795</v>
      </c>
    </row>
    <row r="17" spans="1:10">
      <c r="A17" s="9">
        <f t="shared" si="1"/>
        <v>7</v>
      </c>
      <c r="B17" s="145">
        <v>365</v>
      </c>
      <c r="C17" s="10" t="s">
        <v>135</v>
      </c>
      <c r="D17" s="146">
        <v>75885926.930000007</v>
      </c>
      <c r="E17" s="146">
        <v>0</v>
      </c>
      <c r="F17" s="419">
        <v>2.6069999999999999E-2</v>
      </c>
      <c r="G17" s="146">
        <f t="shared" si="0"/>
        <v>1978346.12</v>
      </c>
      <c r="H17" s="146">
        <v>1959834.13</v>
      </c>
      <c r="I17" s="165">
        <f t="shared" si="2"/>
        <v>18511.990000000224</v>
      </c>
    </row>
    <row r="18" spans="1:10">
      <c r="A18" s="9">
        <f t="shared" si="1"/>
        <v>8</v>
      </c>
      <c r="B18" s="145">
        <v>366</v>
      </c>
      <c r="C18" s="10" t="s">
        <v>410</v>
      </c>
      <c r="D18" s="146">
        <v>679015.55</v>
      </c>
      <c r="E18" s="146"/>
      <c r="F18" s="419">
        <v>2.0410000000000001E-2</v>
      </c>
      <c r="G18" s="146">
        <f t="shared" si="0"/>
        <v>13858.71</v>
      </c>
      <c r="H18" s="146">
        <v>13931.23</v>
      </c>
      <c r="I18" s="165">
        <f t="shared" si="2"/>
        <v>-72.520000000000437</v>
      </c>
    </row>
    <row r="19" spans="1:10">
      <c r="A19" s="9">
        <f t="shared" si="1"/>
        <v>9</v>
      </c>
      <c r="B19" s="145">
        <v>367</v>
      </c>
      <c r="C19" s="10" t="s">
        <v>136</v>
      </c>
      <c r="D19" s="146">
        <v>11933347.51</v>
      </c>
      <c r="E19" s="146">
        <v>0</v>
      </c>
      <c r="F19" s="419">
        <v>3.3820000000000003E-2</v>
      </c>
      <c r="G19" s="146">
        <f t="shared" si="0"/>
        <v>403585.81</v>
      </c>
      <c r="H19" s="146">
        <v>335619.35</v>
      </c>
      <c r="I19" s="18">
        <f t="shared" si="2"/>
        <v>67966.460000000021</v>
      </c>
    </row>
    <row r="20" spans="1:10">
      <c r="A20" s="9">
        <f t="shared" si="1"/>
        <v>10</v>
      </c>
      <c r="B20" s="145">
        <v>368</v>
      </c>
      <c r="C20" s="10" t="s">
        <v>137</v>
      </c>
      <c r="D20" s="146">
        <v>51244175.399999999</v>
      </c>
      <c r="E20" s="146">
        <v>0</v>
      </c>
      <c r="F20" s="419">
        <v>3.075E-2</v>
      </c>
      <c r="G20" s="146">
        <f t="shared" si="0"/>
        <v>1575758.39</v>
      </c>
      <c r="H20" s="146">
        <v>1495726.94</v>
      </c>
      <c r="I20" s="18">
        <f t="shared" si="2"/>
        <v>80031.449999999953</v>
      </c>
    </row>
    <row r="21" spans="1:10">
      <c r="A21" s="9">
        <f t="shared" si="1"/>
        <v>11</v>
      </c>
      <c r="B21" s="145">
        <v>369</v>
      </c>
      <c r="C21" s="10" t="s">
        <v>92</v>
      </c>
      <c r="D21" s="146">
        <v>34705198.130000003</v>
      </c>
      <c r="E21" s="146">
        <v>0</v>
      </c>
      <c r="F21" s="419">
        <v>3.422E-2</v>
      </c>
      <c r="G21" s="146">
        <f t="shared" si="0"/>
        <v>1187611.8799999999</v>
      </c>
      <c r="H21" s="146">
        <v>1196028.82</v>
      </c>
      <c r="I21" s="18">
        <f t="shared" si="2"/>
        <v>-8416.940000000177</v>
      </c>
    </row>
    <row r="22" spans="1:10">
      <c r="A22" s="9">
        <f t="shared" si="1"/>
        <v>12</v>
      </c>
      <c r="B22" s="145">
        <v>370</v>
      </c>
      <c r="C22" s="10" t="s">
        <v>271</v>
      </c>
      <c r="D22" s="146">
        <f>13406721.19+695811.1+475719.07</f>
        <v>14578251.359999999</v>
      </c>
      <c r="E22" s="146">
        <v>0</v>
      </c>
      <c r="F22" s="419">
        <v>7.7689999999999995E-2</v>
      </c>
      <c r="G22" s="146">
        <f t="shared" si="0"/>
        <v>1132584.3500000001</v>
      </c>
      <c r="H22" s="146">
        <f>657627.26+31884.31+24021.96</f>
        <v>713533.53</v>
      </c>
      <c r="I22" s="18">
        <f t="shared" si="2"/>
        <v>419050.82000000007</v>
      </c>
    </row>
    <row r="23" spans="1:10">
      <c r="A23" s="9">
        <f t="shared" si="1"/>
        <v>13</v>
      </c>
      <c r="B23" s="145">
        <v>370</v>
      </c>
      <c r="C23" s="10" t="s">
        <v>272</v>
      </c>
      <c r="D23" s="146">
        <v>1031146.74</v>
      </c>
      <c r="E23" s="146"/>
      <c r="F23" s="419">
        <v>7.7689999999999995E-2</v>
      </c>
      <c r="G23" s="146">
        <f t="shared" si="0"/>
        <v>80109.789999999994</v>
      </c>
      <c r="H23" s="146">
        <v>49921.16</v>
      </c>
      <c r="I23" s="18">
        <f t="shared" si="2"/>
        <v>30188.62999999999</v>
      </c>
    </row>
    <row r="24" spans="1:10">
      <c r="A24" s="9">
        <f t="shared" si="1"/>
        <v>14</v>
      </c>
      <c r="B24" s="145">
        <v>371</v>
      </c>
      <c r="C24" s="10" t="s">
        <v>273</v>
      </c>
      <c r="D24" s="146">
        <v>13785995.59</v>
      </c>
      <c r="E24" s="146">
        <v>0</v>
      </c>
      <c r="F24" s="419">
        <v>6.3890000000000002E-2</v>
      </c>
      <c r="G24" s="146">
        <f t="shared" si="0"/>
        <v>880787.26</v>
      </c>
      <c r="H24" s="146">
        <v>786744.21</v>
      </c>
      <c r="I24" s="18">
        <f t="shared" si="2"/>
        <v>94043.050000000047</v>
      </c>
    </row>
    <row r="25" spans="1:10">
      <c r="A25" s="9">
        <f t="shared" si="1"/>
        <v>15</v>
      </c>
      <c r="B25" s="145">
        <v>373</v>
      </c>
      <c r="C25" s="10" t="s">
        <v>411</v>
      </c>
      <c r="D25" s="146">
        <v>1435006.77</v>
      </c>
      <c r="E25" s="146"/>
      <c r="F25" s="419">
        <v>6.3890000000000002E-2</v>
      </c>
      <c r="G25" s="146">
        <f t="shared" si="0"/>
        <v>91682.58</v>
      </c>
      <c r="H25" s="146">
        <v>76352.490000000005</v>
      </c>
      <c r="I25" s="18">
        <f>G25-H25</f>
        <v>15330.089999999997</v>
      </c>
    </row>
    <row r="26" spans="1:10">
      <c r="A26" s="9">
        <f t="shared" si="1"/>
        <v>16</v>
      </c>
      <c r="B26" s="2"/>
      <c r="C26" s="379" t="s">
        <v>22</v>
      </c>
      <c r="D26" s="148">
        <f>SUM(D13:D25)</f>
        <v>281443095.66999996</v>
      </c>
      <c r="E26" s="148">
        <f>SUM(E13:E25)</f>
        <v>0</v>
      </c>
      <c r="F26" s="148"/>
      <c r="G26" s="148">
        <f>SUM(G13:G25)</f>
        <v>10132424.289999997</v>
      </c>
      <c r="H26" s="148">
        <f>SUM(H13:H25)</f>
        <v>9371683.459999999</v>
      </c>
      <c r="I26" s="131">
        <f>SUM(I13:I25)</f>
        <v>760740.82999999984</v>
      </c>
      <c r="J26" s="218"/>
    </row>
    <row r="27" spans="1:10">
      <c r="A27" s="9">
        <f t="shared" si="1"/>
        <v>17</v>
      </c>
      <c r="B27" s="2"/>
      <c r="D27" s="2"/>
      <c r="E27" s="2"/>
      <c r="F27" s="2"/>
      <c r="G27" s="2"/>
      <c r="H27" s="2"/>
      <c r="I27" s="2"/>
    </row>
    <row r="28" spans="1:10">
      <c r="A28" s="9">
        <f t="shared" si="1"/>
        <v>18</v>
      </c>
      <c r="B28" s="39" t="s">
        <v>139</v>
      </c>
      <c r="D28" s="2"/>
      <c r="E28" s="2"/>
      <c r="F28" s="2"/>
      <c r="G28" s="2"/>
      <c r="H28" s="2"/>
      <c r="I28" s="2"/>
    </row>
    <row r="29" spans="1:10">
      <c r="A29" s="9">
        <f t="shared" si="1"/>
        <v>19</v>
      </c>
      <c r="B29" s="124">
        <v>389</v>
      </c>
      <c r="C29" s="10" t="s">
        <v>138</v>
      </c>
      <c r="D29" s="417">
        <v>2878535.84</v>
      </c>
      <c r="E29" s="146"/>
      <c r="F29" s="420"/>
      <c r="G29" s="146"/>
      <c r="H29" s="146"/>
      <c r="I29" s="18"/>
    </row>
    <row r="30" spans="1:10">
      <c r="A30" s="9">
        <f t="shared" si="1"/>
        <v>20</v>
      </c>
      <c r="B30" s="124">
        <v>390</v>
      </c>
      <c r="C30" s="10" t="s">
        <v>255</v>
      </c>
      <c r="D30" s="146">
        <v>20763731.530000001</v>
      </c>
      <c r="E30" s="146">
        <v>28030.03</v>
      </c>
      <c r="F30" s="421">
        <v>2.0039999999999999E-2</v>
      </c>
      <c r="G30" s="146">
        <f t="shared" ref="G30:G38" si="3">ROUND(((+D30-E30)*F30),2)</f>
        <v>415543.46</v>
      </c>
      <c r="H30" s="146">
        <v>414897.7</v>
      </c>
      <c r="I30" s="18">
        <f t="shared" ref="I30:I38" si="4">G30-H30</f>
        <v>645.76000000000931</v>
      </c>
    </row>
    <row r="31" spans="1:10">
      <c r="A31" s="9">
        <f t="shared" si="1"/>
        <v>21</v>
      </c>
      <c r="B31" s="124">
        <v>391</v>
      </c>
      <c r="C31" s="10" t="s">
        <v>274</v>
      </c>
      <c r="D31" s="146">
        <v>668447.66</v>
      </c>
      <c r="E31" s="146">
        <v>58399.59</v>
      </c>
      <c r="F31" s="421">
        <v>0.06</v>
      </c>
      <c r="G31" s="146">
        <f t="shared" si="3"/>
        <v>36602.879999999997</v>
      </c>
      <c r="H31" s="146">
        <f>36885.28</f>
        <v>36885.279999999999</v>
      </c>
      <c r="I31" s="18">
        <f t="shared" si="4"/>
        <v>-282.40000000000146</v>
      </c>
    </row>
    <row r="32" spans="1:10">
      <c r="A32" s="9">
        <f t="shared" si="1"/>
        <v>22</v>
      </c>
      <c r="B32" s="124">
        <v>391.1</v>
      </c>
      <c r="C32" s="10" t="s">
        <v>412</v>
      </c>
      <c r="D32" s="146">
        <v>2866644.02</v>
      </c>
      <c r="E32" s="146">
        <v>858070.15</v>
      </c>
      <c r="F32" s="421">
        <v>0.15</v>
      </c>
      <c r="G32" s="146">
        <f t="shared" si="3"/>
        <v>301286.08</v>
      </c>
      <c r="H32" s="146">
        <v>284389.18</v>
      </c>
      <c r="I32" s="18">
        <f t="shared" si="4"/>
        <v>16896.900000000023</v>
      </c>
    </row>
    <row r="33" spans="1:12">
      <c r="A33" s="9">
        <f t="shared" si="1"/>
        <v>23</v>
      </c>
      <c r="B33" s="124">
        <v>393</v>
      </c>
      <c r="C33" s="10" t="s">
        <v>413</v>
      </c>
      <c r="D33" s="146">
        <v>349676.21</v>
      </c>
      <c r="E33" s="146">
        <v>159238.46</v>
      </c>
      <c r="F33" s="421">
        <v>0.06</v>
      </c>
      <c r="G33" s="146">
        <f t="shared" si="3"/>
        <v>11426.27</v>
      </c>
      <c r="H33" s="146">
        <v>14209.11</v>
      </c>
      <c r="I33" s="18">
        <f t="shared" si="4"/>
        <v>-2782.84</v>
      </c>
    </row>
    <row r="34" spans="1:12">
      <c r="A34" s="9">
        <f t="shared" si="1"/>
        <v>24</v>
      </c>
      <c r="B34" s="124">
        <v>394</v>
      </c>
      <c r="C34" s="10" t="s">
        <v>256</v>
      </c>
      <c r="D34" s="146">
        <v>504512.97</v>
      </c>
      <c r="E34" s="146">
        <v>72256.320000000007</v>
      </c>
      <c r="F34" s="421">
        <v>0.06</v>
      </c>
      <c r="G34" s="146">
        <f t="shared" si="3"/>
        <v>25935.4</v>
      </c>
      <c r="H34" s="146">
        <v>25983.45</v>
      </c>
      <c r="I34" s="18">
        <f t="shared" si="4"/>
        <v>-48.049999999999272</v>
      </c>
    </row>
    <row r="35" spans="1:12">
      <c r="A35" s="9">
        <f t="shared" si="1"/>
        <v>25</v>
      </c>
      <c r="B35" s="124">
        <v>395</v>
      </c>
      <c r="C35" s="10" t="s">
        <v>275</v>
      </c>
      <c r="D35" s="146">
        <v>199321.82</v>
      </c>
      <c r="E35" s="146">
        <v>111747.7</v>
      </c>
      <c r="F35" s="421">
        <v>0.06</v>
      </c>
      <c r="G35" s="146">
        <f t="shared" si="3"/>
        <v>5254.45</v>
      </c>
      <c r="H35" s="146">
        <v>5241.53</v>
      </c>
      <c r="I35" s="18">
        <f t="shared" si="4"/>
        <v>12.920000000000073</v>
      </c>
    </row>
    <row r="36" spans="1:12">
      <c r="A36" s="9">
        <f t="shared" si="1"/>
        <v>26</v>
      </c>
      <c r="B36" s="124">
        <v>396</v>
      </c>
      <c r="C36" s="10" t="s">
        <v>276</v>
      </c>
      <c r="D36" s="146">
        <v>63107.95</v>
      </c>
      <c r="E36" s="146">
        <v>51963.13</v>
      </c>
      <c r="F36" s="421">
        <v>0.12</v>
      </c>
      <c r="G36" s="146">
        <f t="shared" si="3"/>
        <v>1337.38</v>
      </c>
      <c r="H36" s="146">
        <v>1115.6600000000001</v>
      </c>
      <c r="I36" s="18">
        <f t="shared" si="4"/>
        <v>221.72000000000003</v>
      </c>
    </row>
    <row r="37" spans="1:12">
      <c r="A37" s="9">
        <f t="shared" si="1"/>
        <v>27</v>
      </c>
      <c r="B37" s="124">
        <v>397</v>
      </c>
      <c r="C37" s="10" t="s">
        <v>257</v>
      </c>
      <c r="D37" s="146">
        <v>2310044.63</v>
      </c>
      <c r="E37" s="146">
        <v>53629.08</v>
      </c>
      <c r="F37" s="421">
        <v>0.06</v>
      </c>
      <c r="G37" s="146">
        <f t="shared" si="3"/>
        <v>135384.93</v>
      </c>
      <c r="H37" s="146">
        <v>136274.04</v>
      </c>
      <c r="I37" s="18">
        <f t="shared" si="4"/>
        <v>-889.11000000001513</v>
      </c>
    </row>
    <row r="38" spans="1:12">
      <c r="A38" s="9">
        <f t="shared" si="1"/>
        <v>28</v>
      </c>
      <c r="B38" s="124">
        <v>398</v>
      </c>
      <c r="C38" s="10" t="s">
        <v>258</v>
      </c>
      <c r="D38" s="146">
        <v>1188031.77</v>
      </c>
      <c r="E38" s="146">
        <v>102116.62</v>
      </c>
      <c r="F38" s="421">
        <v>0.06</v>
      </c>
      <c r="G38" s="146">
        <f t="shared" si="3"/>
        <v>65154.91</v>
      </c>
      <c r="H38" s="146">
        <v>66005.91</v>
      </c>
      <c r="I38" s="18">
        <f t="shared" si="4"/>
        <v>-851</v>
      </c>
    </row>
    <row r="39" spans="1:12">
      <c r="A39" s="9">
        <f t="shared" si="1"/>
        <v>29</v>
      </c>
      <c r="C39" s="397"/>
      <c r="D39" s="148"/>
      <c r="E39" s="148"/>
      <c r="F39" s="148"/>
      <c r="G39" s="148"/>
      <c r="H39" s="264"/>
      <c r="I39" s="148"/>
    </row>
    <row r="40" spans="1:12">
      <c r="A40" s="9">
        <f t="shared" si="1"/>
        <v>30</v>
      </c>
      <c r="B40" s="2"/>
      <c r="C40" s="147" t="s">
        <v>22</v>
      </c>
      <c r="D40" s="148">
        <f>SUM(D29:D38)</f>
        <v>31792054.399999999</v>
      </c>
      <c r="E40" s="148">
        <f>SUM(E30:E38)</f>
        <v>1495451.08</v>
      </c>
      <c r="F40" s="148"/>
      <c r="G40" s="148">
        <f>SUM(G30:G38)</f>
        <v>997925.76000000013</v>
      </c>
      <c r="H40" s="263">
        <f>SUM(H30:H39)</f>
        <v>985001.86</v>
      </c>
      <c r="I40" s="259">
        <f>G40-H40</f>
        <v>12923.90000000014</v>
      </c>
    </row>
    <row r="41" spans="1:12">
      <c r="A41" s="9">
        <f t="shared" si="1"/>
        <v>31</v>
      </c>
      <c r="B41" s="102" t="s">
        <v>123</v>
      </c>
      <c r="C41" s="398" t="s">
        <v>143</v>
      </c>
      <c r="D41" s="103">
        <f>D26+D40</f>
        <v>313235150.06999993</v>
      </c>
      <c r="E41" s="103">
        <f>E26+E40</f>
        <v>1495451.08</v>
      </c>
      <c r="F41" s="103"/>
      <c r="G41" s="103">
        <f>G26+G40</f>
        <v>11130350.049999997</v>
      </c>
      <c r="H41" s="103">
        <f>H26+H40</f>
        <v>10356685.319999998</v>
      </c>
      <c r="I41" s="259">
        <f>I26+I40</f>
        <v>773664.73</v>
      </c>
      <c r="L41" s="146"/>
    </row>
    <row r="42" spans="1:12">
      <c r="A42" s="9">
        <f t="shared" si="1"/>
        <v>32</v>
      </c>
      <c r="B42" s="2"/>
      <c r="C42" s="46"/>
      <c r="D42" s="45"/>
      <c r="E42" s="45"/>
      <c r="F42" s="45"/>
      <c r="G42" s="45"/>
      <c r="H42" s="45"/>
      <c r="I42" s="45"/>
    </row>
    <row r="43" spans="1:12">
      <c r="A43" s="9">
        <f t="shared" si="1"/>
        <v>33</v>
      </c>
      <c r="B43" s="39" t="s">
        <v>140</v>
      </c>
      <c r="D43" s="45"/>
      <c r="E43" s="45"/>
      <c r="F43" s="45"/>
      <c r="G43" s="45"/>
      <c r="H43" s="45"/>
      <c r="I43" s="45"/>
    </row>
    <row r="44" spans="1:12">
      <c r="A44" s="9">
        <f t="shared" si="1"/>
        <v>34</v>
      </c>
      <c r="B44" s="149">
        <v>392</v>
      </c>
      <c r="C44" s="10" t="s">
        <v>114</v>
      </c>
      <c r="D44" s="146">
        <v>11223340.800000001</v>
      </c>
      <c r="E44" s="146">
        <v>4359447.1900000004</v>
      </c>
      <c r="F44" s="421">
        <v>0.15</v>
      </c>
      <c r="G44" s="146">
        <f>ROUND(((+D44-E44)*F44),2)</f>
        <v>1029584.04</v>
      </c>
      <c r="H44" s="146">
        <v>967706.21</v>
      </c>
      <c r="I44" s="18">
        <f>G44-H44</f>
        <v>61877.830000000075</v>
      </c>
    </row>
    <row r="45" spans="1:12">
      <c r="A45" s="9">
        <f t="shared" si="1"/>
        <v>35</v>
      </c>
      <c r="B45" s="101" t="s">
        <v>124</v>
      </c>
      <c r="C45" s="411" t="s">
        <v>141</v>
      </c>
      <c r="D45" s="103"/>
      <c r="E45" s="103"/>
      <c r="F45" s="104"/>
      <c r="G45" s="103"/>
      <c r="H45" s="103"/>
      <c r="I45" s="259">
        <f>E58</f>
        <v>37238.090000000004</v>
      </c>
    </row>
    <row r="46" spans="1:12" ht="17.25" customHeight="1">
      <c r="A46" s="9">
        <f t="shared" si="1"/>
        <v>36</v>
      </c>
      <c r="B46" s="2"/>
      <c r="D46" s="2"/>
      <c r="E46" s="2"/>
      <c r="F46" s="2"/>
      <c r="G46" s="2"/>
      <c r="H46" s="2"/>
      <c r="I46" s="2"/>
    </row>
    <row r="47" spans="1:12" ht="13.5" thickBot="1">
      <c r="A47" s="9">
        <f t="shared" si="1"/>
        <v>37</v>
      </c>
      <c r="B47" s="3" t="s">
        <v>215</v>
      </c>
      <c r="C47" s="19" t="s">
        <v>14</v>
      </c>
      <c r="D47" s="260">
        <f>D41+D44</f>
        <v>324458490.86999995</v>
      </c>
      <c r="E47" s="260">
        <f>E41+E44</f>
        <v>5854898.2700000005</v>
      </c>
      <c r="F47" s="3"/>
      <c r="G47" s="260">
        <f>G41+G44</f>
        <v>12159934.089999996</v>
      </c>
      <c r="H47" s="260">
        <f>H41+H44</f>
        <v>11324391.529999997</v>
      </c>
      <c r="I47" s="267">
        <f>I45+I41</f>
        <v>810902.82</v>
      </c>
    </row>
    <row r="48" spans="1:12" ht="26.25" customHeight="1" thickTop="1">
      <c r="A48" s="9">
        <f t="shared" si="1"/>
        <v>38</v>
      </c>
      <c r="B48" s="2"/>
      <c r="D48" s="2"/>
      <c r="E48" s="2"/>
      <c r="F48" s="2"/>
      <c r="G48" s="2"/>
      <c r="H48" s="2"/>
      <c r="I48" s="2"/>
    </row>
    <row r="49" spans="1:22" s="2" customFormat="1" ht="41.25" customHeight="1">
      <c r="A49" s="9">
        <f t="shared" si="1"/>
        <v>39</v>
      </c>
      <c r="B49" s="453" t="s">
        <v>217</v>
      </c>
      <c r="C49" s="453"/>
      <c r="D49" s="453"/>
      <c r="E49" s="453"/>
      <c r="F49" s="453"/>
      <c r="G49" s="453"/>
      <c r="H49" s="453"/>
      <c r="I49" s="453"/>
      <c r="J49" s="38"/>
      <c r="K49" s="38"/>
      <c r="L49" s="38"/>
      <c r="M49" s="38"/>
      <c r="N49" s="38"/>
      <c r="O49" s="38"/>
      <c r="P49" s="38"/>
      <c r="Q49" s="38"/>
      <c r="R49" s="38"/>
      <c r="S49" s="38"/>
      <c r="T49" s="38"/>
      <c r="U49" s="38"/>
      <c r="V49" s="38"/>
    </row>
    <row r="50" spans="1:22">
      <c r="A50" s="9">
        <f t="shared" si="1"/>
        <v>40</v>
      </c>
      <c r="B50" s="2"/>
      <c r="D50" s="2"/>
      <c r="E50" s="2"/>
      <c r="F50" s="2"/>
      <c r="G50" s="2"/>
      <c r="H50" s="2"/>
      <c r="I50" s="2"/>
    </row>
    <row r="51" spans="1:22">
      <c r="A51" s="9">
        <f t="shared" si="1"/>
        <v>41</v>
      </c>
      <c r="B51" s="39" t="s">
        <v>141</v>
      </c>
      <c r="C51" s="9"/>
      <c r="D51" s="44" t="s">
        <v>125</v>
      </c>
      <c r="E51" s="44" t="s">
        <v>142</v>
      </c>
      <c r="F51" s="2"/>
      <c r="G51" s="2"/>
      <c r="H51" s="2"/>
      <c r="I51" s="2"/>
      <c r="L51" s="2"/>
      <c r="M51" s="44"/>
      <c r="N51" s="44"/>
    </row>
    <row r="52" spans="1:22">
      <c r="A52" s="9">
        <f t="shared" si="1"/>
        <v>42</v>
      </c>
      <c r="B52" s="2"/>
      <c r="C52" s="9"/>
      <c r="D52" s="2"/>
      <c r="E52" s="2"/>
      <c r="F52" s="2"/>
      <c r="G52" s="2"/>
      <c r="H52" s="2"/>
      <c r="I52" s="2"/>
      <c r="L52" s="2"/>
      <c r="M52" s="2"/>
      <c r="N52" s="2"/>
    </row>
    <row r="53" spans="1:22">
      <c r="A53" s="9">
        <f t="shared" si="1"/>
        <v>43</v>
      </c>
      <c r="B53" s="1" t="s">
        <v>116</v>
      </c>
      <c r="C53" s="10" t="s">
        <v>117</v>
      </c>
      <c r="D53" s="76">
        <v>9.2600000000000002E-2</v>
      </c>
      <c r="E53" s="33">
        <f>ROUND(D53*$I$44,2)</f>
        <v>5729.89</v>
      </c>
      <c r="F53" s="2"/>
      <c r="G53" s="2"/>
      <c r="H53" s="250"/>
      <c r="I53" s="188"/>
      <c r="L53" s="2"/>
      <c r="M53" s="33"/>
      <c r="N53" s="96"/>
    </row>
    <row r="54" spans="1:22">
      <c r="A54" s="9">
        <f t="shared" si="1"/>
        <v>44</v>
      </c>
      <c r="B54" s="1" t="s">
        <v>118</v>
      </c>
      <c r="C54" s="10" t="s">
        <v>119</v>
      </c>
      <c r="D54" s="76">
        <v>0.47270000000000001</v>
      </c>
      <c r="E54" s="33">
        <f t="shared" ref="E54:E57" si="5">ROUND(D54*$I$44,2)</f>
        <v>29249.65</v>
      </c>
      <c r="F54" s="2"/>
      <c r="G54" s="2"/>
      <c r="H54" s="127"/>
      <c r="I54" s="188"/>
      <c r="L54" s="2"/>
      <c r="M54" s="33"/>
      <c r="N54" s="96"/>
    </row>
    <row r="55" spans="1:22">
      <c r="A55" s="9">
        <f t="shared" si="1"/>
        <v>45</v>
      </c>
      <c r="B55" s="1" t="s">
        <v>120</v>
      </c>
      <c r="C55" s="10" t="s">
        <v>103</v>
      </c>
      <c r="D55" s="76">
        <v>0</v>
      </c>
      <c r="E55" s="33">
        <f t="shared" si="5"/>
        <v>0</v>
      </c>
      <c r="F55" s="2"/>
      <c r="G55" s="2"/>
      <c r="H55" s="127"/>
      <c r="I55" s="188"/>
      <c r="L55" s="2"/>
      <c r="M55" s="33"/>
      <c r="N55" s="96"/>
    </row>
    <row r="56" spans="1:22">
      <c r="A56" s="9">
        <f t="shared" si="1"/>
        <v>46</v>
      </c>
      <c r="B56" s="1" t="s">
        <v>218</v>
      </c>
      <c r="C56" s="10" t="s">
        <v>78</v>
      </c>
      <c r="D56" s="76">
        <v>1.24E-2</v>
      </c>
      <c r="E56" s="33">
        <f t="shared" si="5"/>
        <v>767.29</v>
      </c>
      <c r="F56" s="2"/>
      <c r="G56" s="2"/>
      <c r="H56" s="127"/>
      <c r="I56" s="188"/>
      <c r="L56" s="2"/>
      <c r="M56" s="33"/>
      <c r="N56" s="96"/>
    </row>
    <row r="57" spans="1:22">
      <c r="A57" s="9">
        <f t="shared" si="1"/>
        <v>47</v>
      </c>
      <c r="B57" s="1" t="s">
        <v>121</v>
      </c>
      <c r="C57" s="10" t="s">
        <v>115</v>
      </c>
      <c r="D57" s="76">
        <v>2.41E-2</v>
      </c>
      <c r="E57" s="33">
        <f t="shared" si="5"/>
        <v>1491.26</v>
      </c>
      <c r="F57" s="2"/>
      <c r="G57" s="2"/>
      <c r="H57" s="127"/>
      <c r="I57" s="188"/>
      <c r="L57" s="2"/>
      <c r="M57" s="33"/>
      <c r="N57" s="96"/>
    </row>
    <row r="58" spans="1:22">
      <c r="A58" s="9">
        <f t="shared" si="1"/>
        <v>48</v>
      </c>
      <c r="B58" s="4"/>
      <c r="C58" s="15" t="s">
        <v>22</v>
      </c>
      <c r="D58" s="144">
        <f>SUM(D53:D57)</f>
        <v>0.6018</v>
      </c>
      <c r="E58" s="47">
        <f>SUM(E53:E57)</f>
        <v>37238.090000000004</v>
      </c>
      <c r="F58" s="2"/>
      <c r="G58" s="2"/>
      <c r="H58" s="169"/>
      <c r="I58" s="2"/>
      <c r="L58" s="40"/>
      <c r="M58" s="40"/>
      <c r="N58" s="96"/>
    </row>
    <row r="59" spans="1:22">
      <c r="A59" s="9">
        <f t="shared" si="1"/>
        <v>49</v>
      </c>
      <c r="B59" s="1"/>
      <c r="D59" s="76"/>
      <c r="E59" s="40"/>
      <c r="F59" s="2"/>
      <c r="G59" s="2"/>
      <c r="H59" s="2"/>
      <c r="I59" s="2"/>
      <c r="L59" s="40"/>
      <c r="M59" s="40"/>
      <c r="N59" s="96"/>
    </row>
    <row r="60" spans="1:22">
      <c r="A60" s="9">
        <f t="shared" si="1"/>
        <v>50</v>
      </c>
      <c r="B60" s="1" t="s">
        <v>219</v>
      </c>
      <c r="C60" s="10" t="s">
        <v>216</v>
      </c>
      <c r="D60" s="76">
        <v>0.3982</v>
      </c>
      <c r="E60" s="33">
        <f>ROUND(D60*$I$44,2)</f>
        <v>24639.75</v>
      </c>
      <c r="F60" s="2"/>
      <c r="G60" s="2"/>
      <c r="H60" s="261"/>
      <c r="I60" s="2"/>
      <c r="L60" s="2"/>
      <c r="M60" s="33"/>
      <c r="N60" s="96"/>
    </row>
    <row r="61" spans="1:22">
      <c r="A61" s="9">
        <f t="shared" si="1"/>
        <v>51</v>
      </c>
      <c r="B61" s="4"/>
      <c r="C61" s="15" t="s">
        <v>22</v>
      </c>
      <c r="D61" s="77">
        <f>SUM(D60:D60)</f>
        <v>0.3982</v>
      </c>
      <c r="E61" s="97">
        <f>SUM(E60:E60)</f>
        <v>24639.75</v>
      </c>
      <c r="L61" s="2"/>
      <c r="M61" s="33"/>
      <c r="N61" s="96"/>
    </row>
    <row r="62" spans="1:22">
      <c r="A62" s="9">
        <f t="shared" si="1"/>
        <v>52</v>
      </c>
      <c r="B62" s="1"/>
      <c r="D62" s="34"/>
      <c r="E62" s="40"/>
      <c r="L62" s="2"/>
      <c r="M62" s="33"/>
      <c r="N62" s="96"/>
    </row>
    <row r="63" spans="1:22" ht="13.5" thickBot="1">
      <c r="A63" s="9">
        <f t="shared" si="1"/>
        <v>53</v>
      </c>
      <c r="B63" s="42"/>
      <c r="C63" s="19" t="s">
        <v>43</v>
      </c>
      <c r="D63" s="43">
        <f>D58+D61</f>
        <v>1</v>
      </c>
      <c r="E63" s="98">
        <f>E61+E58</f>
        <v>61877.840000000004</v>
      </c>
      <c r="H63" s="141"/>
      <c r="L63" s="2"/>
      <c r="M63" s="33"/>
      <c r="N63" s="96"/>
    </row>
    <row r="64" spans="1:22" ht="13.5" thickTop="1">
      <c r="L64" s="40"/>
      <c r="M64" s="40"/>
      <c r="N64" s="96"/>
    </row>
    <row r="65" spans="12:14">
      <c r="L65" s="40"/>
      <c r="M65" s="40"/>
      <c r="N65" s="34"/>
    </row>
    <row r="66" spans="12:14">
      <c r="L66" s="454"/>
      <c r="M66" s="454"/>
      <c r="N66" s="34"/>
    </row>
  </sheetData>
  <mergeCells count="5">
    <mergeCell ref="B49:I49"/>
    <mergeCell ref="L66:M66"/>
    <mergeCell ref="A3:I3"/>
    <mergeCell ref="A4:I4"/>
    <mergeCell ref="A6:I6"/>
  </mergeCells>
  <printOptions horizontalCentered="1"/>
  <pageMargins left="1" right="0.75" top="0.75" bottom="0.5" header="0.5" footer="0.5"/>
  <pageSetup scale="71" fitToHeight="2" orientation="portrait" r:id="rId1"/>
  <headerFooter alignWithMargins="0">
    <oddFooter>&amp;RExhibit  JW-2
Page &amp;P of &amp;N]</oddFooter>
  </headerFooter>
  <ignoredErrors>
    <ignoredError sqref="D9:I9 B9:C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A744B-D62C-4459-AC18-BF75EB8D6341}">
  <sheetPr>
    <pageSetUpPr fitToPage="1"/>
  </sheetPr>
  <dimension ref="A1:J420"/>
  <sheetViews>
    <sheetView view="pageBreakPreview" zoomScale="60" zoomScaleNormal="100" workbookViewId="0">
      <selection activeCell="N30" sqref="N30"/>
    </sheetView>
  </sheetViews>
  <sheetFormatPr defaultColWidth="9.140625" defaultRowHeight="12.75"/>
  <cols>
    <col min="1" max="1" width="5.140625" style="10" bestFit="1" customWidth="1"/>
    <col min="2" max="2" width="10.85546875" style="10" bestFit="1" customWidth="1"/>
    <col min="3" max="3" width="39.42578125" style="10" bestFit="1" customWidth="1"/>
    <col min="4" max="4" width="45.42578125" style="10" bestFit="1" customWidth="1"/>
    <col min="5" max="5" width="11.28515625" style="10" bestFit="1" customWidth="1"/>
    <col min="6" max="6" width="22.5703125" style="10" hidden="1" customWidth="1"/>
    <col min="7" max="7" width="30" style="10" customWidth="1"/>
    <col min="8" max="8" width="13.28515625" style="10" bestFit="1" customWidth="1"/>
    <col min="9" max="9" width="53.7109375" style="10" bestFit="1" customWidth="1"/>
    <col min="10" max="10" width="13.7109375" style="10" customWidth="1"/>
    <col min="11" max="17" width="9.140625" style="10"/>
    <col min="18" max="18" width="16.7109375" style="10" bestFit="1" customWidth="1"/>
    <col min="19" max="16384" width="9.140625" style="10"/>
  </cols>
  <sheetData>
    <row r="1" spans="1:10">
      <c r="J1" s="5" t="s">
        <v>223</v>
      </c>
    </row>
    <row r="2" spans="1:10" ht="20.25" customHeight="1"/>
    <row r="3" spans="1:10">
      <c r="B3" s="447" t="str">
        <f>RevReq!A1</f>
        <v>SOUTH KENTUCKY R.E.C.C.</v>
      </c>
      <c r="C3" s="447"/>
      <c r="D3" s="447"/>
      <c r="E3" s="447"/>
      <c r="F3" s="447"/>
      <c r="G3" s="447"/>
      <c r="H3" s="447"/>
      <c r="I3" s="447"/>
      <c r="J3" s="447"/>
    </row>
    <row r="4" spans="1:10">
      <c r="B4" s="447" t="str">
        <f>RevReq!A3</f>
        <v>For the 12 Months Ended May 2024</v>
      </c>
      <c r="C4" s="447"/>
      <c r="D4" s="447"/>
      <c r="E4" s="447"/>
      <c r="F4" s="447"/>
      <c r="G4" s="447"/>
      <c r="H4" s="447"/>
      <c r="I4" s="447"/>
      <c r="J4" s="447"/>
    </row>
    <row r="6" spans="1:10" s="6" customFormat="1" ht="15" customHeight="1">
      <c r="B6" s="448" t="s">
        <v>277</v>
      </c>
      <c r="C6" s="448"/>
      <c r="D6" s="448"/>
      <c r="E6" s="448"/>
      <c r="F6" s="448"/>
      <c r="G6" s="448"/>
      <c r="H6" s="448"/>
      <c r="I6" s="448"/>
      <c r="J6" s="448"/>
    </row>
    <row r="7" spans="1:10" s="6" customFormat="1" ht="15" customHeight="1">
      <c r="B7" s="135"/>
      <c r="C7" s="351"/>
      <c r="D7" s="135"/>
      <c r="E7" s="135"/>
      <c r="F7" s="135"/>
      <c r="G7" s="135"/>
      <c r="H7" s="135"/>
      <c r="I7" s="135"/>
      <c r="J7" s="135"/>
    </row>
    <row r="8" spans="1:10">
      <c r="A8" s="422" t="s">
        <v>0</v>
      </c>
      <c r="B8" s="132" t="s">
        <v>278</v>
      </c>
      <c r="C8" s="132" t="s">
        <v>826</v>
      </c>
      <c r="D8" s="132" t="s">
        <v>827</v>
      </c>
      <c r="E8" s="132" t="s">
        <v>284</v>
      </c>
      <c r="F8" s="132" t="s">
        <v>828</v>
      </c>
      <c r="G8" s="132" t="s">
        <v>829</v>
      </c>
      <c r="H8" s="132" t="s">
        <v>267</v>
      </c>
      <c r="I8" s="132" t="s">
        <v>831</v>
      </c>
      <c r="J8" s="132" t="s">
        <v>830</v>
      </c>
    </row>
    <row r="9" spans="1:10">
      <c r="A9" s="14">
        <v>1</v>
      </c>
      <c r="B9" s="9">
        <v>930.1</v>
      </c>
      <c r="C9" s="10" t="s">
        <v>832</v>
      </c>
      <c r="D9" s="10" t="s">
        <v>774</v>
      </c>
      <c r="E9" s="360">
        <v>45154</v>
      </c>
      <c r="F9" s="10">
        <v>0</v>
      </c>
      <c r="H9" s="141">
        <v>-200</v>
      </c>
      <c r="I9" s="10" t="s">
        <v>833</v>
      </c>
      <c r="J9" s="141">
        <f t="shared" ref="J9:J72" si="0">H9</f>
        <v>-200</v>
      </c>
    </row>
    <row r="10" spans="1:10">
      <c r="A10" s="14">
        <v>2</v>
      </c>
      <c r="B10" s="9">
        <v>930.1</v>
      </c>
      <c r="C10" s="10" t="s">
        <v>832</v>
      </c>
      <c r="D10" s="10" t="s">
        <v>774</v>
      </c>
      <c r="E10" s="360">
        <v>45154</v>
      </c>
      <c r="F10" s="10">
        <v>0</v>
      </c>
      <c r="H10" s="141">
        <v>200</v>
      </c>
      <c r="I10" s="10" t="s">
        <v>834</v>
      </c>
      <c r="J10" s="141">
        <f t="shared" si="0"/>
        <v>200</v>
      </c>
    </row>
    <row r="11" spans="1:10">
      <c r="A11" s="14">
        <v>3</v>
      </c>
      <c r="B11" s="9">
        <v>930.1</v>
      </c>
      <c r="C11" s="10" t="s">
        <v>832</v>
      </c>
      <c r="D11" s="10" t="s">
        <v>835</v>
      </c>
      <c r="E11" s="360">
        <v>45138</v>
      </c>
      <c r="F11" s="10">
        <v>0</v>
      </c>
      <c r="H11" s="141">
        <v>11.56</v>
      </c>
      <c r="I11" s="10" t="s">
        <v>836</v>
      </c>
      <c r="J11" s="141">
        <f t="shared" si="0"/>
        <v>11.56</v>
      </c>
    </row>
    <row r="12" spans="1:10">
      <c r="A12" s="14">
        <v>4</v>
      </c>
      <c r="B12" s="9">
        <v>930.1</v>
      </c>
      <c r="C12" s="10" t="s">
        <v>832</v>
      </c>
      <c r="D12" s="10" t="s">
        <v>835</v>
      </c>
      <c r="E12" s="360">
        <v>45443</v>
      </c>
      <c r="F12" s="10">
        <v>0</v>
      </c>
      <c r="H12" s="141">
        <v>43.68</v>
      </c>
      <c r="I12" s="10" t="s">
        <v>836</v>
      </c>
      <c r="J12" s="141">
        <f t="shared" si="0"/>
        <v>43.68</v>
      </c>
    </row>
    <row r="13" spans="1:10">
      <c r="A13" s="14">
        <v>5</v>
      </c>
      <c r="B13" s="9">
        <v>930.1</v>
      </c>
      <c r="C13" s="10" t="s">
        <v>832</v>
      </c>
      <c r="D13" s="10" t="s">
        <v>835</v>
      </c>
      <c r="E13" s="360">
        <v>45351</v>
      </c>
      <c r="F13" s="10">
        <v>0</v>
      </c>
      <c r="H13" s="141">
        <v>43.68</v>
      </c>
      <c r="I13" s="10" t="s">
        <v>836</v>
      </c>
      <c r="J13" s="141">
        <f t="shared" si="0"/>
        <v>43.68</v>
      </c>
    </row>
    <row r="14" spans="1:10">
      <c r="A14" s="14">
        <v>6</v>
      </c>
      <c r="B14" s="9">
        <v>930.1</v>
      </c>
      <c r="C14" s="10" t="s">
        <v>832</v>
      </c>
      <c r="D14" s="10" t="s">
        <v>835</v>
      </c>
      <c r="E14" s="360">
        <v>45291</v>
      </c>
      <c r="F14" s="10">
        <v>0</v>
      </c>
      <c r="H14" s="141">
        <v>57.03</v>
      </c>
      <c r="I14" s="10" t="s">
        <v>836</v>
      </c>
      <c r="J14" s="141">
        <f t="shared" si="0"/>
        <v>57.03</v>
      </c>
    </row>
    <row r="15" spans="1:10">
      <c r="A15" s="14">
        <v>7</v>
      </c>
      <c r="B15" s="9">
        <v>930.11</v>
      </c>
      <c r="C15" s="10" t="s">
        <v>958</v>
      </c>
      <c r="D15" s="10" t="s">
        <v>835</v>
      </c>
      <c r="E15" s="360">
        <v>45322</v>
      </c>
      <c r="F15" s="10">
        <v>0</v>
      </c>
      <c r="H15" s="141">
        <v>45.6</v>
      </c>
      <c r="I15" s="10" t="s">
        <v>836</v>
      </c>
      <c r="J15" s="141">
        <f t="shared" si="0"/>
        <v>45.6</v>
      </c>
    </row>
    <row r="16" spans="1:10">
      <c r="A16" s="14">
        <v>8</v>
      </c>
      <c r="B16" s="9">
        <v>930.2</v>
      </c>
      <c r="C16" s="10" t="s">
        <v>967</v>
      </c>
      <c r="D16" s="10" t="s">
        <v>835</v>
      </c>
      <c r="E16" s="360">
        <v>45412</v>
      </c>
      <c r="F16" s="10">
        <v>0</v>
      </c>
      <c r="H16" s="141">
        <v>1.08</v>
      </c>
      <c r="I16" s="10" t="s">
        <v>836</v>
      </c>
      <c r="J16" s="141">
        <f t="shared" si="0"/>
        <v>1.08</v>
      </c>
    </row>
    <row r="17" spans="1:10">
      <c r="A17" s="14">
        <v>9</v>
      </c>
      <c r="B17" s="9">
        <v>930.2</v>
      </c>
      <c r="C17" s="10" t="s">
        <v>967</v>
      </c>
      <c r="D17" s="10" t="s">
        <v>835</v>
      </c>
      <c r="E17" s="360">
        <v>45412</v>
      </c>
      <c r="F17" s="10">
        <v>0</v>
      </c>
      <c r="H17" s="141">
        <v>3.23</v>
      </c>
      <c r="I17" s="10" t="s">
        <v>836</v>
      </c>
      <c r="J17" s="141">
        <f t="shared" si="0"/>
        <v>3.23</v>
      </c>
    </row>
    <row r="18" spans="1:10">
      <c r="A18" s="14">
        <v>10</v>
      </c>
      <c r="B18" s="9">
        <v>930.2</v>
      </c>
      <c r="C18" s="10" t="s">
        <v>967</v>
      </c>
      <c r="D18" s="10" t="s">
        <v>835</v>
      </c>
      <c r="E18" s="360">
        <v>45382</v>
      </c>
      <c r="F18" s="10">
        <v>0</v>
      </c>
      <c r="H18" s="141">
        <v>3.23</v>
      </c>
      <c r="I18" s="10" t="s">
        <v>836</v>
      </c>
      <c r="J18" s="141">
        <f t="shared" si="0"/>
        <v>3.23</v>
      </c>
    </row>
    <row r="19" spans="1:10">
      <c r="A19" s="14">
        <v>11</v>
      </c>
      <c r="B19" s="9">
        <v>930.2</v>
      </c>
      <c r="C19" s="10" t="s">
        <v>967</v>
      </c>
      <c r="D19" s="10" t="s">
        <v>835</v>
      </c>
      <c r="E19" s="360">
        <v>45322</v>
      </c>
      <c r="F19" s="10">
        <v>0</v>
      </c>
      <c r="H19" s="141">
        <v>3.71</v>
      </c>
      <c r="I19" s="10" t="s">
        <v>836</v>
      </c>
      <c r="J19" s="141">
        <f t="shared" si="0"/>
        <v>3.71</v>
      </c>
    </row>
    <row r="20" spans="1:10">
      <c r="A20" s="14">
        <v>12</v>
      </c>
      <c r="B20" s="9">
        <v>930.2</v>
      </c>
      <c r="C20" s="10" t="s">
        <v>967</v>
      </c>
      <c r="D20" s="10" t="s">
        <v>835</v>
      </c>
      <c r="E20" s="360">
        <v>45322</v>
      </c>
      <c r="F20" s="10">
        <v>0</v>
      </c>
      <c r="H20" s="141">
        <v>10.77</v>
      </c>
      <c r="I20" s="10" t="s">
        <v>836</v>
      </c>
      <c r="J20" s="141">
        <f t="shared" si="0"/>
        <v>10.77</v>
      </c>
    </row>
    <row r="21" spans="1:10">
      <c r="A21" s="14">
        <v>13</v>
      </c>
      <c r="B21" s="9">
        <v>930.2</v>
      </c>
      <c r="C21" s="10" t="s">
        <v>967</v>
      </c>
      <c r="D21" s="10" t="s">
        <v>835</v>
      </c>
      <c r="E21" s="360">
        <v>45138</v>
      </c>
      <c r="F21" s="10">
        <v>0</v>
      </c>
      <c r="H21" s="141">
        <v>11.51</v>
      </c>
      <c r="I21" s="10" t="s">
        <v>836</v>
      </c>
      <c r="J21" s="141">
        <f t="shared" si="0"/>
        <v>11.51</v>
      </c>
    </row>
    <row r="22" spans="1:10">
      <c r="A22" s="14">
        <v>14</v>
      </c>
      <c r="B22" s="9">
        <v>930.2</v>
      </c>
      <c r="C22" s="10" t="s">
        <v>967</v>
      </c>
      <c r="D22" s="10" t="s">
        <v>835</v>
      </c>
      <c r="E22" s="360">
        <v>45443</v>
      </c>
      <c r="F22" s="10">
        <v>0</v>
      </c>
      <c r="H22" s="141">
        <v>11.85</v>
      </c>
      <c r="I22" s="10" t="s">
        <v>836</v>
      </c>
      <c r="J22" s="141">
        <f t="shared" si="0"/>
        <v>11.85</v>
      </c>
    </row>
    <row r="23" spans="1:10">
      <c r="A23" s="14">
        <v>15</v>
      </c>
      <c r="B23" s="9">
        <v>930.2</v>
      </c>
      <c r="C23" s="10" t="s">
        <v>967</v>
      </c>
      <c r="D23" s="10" t="s">
        <v>835</v>
      </c>
      <c r="E23" s="360">
        <v>45412</v>
      </c>
      <c r="F23" s="10">
        <v>0</v>
      </c>
      <c r="H23" s="141">
        <v>11.85</v>
      </c>
      <c r="I23" s="10" t="s">
        <v>836</v>
      </c>
      <c r="J23" s="141">
        <f t="shared" si="0"/>
        <v>11.85</v>
      </c>
    </row>
    <row r="24" spans="1:10">
      <c r="A24" s="14">
        <v>16</v>
      </c>
      <c r="B24" s="9">
        <v>930.2</v>
      </c>
      <c r="C24" s="10" t="s">
        <v>967</v>
      </c>
      <c r="D24" s="10" t="s">
        <v>835</v>
      </c>
      <c r="E24" s="360">
        <v>45351</v>
      </c>
      <c r="F24" s="10">
        <v>0</v>
      </c>
      <c r="H24" s="141">
        <v>11.85</v>
      </c>
      <c r="I24" s="10" t="s">
        <v>836</v>
      </c>
      <c r="J24" s="141">
        <f t="shared" si="0"/>
        <v>11.85</v>
      </c>
    </row>
    <row r="25" spans="1:10">
      <c r="A25" s="14">
        <v>17</v>
      </c>
      <c r="B25" s="9">
        <v>930.2</v>
      </c>
      <c r="C25" s="10" t="s">
        <v>967</v>
      </c>
      <c r="D25" s="10" t="s">
        <v>835</v>
      </c>
      <c r="E25" s="360">
        <v>45138</v>
      </c>
      <c r="F25" s="10">
        <v>0</v>
      </c>
      <c r="H25" s="141">
        <v>11.85</v>
      </c>
      <c r="I25" s="10" t="s">
        <v>836</v>
      </c>
      <c r="J25" s="141">
        <f t="shared" si="0"/>
        <v>11.85</v>
      </c>
    </row>
    <row r="26" spans="1:10">
      <c r="A26" s="14">
        <v>18</v>
      </c>
      <c r="B26" s="9">
        <v>930.2</v>
      </c>
      <c r="C26" s="10" t="s">
        <v>967</v>
      </c>
      <c r="D26" s="10" t="s">
        <v>835</v>
      </c>
      <c r="E26" s="360">
        <v>45260</v>
      </c>
      <c r="F26" s="10">
        <v>0</v>
      </c>
      <c r="H26" s="141">
        <v>14.9</v>
      </c>
      <c r="I26" s="10" t="s">
        <v>836</v>
      </c>
      <c r="J26" s="141">
        <f t="shared" si="0"/>
        <v>14.9</v>
      </c>
    </row>
    <row r="27" spans="1:10">
      <c r="A27" s="14">
        <v>19</v>
      </c>
      <c r="B27" s="9">
        <v>930.2</v>
      </c>
      <c r="C27" s="10" t="s">
        <v>967</v>
      </c>
      <c r="D27" s="10" t="s">
        <v>835</v>
      </c>
      <c r="E27" s="360">
        <v>45107</v>
      </c>
      <c r="F27" s="10">
        <v>0</v>
      </c>
      <c r="H27" s="141">
        <v>21.54</v>
      </c>
      <c r="I27" s="10" t="s">
        <v>836</v>
      </c>
      <c r="J27" s="141">
        <f t="shared" si="0"/>
        <v>21.54</v>
      </c>
    </row>
    <row r="28" spans="1:10">
      <c r="A28" s="14">
        <v>20</v>
      </c>
      <c r="B28" s="9">
        <v>930.2</v>
      </c>
      <c r="C28" s="10" t="s">
        <v>967</v>
      </c>
      <c r="D28" s="10" t="s">
        <v>835</v>
      </c>
      <c r="E28" s="360">
        <v>45291</v>
      </c>
      <c r="F28" s="10">
        <v>0</v>
      </c>
      <c r="H28" s="141">
        <v>78.63</v>
      </c>
      <c r="I28" s="10" t="s">
        <v>836</v>
      </c>
      <c r="J28" s="141">
        <f t="shared" si="0"/>
        <v>78.63</v>
      </c>
    </row>
    <row r="29" spans="1:10">
      <c r="A29" s="14">
        <v>21</v>
      </c>
      <c r="B29" s="9">
        <v>930.28</v>
      </c>
      <c r="C29" s="10" t="s">
        <v>605</v>
      </c>
      <c r="D29" s="10" t="s">
        <v>835</v>
      </c>
      <c r="E29" s="360">
        <v>45230</v>
      </c>
      <c r="F29" s="10">
        <v>0</v>
      </c>
      <c r="H29" s="141">
        <v>11.1</v>
      </c>
      <c r="I29" s="10" t="s">
        <v>836</v>
      </c>
      <c r="J29" s="141">
        <f t="shared" si="0"/>
        <v>11.1</v>
      </c>
    </row>
    <row r="30" spans="1:10">
      <c r="A30" s="14">
        <v>22</v>
      </c>
      <c r="B30" s="10">
        <v>426.3</v>
      </c>
      <c r="C30" s="10" t="s">
        <v>796</v>
      </c>
      <c r="D30" s="10" t="s">
        <v>797</v>
      </c>
      <c r="E30" s="360">
        <v>45322</v>
      </c>
      <c r="F30" s="10">
        <v>0</v>
      </c>
      <c r="H30" s="10">
        <v>21.64</v>
      </c>
      <c r="I30" s="10" t="s">
        <v>798</v>
      </c>
      <c r="J30" s="141">
        <f t="shared" si="0"/>
        <v>21.64</v>
      </c>
    </row>
    <row r="31" spans="1:10">
      <c r="A31" s="14">
        <v>23</v>
      </c>
      <c r="B31" s="9">
        <v>930.2</v>
      </c>
      <c r="C31" s="10" t="s">
        <v>967</v>
      </c>
      <c r="D31" s="10" t="s">
        <v>969</v>
      </c>
      <c r="E31" s="360">
        <v>45291</v>
      </c>
      <c r="F31" s="10">
        <v>0</v>
      </c>
      <c r="H31" s="141">
        <v>7958.87</v>
      </c>
      <c r="I31" s="10" t="s">
        <v>970</v>
      </c>
      <c r="J31" s="141">
        <f t="shared" si="0"/>
        <v>7958.87</v>
      </c>
    </row>
    <row r="32" spans="1:10">
      <c r="A32" s="14">
        <v>24</v>
      </c>
      <c r="B32" s="9">
        <v>930.2</v>
      </c>
      <c r="C32" s="10" t="s">
        <v>967</v>
      </c>
      <c r="D32" s="10" t="s">
        <v>971</v>
      </c>
      <c r="E32" s="360">
        <v>45209</v>
      </c>
      <c r="F32" s="10">
        <v>207035</v>
      </c>
      <c r="G32" s="10" t="s">
        <v>972</v>
      </c>
      <c r="H32" s="141">
        <v>715.5</v>
      </c>
      <c r="I32" s="10" t="s">
        <v>973</v>
      </c>
      <c r="J32" s="141">
        <f t="shared" si="0"/>
        <v>715.5</v>
      </c>
    </row>
    <row r="33" spans="1:10">
      <c r="A33" s="14">
        <v>25</v>
      </c>
      <c r="B33" s="9">
        <v>930.2</v>
      </c>
      <c r="C33" s="10" t="s">
        <v>967</v>
      </c>
      <c r="D33" s="10" t="s">
        <v>971</v>
      </c>
      <c r="E33" s="360">
        <v>45194</v>
      </c>
      <c r="F33" s="10">
        <v>0</v>
      </c>
      <c r="H33" s="141">
        <v>532.95000000000005</v>
      </c>
      <c r="I33" s="10" t="s">
        <v>974</v>
      </c>
      <c r="J33" s="141">
        <f t="shared" si="0"/>
        <v>532.95000000000005</v>
      </c>
    </row>
    <row r="34" spans="1:10">
      <c r="A34" s="14">
        <v>26</v>
      </c>
      <c r="B34" s="9">
        <v>930.28</v>
      </c>
      <c r="C34" s="10" t="s">
        <v>605</v>
      </c>
      <c r="D34" s="10" t="s">
        <v>1123</v>
      </c>
      <c r="E34" s="360">
        <v>45208</v>
      </c>
      <c r="F34" s="10">
        <v>7304</v>
      </c>
      <c r="G34" s="10" t="s">
        <v>1066</v>
      </c>
      <c r="H34" s="141">
        <v>8.58</v>
      </c>
      <c r="I34" s="10" t="s">
        <v>1124</v>
      </c>
      <c r="J34" s="141">
        <f t="shared" si="0"/>
        <v>8.58</v>
      </c>
    </row>
    <row r="35" spans="1:10">
      <c r="A35" s="14">
        <v>27</v>
      </c>
      <c r="B35" s="9">
        <v>930.28</v>
      </c>
      <c r="C35" s="10" t="s">
        <v>605</v>
      </c>
      <c r="D35" s="10" t="s">
        <v>1123</v>
      </c>
      <c r="E35" s="360">
        <v>45131</v>
      </c>
      <c r="F35" s="10">
        <v>7140</v>
      </c>
      <c r="G35" s="10" t="s">
        <v>1066</v>
      </c>
      <c r="H35" s="141">
        <v>7.92</v>
      </c>
      <c r="I35" s="10" t="s">
        <v>1124</v>
      </c>
      <c r="J35" s="141">
        <f t="shared" si="0"/>
        <v>7.92</v>
      </c>
    </row>
    <row r="36" spans="1:10">
      <c r="A36" s="14">
        <v>28</v>
      </c>
      <c r="B36" s="9">
        <v>930.28</v>
      </c>
      <c r="C36" s="10" t="s">
        <v>605</v>
      </c>
      <c r="D36" s="10" t="s">
        <v>1123</v>
      </c>
      <c r="E36" s="360">
        <v>45210</v>
      </c>
      <c r="F36" s="10">
        <v>727</v>
      </c>
      <c r="G36" s="10" t="s">
        <v>1066</v>
      </c>
      <c r="H36" s="141">
        <v>66</v>
      </c>
      <c r="I36" s="10" t="s">
        <v>1124</v>
      </c>
      <c r="J36" s="141">
        <f t="shared" si="0"/>
        <v>66</v>
      </c>
    </row>
    <row r="37" spans="1:10">
      <c r="A37" s="14">
        <v>29</v>
      </c>
      <c r="B37" s="9">
        <v>930.28</v>
      </c>
      <c r="C37" s="10" t="s">
        <v>605</v>
      </c>
      <c r="D37" s="10" t="s">
        <v>1103</v>
      </c>
      <c r="E37" s="360">
        <v>45188</v>
      </c>
      <c r="F37" s="10">
        <v>206600</v>
      </c>
      <c r="G37" s="10" t="s">
        <v>1104</v>
      </c>
      <c r="H37" s="141">
        <v>185</v>
      </c>
      <c r="I37" s="10" t="s">
        <v>1105</v>
      </c>
      <c r="J37" s="141">
        <f t="shared" si="0"/>
        <v>185</v>
      </c>
    </row>
    <row r="38" spans="1:10">
      <c r="A38" s="14">
        <v>30</v>
      </c>
      <c r="B38" s="10">
        <v>426.4</v>
      </c>
      <c r="C38" s="10" t="s">
        <v>799</v>
      </c>
      <c r="D38" s="10" t="s">
        <v>806</v>
      </c>
      <c r="E38" s="360">
        <v>45357</v>
      </c>
      <c r="F38" s="10">
        <v>7743</v>
      </c>
      <c r="G38" s="10" t="s">
        <v>807</v>
      </c>
      <c r="H38" s="10">
        <v>893.14</v>
      </c>
      <c r="I38" s="10" t="s">
        <v>808</v>
      </c>
      <c r="J38" s="141">
        <f t="shared" si="0"/>
        <v>893.14</v>
      </c>
    </row>
    <row r="39" spans="1:10">
      <c r="A39" s="14">
        <v>31</v>
      </c>
      <c r="B39" s="10">
        <v>426.4</v>
      </c>
      <c r="C39" s="10" t="s">
        <v>799</v>
      </c>
      <c r="D39" s="10" t="s">
        <v>806</v>
      </c>
      <c r="E39" s="360">
        <v>45336</v>
      </c>
      <c r="F39" s="10">
        <v>208199</v>
      </c>
      <c r="G39" s="10" t="s">
        <v>791</v>
      </c>
      <c r="H39" s="10">
        <v>500</v>
      </c>
      <c r="I39" s="10" t="s">
        <v>810</v>
      </c>
      <c r="J39" s="141">
        <f t="shared" si="0"/>
        <v>500</v>
      </c>
    </row>
    <row r="40" spans="1:10">
      <c r="A40" s="14">
        <v>32</v>
      </c>
      <c r="B40" s="10">
        <v>426.4</v>
      </c>
      <c r="C40" s="10" t="s">
        <v>799</v>
      </c>
      <c r="D40" s="10" t="s">
        <v>806</v>
      </c>
      <c r="E40" s="360">
        <v>45301</v>
      </c>
      <c r="F40" s="10">
        <v>208058</v>
      </c>
      <c r="G40" s="10" t="s">
        <v>813</v>
      </c>
      <c r="H40" s="10">
        <v>500</v>
      </c>
      <c r="I40" s="10" t="s">
        <v>814</v>
      </c>
      <c r="J40" s="141">
        <f t="shared" si="0"/>
        <v>500</v>
      </c>
    </row>
    <row r="41" spans="1:10">
      <c r="A41" s="14">
        <v>33</v>
      </c>
      <c r="B41" s="10">
        <v>426.4</v>
      </c>
      <c r="C41" s="10" t="s">
        <v>799</v>
      </c>
      <c r="D41" s="10" t="s">
        <v>806</v>
      </c>
      <c r="E41" s="360">
        <v>45311</v>
      </c>
      <c r="F41" s="10">
        <v>207931</v>
      </c>
      <c r="G41" s="10" t="s">
        <v>815</v>
      </c>
      <c r="H41" s="10">
        <v>315</v>
      </c>
      <c r="I41" s="10" t="s">
        <v>816</v>
      </c>
      <c r="J41" s="141">
        <f t="shared" si="0"/>
        <v>315</v>
      </c>
    </row>
    <row r="42" spans="1:10">
      <c r="A42" s="14">
        <v>34</v>
      </c>
      <c r="B42" s="10">
        <v>426.4</v>
      </c>
      <c r="C42" s="10" t="s">
        <v>799</v>
      </c>
      <c r="D42" s="10" t="s">
        <v>806</v>
      </c>
      <c r="E42" s="360">
        <v>45293</v>
      </c>
      <c r="F42" s="10">
        <v>207515</v>
      </c>
      <c r="G42" s="10" t="s">
        <v>817</v>
      </c>
      <c r="H42" s="10">
        <v>390</v>
      </c>
      <c r="I42" s="10" t="s">
        <v>818</v>
      </c>
      <c r="J42" s="141">
        <f t="shared" si="0"/>
        <v>390</v>
      </c>
    </row>
    <row r="43" spans="1:10">
      <c r="A43" s="14">
        <v>35</v>
      </c>
      <c r="B43" s="9">
        <v>930.28</v>
      </c>
      <c r="C43" s="10" t="s">
        <v>605</v>
      </c>
      <c r="D43" s="10" t="s">
        <v>806</v>
      </c>
      <c r="E43" s="360">
        <v>45136</v>
      </c>
      <c r="F43" s="10">
        <v>598</v>
      </c>
      <c r="G43" s="10" t="s">
        <v>1066</v>
      </c>
      <c r="H43" s="141">
        <v>337.75</v>
      </c>
      <c r="I43" s="10" t="s">
        <v>1125</v>
      </c>
      <c r="J43" s="141">
        <f t="shared" si="0"/>
        <v>337.75</v>
      </c>
    </row>
    <row r="44" spans="1:10">
      <c r="A44" s="14">
        <v>36</v>
      </c>
      <c r="B44" s="9">
        <v>930.11</v>
      </c>
      <c r="C44" s="10" t="s">
        <v>958</v>
      </c>
      <c r="D44" s="10" t="s">
        <v>959</v>
      </c>
      <c r="E44" s="360">
        <v>45246</v>
      </c>
      <c r="F44" s="10">
        <v>7389</v>
      </c>
      <c r="G44" s="10" t="s">
        <v>960</v>
      </c>
      <c r="H44" s="141">
        <v>25</v>
      </c>
      <c r="I44" s="10" t="s">
        <v>961</v>
      </c>
      <c r="J44" s="141">
        <f t="shared" si="0"/>
        <v>25</v>
      </c>
    </row>
    <row r="45" spans="1:10">
      <c r="A45" s="14">
        <v>37</v>
      </c>
      <c r="B45" s="9">
        <v>930.28</v>
      </c>
      <c r="C45" s="10" t="s">
        <v>605</v>
      </c>
      <c r="D45" s="10" t="s">
        <v>959</v>
      </c>
      <c r="E45" s="360">
        <v>45261</v>
      </c>
      <c r="F45" s="10">
        <v>805</v>
      </c>
      <c r="G45" s="10" t="s">
        <v>1066</v>
      </c>
      <c r="H45" s="141">
        <v>5</v>
      </c>
      <c r="I45" s="10" t="s">
        <v>1126</v>
      </c>
      <c r="J45" s="141">
        <f t="shared" si="0"/>
        <v>5</v>
      </c>
    </row>
    <row r="46" spans="1:10">
      <c r="A46" s="14">
        <v>38</v>
      </c>
      <c r="B46" s="9">
        <v>930.28</v>
      </c>
      <c r="C46" s="10" t="s">
        <v>605</v>
      </c>
      <c r="D46" s="10" t="s">
        <v>959</v>
      </c>
      <c r="E46" s="360">
        <v>45257</v>
      </c>
      <c r="F46" s="10">
        <v>802</v>
      </c>
      <c r="G46" s="10" t="s">
        <v>1066</v>
      </c>
      <c r="H46" s="141">
        <v>5</v>
      </c>
      <c r="I46" s="10" t="s">
        <v>1126</v>
      </c>
      <c r="J46" s="141">
        <f t="shared" si="0"/>
        <v>5</v>
      </c>
    </row>
    <row r="47" spans="1:10">
      <c r="A47" s="14">
        <v>39</v>
      </c>
      <c r="B47" s="10">
        <v>426.4</v>
      </c>
      <c r="C47" s="10" t="s">
        <v>799</v>
      </c>
      <c r="D47" s="10" t="s">
        <v>821</v>
      </c>
      <c r="E47" s="360">
        <v>45174</v>
      </c>
      <c r="F47" s="10">
        <v>206381</v>
      </c>
      <c r="G47" s="10" t="s">
        <v>813</v>
      </c>
      <c r="H47" s="10">
        <v>250</v>
      </c>
      <c r="I47" s="10" t="s">
        <v>822</v>
      </c>
      <c r="J47" s="141">
        <f t="shared" si="0"/>
        <v>250</v>
      </c>
    </row>
    <row r="48" spans="1:10">
      <c r="A48" s="14">
        <v>40</v>
      </c>
      <c r="B48" s="9">
        <v>930.1</v>
      </c>
      <c r="C48" s="10" t="s">
        <v>832</v>
      </c>
      <c r="D48" s="10" t="s">
        <v>821</v>
      </c>
      <c r="E48" s="360">
        <v>45231</v>
      </c>
      <c r="F48" s="10">
        <v>207323</v>
      </c>
      <c r="G48" s="10" t="s">
        <v>837</v>
      </c>
      <c r="H48" s="141">
        <v>432.73</v>
      </c>
      <c r="I48" s="10" t="s">
        <v>838</v>
      </c>
      <c r="J48" s="141">
        <f t="shared" si="0"/>
        <v>432.73</v>
      </c>
    </row>
    <row r="49" spans="1:10">
      <c r="A49" s="14">
        <v>41</v>
      </c>
      <c r="B49" s="9">
        <v>930.1</v>
      </c>
      <c r="C49" s="10" t="s">
        <v>832</v>
      </c>
      <c r="D49" s="10" t="s">
        <v>821</v>
      </c>
      <c r="E49" s="360">
        <v>45231</v>
      </c>
      <c r="F49" s="10">
        <v>207323</v>
      </c>
      <c r="G49" s="10" t="s">
        <v>837</v>
      </c>
      <c r="H49" s="141">
        <v>3468.32</v>
      </c>
      <c r="I49" s="10" t="s">
        <v>839</v>
      </c>
      <c r="J49" s="141">
        <f t="shared" si="0"/>
        <v>3468.32</v>
      </c>
    </row>
    <row r="50" spans="1:10">
      <c r="A50" s="14">
        <v>42</v>
      </c>
      <c r="B50" s="9">
        <v>930.1</v>
      </c>
      <c r="C50" s="10" t="s">
        <v>832</v>
      </c>
      <c r="D50" s="10" t="s">
        <v>821</v>
      </c>
      <c r="E50" s="360">
        <v>45230</v>
      </c>
      <c r="F50" s="10">
        <v>207019</v>
      </c>
      <c r="G50" s="10" t="s">
        <v>840</v>
      </c>
      <c r="H50" s="141">
        <v>100</v>
      </c>
      <c r="I50" s="10" t="s">
        <v>841</v>
      </c>
      <c r="J50" s="141">
        <f t="shared" si="0"/>
        <v>100</v>
      </c>
    </row>
    <row r="51" spans="1:10">
      <c r="A51" s="14">
        <v>43</v>
      </c>
      <c r="B51" s="9">
        <v>930.1</v>
      </c>
      <c r="C51" s="10" t="s">
        <v>832</v>
      </c>
      <c r="D51" s="10" t="s">
        <v>821</v>
      </c>
      <c r="E51" s="360">
        <v>45229</v>
      </c>
      <c r="F51" s="10">
        <v>206935</v>
      </c>
      <c r="G51" s="10" t="s">
        <v>842</v>
      </c>
      <c r="H51" s="141">
        <v>950.5</v>
      </c>
      <c r="I51" s="10" t="s">
        <v>843</v>
      </c>
      <c r="J51" s="141">
        <f t="shared" si="0"/>
        <v>950.5</v>
      </c>
    </row>
    <row r="52" spans="1:10">
      <c r="A52" s="14">
        <v>44</v>
      </c>
      <c r="B52" s="9">
        <v>930.1</v>
      </c>
      <c r="C52" s="10" t="s">
        <v>832</v>
      </c>
      <c r="D52" s="10" t="s">
        <v>821</v>
      </c>
      <c r="E52" s="360">
        <v>45190</v>
      </c>
      <c r="F52" s="10">
        <v>206598</v>
      </c>
      <c r="G52" s="10" t="s">
        <v>844</v>
      </c>
      <c r="H52" s="141">
        <v>27.36</v>
      </c>
      <c r="I52" s="10" t="s">
        <v>845</v>
      </c>
      <c r="J52" s="141">
        <f t="shared" si="0"/>
        <v>27.36</v>
      </c>
    </row>
    <row r="53" spans="1:10">
      <c r="A53" s="14">
        <v>45</v>
      </c>
      <c r="B53" s="9">
        <v>930.1</v>
      </c>
      <c r="C53" s="10" t="s">
        <v>832</v>
      </c>
      <c r="D53" s="10" t="s">
        <v>821</v>
      </c>
      <c r="E53" s="360">
        <v>45161</v>
      </c>
      <c r="F53" s="10">
        <v>206259</v>
      </c>
      <c r="G53" s="10" t="s">
        <v>840</v>
      </c>
      <c r="H53" s="141">
        <v>200</v>
      </c>
      <c r="I53" s="10" t="s">
        <v>841</v>
      </c>
      <c r="J53" s="141">
        <f t="shared" si="0"/>
        <v>200</v>
      </c>
    </row>
    <row r="54" spans="1:10">
      <c r="A54" s="14">
        <v>46</v>
      </c>
      <c r="B54" s="9">
        <v>930.1</v>
      </c>
      <c r="C54" s="10" t="s">
        <v>832</v>
      </c>
      <c r="D54" s="10" t="s">
        <v>821</v>
      </c>
      <c r="E54" s="360">
        <v>45103</v>
      </c>
      <c r="F54" s="10">
        <v>205800</v>
      </c>
      <c r="G54" s="10" t="s">
        <v>842</v>
      </c>
      <c r="H54" s="141">
        <v>192.59</v>
      </c>
      <c r="I54" s="10" t="s">
        <v>846</v>
      </c>
      <c r="J54" s="141">
        <f t="shared" si="0"/>
        <v>192.59</v>
      </c>
    </row>
    <row r="55" spans="1:10">
      <c r="A55" s="14">
        <v>47</v>
      </c>
      <c r="B55" s="9">
        <v>930.2</v>
      </c>
      <c r="C55" s="10" t="s">
        <v>967</v>
      </c>
      <c r="D55" s="10" t="s">
        <v>821</v>
      </c>
      <c r="E55" s="360">
        <v>45443</v>
      </c>
      <c r="F55" s="10">
        <v>0</v>
      </c>
      <c r="G55" s="10" t="s">
        <v>840</v>
      </c>
      <c r="H55" s="141">
        <v>-100</v>
      </c>
      <c r="I55" s="10" t="s">
        <v>975</v>
      </c>
      <c r="J55" s="141">
        <f t="shared" si="0"/>
        <v>-100</v>
      </c>
    </row>
    <row r="56" spans="1:10">
      <c r="A56" s="14">
        <v>48</v>
      </c>
      <c r="B56" s="9">
        <v>930.2</v>
      </c>
      <c r="C56" s="10" t="s">
        <v>967</v>
      </c>
      <c r="D56" s="10" t="s">
        <v>821</v>
      </c>
      <c r="E56" s="360">
        <v>45443</v>
      </c>
      <c r="F56" s="10">
        <v>0</v>
      </c>
      <c r="G56" s="10" t="s">
        <v>840</v>
      </c>
      <c r="H56" s="141">
        <v>100</v>
      </c>
      <c r="I56" s="10" t="s">
        <v>975</v>
      </c>
      <c r="J56" s="141">
        <f t="shared" si="0"/>
        <v>100</v>
      </c>
    </row>
    <row r="57" spans="1:10">
      <c r="A57" s="14">
        <v>49</v>
      </c>
      <c r="B57" s="9">
        <v>930.1</v>
      </c>
      <c r="C57" s="10" t="s">
        <v>832</v>
      </c>
      <c r="D57" s="10" t="s">
        <v>847</v>
      </c>
      <c r="E57" s="360">
        <v>45413</v>
      </c>
      <c r="F57" s="10">
        <v>209134</v>
      </c>
      <c r="G57" s="10" t="s">
        <v>848</v>
      </c>
      <c r="H57" s="141">
        <v>728</v>
      </c>
      <c r="I57" s="10" t="s">
        <v>849</v>
      </c>
      <c r="J57" s="141">
        <f t="shared" si="0"/>
        <v>728</v>
      </c>
    </row>
    <row r="58" spans="1:10">
      <c r="A58" s="14">
        <v>50</v>
      </c>
      <c r="B58" s="9">
        <v>930.1</v>
      </c>
      <c r="C58" s="10" t="s">
        <v>832</v>
      </c>
      <c r="D58" s="10" t="s">
        <v>847</v>
      </c>
      <c r="E58" s="360">
        <v>45383</v>
      </c>
      <c r="F58" s="10">
        <v>208668</v>
      </c>
      <c r="G58" s="10" t="s">
        <v>848</v>
      </c>
      <c r="H58" s="141">
        <v>728</v>
      </c>
      <c r="I58" s="10" t="s">
        <v>850</v>
      </c>
      <c r="J58" s="141">
        <f t="shared" si="0"/>
        <v>728</v>
      </c>
    </row>
    <row r="59" spans="1:10">
      <c r="A59" s="14">
        <v>51</v>
      </c>
      <c r="B59" s="9">
        <v>930.1</v>
      </c>
      <c r="C59" s="10" t="s">
        <v>832</v>
      </c>
      <c r="D59" s="10" t="s">
        <v>847</v>
      </c>
      <c r="E59" s="360">
        <v>45380</v>
      </c>
      <c r="F59" s="10">
        <v>208598</v>
      </c>
      <c r="G59" s="10" t="s">
        <v>851</v>
      </c>
      <c r="H59" s="141">
        <v>100</v>
      </c>
      <c r="I59" s="10" t="s">
        <v>852</v>
      </c>
      <c r="J59" s="141">
        <f t="shared" si="0"/>
        <v>100</v>
      </c>
    </row>
    <row r="60" spans="1:10">
      <c r="A60" s="14">
        <v>52</v>
      </c>
      <c r="B60" s="9">
        <v>930.1</v>
      </c>
      <c r="C60" s="10" t="s">
        <v>832</v>
      </c>
      <c r="D60" s="10" t="s">
        <v>847</v>
      </c>
      <c r="E60" s="360">
        <v>45380</v>
      </c>
      <c r="F60" s="10">
        <v>208597</v>
      </c>
      <c r="G60" s="10" t="s">
        <v>853</v>
      </c>
      <c r="H60" s="141">
        <v>120</v>
      </c>
      <c r="I60" s="10" t="s">
        <v>854</v>
      </c>
      <c r="J60" s="141">
        <f t="shared" si="0"/>
        <v>120</v>
      </c>
    </row>
    <row r="61" spans="1:10">
      <c r="A61" s="14">
        <v>53</v>
      </c>
      <c r="B61" s="9">
        <v>930.1</v>
      </c>
      <c r="C61" s="10" t="s">
        <v>832</v>
      </c>
      <c r="D61" s="10" t="s">
        <v>847</v>
      </c>
      <c r="E61" s="360">
        <v>45380</v>
      </c>
      <c r="F61" s="10">
        <v>208589</v>
      </c>
      <c r="G61" s="10" t="s">
        <v>855</v>
      </c>
      <c r="H61" s="141">
        <v>100</v>
      </c>
      <c r="I61" s="10" t="s">
        <v>856</v>
      </c>
      <c r="J61" s="141">
        <f t="shared" si="0"/>
        <v>100</v>
      </c>
    </row>
    <row r="62" spans="1:10">
      <c r="A62" s="14">
        <v>54</v>
      </c>
      <c r="B62" s="9">
        <v>930.1</v>
      </c>
      <c r="C62" s="10" t="s">
        <v>832</v>
      </c>
      <c r="D62" s="10" t="s">
        <v>847</v>
      </c>
      <c r="E62" s="360">
        <v>45354</v>
      </c>
      <c r="F62" s="10">
        <v>208485</v>
      </c>
      <c r="G62" s="10" t="s">
        <v>857</v>
      </c>
      <c r="H62" s="141">
        <v>145</v>
      </c>
      <c r="I62" s="10" t="s">
        <v>858</v>
      </c>
      <c r="J62" s="141">
        <f t="shared" si="0"/>
        <v>145</v>
      </c>
    </row>
    <row r="63" spans="1:10">
      <c r="A63" s="14">
        <v>55</v>
      </c>
      <c r="B63" s="9">
        <v>930.1</v>
      </c>
      <c r="C63" s="10" t="s">
        <v>832</v>
      </c>
      <c r="D63" s="10" t="s">
        <v>847</v>
      </c>
      <c r="E63" s="360">
        <v>45351</v>
      </c>
      <c r="F63" s="10">
        <v>208468</v>
      </c>
      <c r="G63" s="10" t="s">
        <v>859</v>
      </c>
      <c r="H63" s="141">
        <v>181.13</v>
      </c>
      <c r="I63" s="10" t="s">
        <v>841</v>
      </c>
      <c r="J63" s="141">
        <f t="shared" si="0"/>
        <v>181.13</v>
      </c>
    </row>
    <row r="64" spans="1:10">
      <c r="A64" s="14">
        <v>56</v>
      </c>
      <c r="B64" s="9">
        <v>930.1</v>
      </c>
      <c r="C64" s="10" t="s">
        <v>832</v>
      </c>
      <c r="D64" s="10" t="s">
        <v>847</v>
      </c>
      <c r="E64" s="360">
        <v>45358</v>
      </c>
      <c r="F64" s="10">
        <v>208375</v>
      </c>
      <c r="G64" s="10" t="s">
        <v>860</v>
      </c>
      <c r="H64" s="141">
        <v>100</v>
      </c>
      <c r="I64" s="10" t="s">
        <v>861</v>
      </c>
      <c r="J64" s="141">
        <f t="shared" si="0"/>
        <v>100</v>
      </c>
    </row>
    <row r="65" spans="1:10">
      <c r="A65" s="14">
        <v>57</v>
      </c>
      <c r="B65" s="9">
        <v>930.1</v>
      </c>
      <c r="C65" s="10" t="s">
        <v>832</v>
      </c>
      <c r="D65" s="10" t="s">
        <v>847</v>
      </c>
      <c r="E65" s="360">
        <v>45337</v>
      </c>
      <c r="F65" s="10">
        <v>208294</v>
      </c>
      <c r="G65" s="10" t="s">
        <v>862</v>
      </c>
      <c r="H65" s="141">
        <v>200</v>
      </c>
      <c r="I65" s="10" t="s">
        <v>863</v>
      </c>
      <c r="J65" s="141">
        <f t="shared" si="0"/>
        <v>200</v>
      </c>
    </row>
    <row r="66" spans="1:10">
      <c r="A66" s="14">
        <v>58</v>
      </c>
      <c r="B66" s="9">
        <v>930.1</v>
      </c>
      <c r="C66" s="10" t="s">
        <v>832</v>
      </c>
      <c r="D66" s="10" t="s">
        <v>847</v>
      </c>
      <c r="E66" s="360">
        <v>45327</v>
      </c>
      <c r="F66" s="10">
        <v>208144</v>
      </c>
      <c r="G66" s="10" t="s">
        <v>864</v>
      </c>
      <c r="H66" s="141">
        <v>1000</v>
      </c>
      <c r="I66" s="10" t="s">
        <v>865</v>
      </c>
      <c r="J66" s="141">
        <f t="shared" si="0"/>
        <v>1000</v>
      </c>
    </row>
    <row r="67" spans="1:10">
      <c r="A67" s="14">
        <v>59</v>
      </c>
      <c r="B67" s="9">
        <v>930.1</v>
      </c>
      <c r="C67" s="10" t="s">
        <v>832</v>
      </c>
      <c r="D67" s="10" t="s">
        <v>847</v>
      </c>
      <c r="E67" s="360">
        <v>45323</v>
      </c>
      <c r="F67" s="10">
        <v>208082</v>
      </c>
      <c r="G67" s="10" t="s">
        <v>866</v>
      </c>
      <c r="H67" s="141">
        <v>175</v>
      </c>
      <c r="I67" s="10" t="s">
        <v>867</v>
      </c>
      <c r="J67" s="141">
        <f t="shared" si="0"/>
        <v>175</v>
      </c>
    </row>
    <row r="68" spans="1:10">
      <c r="A68" s="14">
        <v>60</v>
      </c>
      <c r="B68" s="9">
        <v>930.1</v>
      </c>
      <c r="C68" s="10" t="s">
        <v>832</v>
      </c>
      <c r="D68" s="10" t="s">
        <v>847</v>
      </c>
      <c r="E68" s="360">
        <v>45323</v>
      </c>
      <c r="F68" s="10">
        <v>208081</v>
      </c>
      <c r="G68" s="10" t="s">
        <v>868</v>
      </c>
      <c r="H68" s="141">
        <v>100</v>
      </c>
      <c r="I68" s="10" t="s">
        <v>869</v>
      </c>
      <c r="J68" s="141">
        <f t="shared" si="0"/>
        <v>100</v>
      </c>
    </row>
    <row r="69" spans="1:10">
      <c r="A69" s="14">
        <v>61</v>
      </c>
      <c r="B69" s="9">
        <v>930.1</v>
      </c>
      <c r="C69" s="10" t="s">
        <v>832</v>
      </c>
      <c r="D69" s="10" t="s">
        <v>847</v>
      </c>
      <c r="E69" s="360">
        <v>45323</v>
      </c>
      <c r="F69" s="10">
        <v>208078</v>
      </c>
      <c r="G69" s="10" t="s">
        <v>870</v>
      </c>
      <c r="H69" s="141">
        <v>100</v>
      </c>
      <c r="I69" s="10" t="s">
        <v>871</v>
      </c>
      <c r="J69" s="141">
        <f t="shared" si="0"/>
        <v>100</v>
      </c>
    </row>
    <row r="70" spans="1:10">
      <c r="A70" s="14">
        <v>62</v>
      </c>
      <c r="B70" s="9">
        <v>930.1</v>
      </c>
      <c r="C70" s="10" t="s">
        <v>832</v>
      </c>
      <c r="D70" s="10" t="s">
        <v>847</v>
      </c>
      <c r="E70" s="360">
        <v>45291</v>
      </c>
      <c r="F70" s="10">
        <v>208070</v>
      </c>
      <c r="G70" s="10" t="s">
        <v>859</v>
      </c>
      <c r="H70" s="141">
        <v>86.25</v>
      </c>
      <c r="I70" s="10" t="s">
        <v>841</v>
      </c>
      <c r="J70" s="141">
        <f t="shared" si="0"/>
        <v>86.25</v>
      </c>
    </row>
    <row r="71" spans="1:10">
      <c r="A71" s="14">
        <v>63</v>
      </c>
      <c r="B71" s="9">
        <v>930.1</v>
      </c>
      <c r="C71" s="10" t="s">
        <v>832</v>
      </c>
      <c r="D71" s="10" t="s">
        <v>847</v>
      </c>
      <c r="E71" s="360">
        <v>45291</v>
      </c>
      <c r="F71" s="10">
        <v>207815</v>
      </c>
      <c r="G71" s="10" t="s">
        <v>857</v>
      </c>
      <c r="H71" s="141">
        <v>495</v>
      </c>
      <c r="I71" s="10" t="s">
        <v>872</v>
      </c>
      <c r="J71" s="141">
        <f t="shared" si="0"/>
        <v>495</v>
      </c>
    </row>
    <row r="72" spans="1:10">
      <c r="A72" s="14">
        <v>64</v>
      </c>
      <c r="B72" s="9">
        <v>930.1</v>
      </c>
      <c r="C72" s="10" t="s">
        <v>832</v>
      </c>
      <c r="D72" s="10" t="s">
        <v>847</v>
      </c>
      <c r="E72" s="360">
        <v>45309</v>
      </c>
      <c r="F72" s="10">
        <v>207792</v>
      </c>
      <c r="G72" s="10" t="s">
        <v>873</v>
      </c>
      <c r="H72" s="141">
        <v>100</v>
      </c>
      <c r="I72" s="10" t="s">
        <v>874</v>
      </c>
      <c r="J72" s="141">
        <f t="shared" si="0"/>
        <v>100</v>
      </c>
    </row>
    <row r="73" spans="1:10">
      <c r="A73" s="14">
        <v>65</v>
      </c>
      <c r="B73" s="9">
        <v>930.1</v>
      </c>
      <c r="C73" s="10" t="s">
        <v>832</v>
      </c>
      <c r="D73" s="10" t="s">
        <v>847</v>
      </c>
      <c r="E73" s="360">
        <v>45291</v>
      </c>
      <c r="F73" s="10">
        <v>207692</v>
      </c>
      <c r="G73" s="10" t="s">
        <v>875</v>
      </c>
      <c r="H73" s="141">
        <v>72</v>
      </c>
      <c r="I73" s="10" t="s">
        <v>841</v>
      </c>
      <c r="J73" s="141">
        <f t="shared" ref="J73:J136" si="1">H73</f>
        <v>72</v>
      </c>
    </row>
    <row r="74" spans="1:10">
      <c r="A74" s="14">
        <v>66</v>
      </c>
      <c r="B74" s="9">
        <v>930.1</v>
      </c>
      <c r="C74" s="10" t="s">
        <v>832</v>
      </c>
      <c r="D74" s="10" t="s">
        <v>847</v>
      </c>
      <c r="E74" s="360">
        <v>45292</v>
      </c>
      <c r="F74" s="10">
        <v>207533</v>
      </c>
      <c r="G74" s="10" t="s">
        <v>848</v>
      </c>
      <c r="H74" s="141">
        <v>728</v>
      </c>
      <c r="I74" s="10" t="s">
        <v>876</v>
      </c>
      <c r="J74" s="141">
        <f t="shared" si="1"/>
        <v>728</v>
      </c>
    </row>
    <row r="75" spans="1:10">
      <c r="A75" s="14">
        <v>67</v>
      </c>
      <c r="B75" s="9">
        <v>930.1</v>
      </c>
      <c r="C75" s="10" t="s">
        <v>832</v>
      </c>
      <c r="D75" s="10" t="s">
        <v>847</v>
      </c>
      <c r="E75" s="360">
        <v>45260</v>
      </c>
      <c r="F75" s="10">
        <v>207384</v>
      </c>
      <c r="G75" s="10" t="s">
        <v>859</v>
      </c>
      <c r="H75" s="141">
        <v>86.25</v>
      </c>
      <c r="I75" s="10" t="s">
        <v>841</v>
      </c>
      <c r="J75" s="141">
        <f t="shared" si="1"/>
        <v>86.25</v>
      </c>
    </row>
    <row r="76" spans="1:10">
      <c r="A76" s="14">
        <v>68</v>
      </c>
      <c r="B76" s="9">
        <v>930.1</v>
      </c>
      <c r="C76" s="10" t="s">
        <v>832</v>
      </c>
      <c r="D76" s="10" t="s">
        <v>847</v>
      </c>
      <c r="E76" s="360">
        <v>45231</v>
      </c>
      <c r="F76" s="10">
        <v>207114</v>
      </c>
      <c r="G76" s="10" t="s">
        <v>859</v>
      </c>
      <c r="H76" s="141">
        <v>221.25</v>
      </c>
      <c r="I76" s="10" t="s">
        <v>841</v>
      </c>
      <c r="J76" s="141">
        <f t="shared" si="1"/>
        <v>221.25</v>
      </c>
    </row>
    <row r="77" spans="1:10">
      <c r="A77" s="14">
        <v>69</v>
      </c>
      <c r="B77" s="9">
        <v>930.1</v>
      </c>
      <c r="C77" s="10" t="s">
        <v>832</v>
      </c>
      <c r="D77" s="10" t="s">
        <v>847</v>
      </c>
      <c r="E77" s="360">
        <v>45230</v>
      </c>
      <c r="F77" s="10">
        <v>207049</v>
      </c>
      <c r="G77" s="10" t="s">
        <v>875</v>
      </c>
      <c r="H77" s="141">
        <v>72</v>
      </c>
      <c r="I77" s="10" t="s">
        <v>841</v>
      </c>
      <c r="J77" s="141">
        <f t="shared" si="1"/>
        <v>72</v>
      </c>
    </row>
    <row r="78" spans="1:10">
      <c r="A78" s="14">
        <v>70</v>
      </c>
      <c r="B78" s="9">
        <v>930.1</v>
      </c>
      <c r="C78" s="10" t="s">
        <v>832</v>
      </c>
      <c r="D78" s="10" t="s">
        <v>847</v>
      </c>
      <c r="E78" s="360">
        <v>45224</v>
      </c>
      <c r="F78" s="10">
        <v>206874</v>
      </c>
      <c r="G78" s="10" t="s">
        <v>760</v>
      </c>
      <c r="H78" s="141">
        <v>250</v>
      </c>
      <c r="I78" s="10" t="s">
        <v>877</v>
      </c>
      <c r="J78" s="141">
        <f t="shared" si="1"/>
        <v>250</v>
      </c>
    </row>
    <row r="79" spans="1:10">
      <c r="A79" s="14">
        <v>71</v>
      </c>
      <c r="B79" s="9">
        <v>930.1</v>
      </c>
      <c r="C79" s="10" t="s">
        <v>832</v>
      </c>
      <c r="D79" s="10" t="s">
        <v>847</v>
      </c>
      <c r="E79" s="360">
        <v>45200</v>
      </c>
      <c r="F79" s="10">
        <v>206845</v>
      </c>
      <c r="G79" s="10" t="s">
        <v>859</v>
      </c>
      <c r="H79" s="141">
        <v>86.25</v>
      </c>
      <c r="I79" s="10" t="s">
        <v>841</v>
      </c>
      <c r="J79" s="141">
        <f t="shared" si="1"/>
        <v>86.25</v>
      </c>
    </row>
    <row r="80" spans="1:10">
      <c r="A80" s="14">
        <v>72</v>
      </c>
      <c r="B80" s="9">
        <v>930.1</v>
      </c>
      <c r="C80" s="10" t="s">
        <v>832</v>
      </c>
      <c r="D80" s="10" t="s">
        <v>847</v>
      </c>
      <c r="E80" s="360">
        <v>45200</v>
      </c>
      <c r="F80" s="10">
        <v>206845</v>
      </c>
      <c r="G80" s="10" t="s">
        <v>859</v>
      </c>
      <c r="H80" s="141">
        <v>86.25</v>
      </c>
      <c r="I80" s="10" t="s">
        <v>841</v>
      </c>
      <c r="J80" s="141">
        <f t="shared" si="1"/>
        <v>86.25</v>
      </c>
    </row>
    <row r="81" spans="1:10">
      <c r="A81" s="14">
        <v>73</v>
      </c>
      <c r="B81" s="9">
        <v>930.1</v>
      </c>
      <c r="C81" s="10" t="s">
        <v>832</v>
      </c>
      <c r="D81" s="10" t="s">
        <v>847</v>
      </c>
      <c r="E81" s="360">
        <v>45199</v>
      </c>
      <c r="F81" s="10">
        <v>206744</v>
      </c>
      <c r="G81" s="10" t="s">
        <v>875</v>
      </c>
      <c r="H81" s="141">
        <v>65</v>
      </c>
      <c r="I81" s="10" t="s">
        <v>841</v>
      </c>
      <c r="J81" s="141">
        <f t="shared" si="1"/>
        <v>65</v>
      </c>
    </row>
    <row r="82" spans="1:10">
      <c r="A82" s="14">
        <v>74</v>
      </c>
      <c r="B82" s="9">
        <v>930.1</v>
      </c>
      <c r="C82" s="10" t="s">
        <v>832</v>
      </c>
      <c r="D82" s="10" t="s">
        <v>847</v>
      </c>
      <c r="E82" s="360">
        <v>45204</v>
      </c>
      <c r="F82" s="10">
        <v>206697</v>
      </c>
      <c r="G82" s="10" t="s">
        <v>878</v>
      </c>
      <c r="H82" s="141">
        <v>150</v>
      </c>
      <c r="I82" s="10" t="s">
        <v>879</v>
      </c>
      <c r="J82" s="141">
        <f t="shared" si="1"/>
        <v>150</v>
      </c>
    </row>
    <row r="83" spans="1:10">
      <c r="A83" s="14">
        <v>75</v>
      </c>
      <c r="B83" s="9">
        <v>930.1</v>
      </c>
      <c r="C83" s="10" t="s">
        <v>832</v>
      </c>
      <c r="D83" s="10" t="s">
        <v>847</v>
      </c>
      <c r="E83" s="360">
        <v>45204</v>
      </c>
      <c r="F83" s="10">
        <v>206691</v>
      </c>
      <c r="G83" s="10" t="s">
        <v>880</v>
      </c>
      <c r="H83" s="141">
        <v>100</v>
      </c>
      <c r="I83" s="10" t="s">
        <v>881</v>
      </c>
      <c r="J83" s="141">
        <f t="shared" si="1"/>
        <v>100</v>
      </c>
    </row>
    <row r="84" spans="1:10">
      <c r="A84" s="14">
        <v>76</v>
      </c>
      <c r="B84" s="9">
        <v>930.1</v>
      </c>
      <c r="C84" s="10" t="s">
        <v>832</v>
      </c>
      <c r="D84" s="10" t="s">
        <v>847</v>
      </c>
      <c r="E84" s="360">
        <v>45204</v>
      </c>
      <c r="F84" s="10">
        <v>206672</v>
      </c>
      <c r="G84" s="10" t="s">
        <v>882</v>
      </c>
      <c r="H84" s="141">
        <v>50</v>
      </c>
      <c r="I84" s="10" t="s">
        <v>883</v>
      </c>
      <c r="J84" s="141">
        <f t="shared" si="1"/>
        <v>50</v>
      </c>
    </row>
    <row r="85" spans="1:10">
      <c r="A85" s="14">
        <v>77</v>
      </c>
      <c r="B85" s="9">
        <v>930.1</v>
      </c>
      <c r="C85" s="10" t="s">
        <v>832</v>
      </c>
      <c r="D85" s="10" t="s">
        <v>847</v>
      </c>
      <c r="E85" s="360">
        <v>45170</v>
      </c>
      <c r="F85" s="10">
        <v>206669</v>
      </c>
      <c r="G85" s="10" t="s">
        <v>884</v>
      </c>
      <c r="H85" s="141">
        <v>120</v>
      </c>
      <c r="I85" s="10" t="s">
        <v>885</v>
      </c>
      <c r="J85" s="141">
        <f t="shared" si="1"/>
        <v>120</v>
      </c>
    </row>
    <row r="86" spans="1:10">
      <c r="A86" s="14">
        <v>78</v>
      </c>
      <c r="B86" s="9">
        <v>930.1</v>
      </c>
      <c r="C86" s="10" t="s">
        <v>832</v>
      </c>
      <c r="D86" s="10" t="s">
        <v>847</v>
      </c>
      <c r="E86" s="360">
        <v>45162</v>
      </c>
      <c r="F86" s="10">
        <v>206275</v>
      </c>
      <c r="G86" s="10" t="s">
        <v>886</v>
      </c>
      <c r="H86" s="141">
        <v>250</v>
      </c>
      <c r="I86" s="10" t="s">
        <v>887</v>
      </c>
      <c r="J86" s="141">
        <f t="shared" si="1"/>
        <v>250</v>
      </c>
    </row>
    <row r="87" spans="1:10">
      <c r="A87" s="14">
        <v>79</v>
      </c>
      <c r="B87" s="9">
        <v>930.1</v>
      </c>
      <c r="C87" s="10" t="s">
        <v>832</v>
      </c>
      <c r="D87" s="10" t="s">
        <v>847</v>
      </c>
      <c r="E87" s="360">
        <v>45161</v>
      </c>
      <c r="F87" s="10">
        <v>206273</v>
      </c>
      <c r="G87" s="10" t="s">
        <v>888</v>
      </c>
      <c r="H87" s="141">
        <v>500</v>
      </c>
      <c r="I87" s="10" t="s">
        <v>889</v>
      </c>
      <c r="J87" s="141">
        <f t="shared" si="1"/>
        <v>500</v>
      </c>
    </row>
    <row r="88" spans="1:10">
      <c r="A88" s="14">
        <v>80</v>
      </c>
      <c r="B88" s="9">
        <v>930.1</v>
      </c>
      <c r="C88" s="10" t="s">
        <v>832</v>
      </c>
      <c r="D88" s="10" t="s">
        <v>847</v>
      </c>
      <c r="E88" s="360">
        <v>45161</v>
      </c>
      <c r="F88" s="10">
        <v>206266</v>
      </c>
      <c r="G88" s="10" t="s">
        <v>890</v>
      </c>
      <c r="H88" s="141">
        <v>150</v>
      </c>
      <c r="I88" s="10" t="s">
        <v>891</v>
      </c>
      <c r="J88" s="141">
        <f t="shared" si="1"/>
        <v>150</v>
      </c>
    </row>
    <row r="89" spans="1:10">
      <c r="A89" s="14">
        <v>81</v>
      </c>
      <c r="B89" s="9">
        <v>930.1</v>
      </c>
      <c r="C89" s="10" t="s">
        <v>832</v>
      </c>
      <c r="D89" s="10" t="s">
        <v>847</v>
      </c>
      <c r="E89" s="360">
        <v>45146</v>
      </c>
      <c r="F89" s="10">
        <v>206265</v>
      </c>
      <c r="G89" s="10" t="s">
        <v>748</v>
      </c>
      <c r="H89" s="141">
        <v>200</v>
      </c>
      <c r="I89" s="10" t="s">
        <v>892</v>
      </c>
      <c r="J89" s="141">
        <f t="shared" si="1"/>
        <v>200</v>
      </c>
    </row>
    <row r="90" spans="1:10">
      <c r="A90" s="14">
        <v>82</v>
      </c>
      <c r="B90" s="9">
        <v>930.1</v>
      </c>
      <c r="C90" s="10" t="s">
        <v>832</v>
      </c>
      <c r="D90" s="10" t="s">
        <v>847</v>
      </c>
      <c r="E90" s="360">
        <v>45161</v>
      </c>
      <c r="F90" s="10">
        <v>206261</v>
      </c>
      <c r="G90" s="10" t="s">
        <v>893</v>
      </c>
      <c r="H90" s="141">
        <v>200</v>
      </c>
      <c r="I90" s="10" t="s">
        <v>894</v>
      </c>
      <c r="J90" s="141">
        <f t="shared" si="1"/>
        <v>200</v>
      </c>
    </row>
    <row r="91" spans="1:10">
      <c r="A91" s="14">
        <v>83</v>
      </c>
      <c r="B91" s="9">
        <v>930.1</v>
      </c>
      <c r="C91" s="10" t="s">
        <v>832</v>
      </c>
      <c r="D91" s="10" t="s">
        <v>847</v>
      </c>
      <c r="E91" s="360">
        <v>45161</v>
      </c>
      <c r="F91" s="10">
        <v>206257</v>
      </c>
      <c r="G91" s="10" t="s">
        <v>817</v>
      </c>
      <c r="H91" s="141">
        <v>100</v>
      </c>
      <c r="I91" s="10" t="s">
        <v>895</v>
      </c>
      <c r="J91" s="141">
        <f t="shared" si="1"/>
        <v>100</v>
      </c>
    </row>
    <row r="92" spans="1:10">
      <c r="A92" s="14">
        <v>84</v>
      </c>
      <c r="B92" s="9">
        <v>930.1</v>
      </c>
      <c r="C92" s="10" t="s">
        <v>832</v>
      </c>
      <c r="D92" s="10" t="s">
        <v>847</v>
      </c>
      <c r="E92" s="360">
        <v>45148</v>
      </c>
      <c r="F92" s="10">
        <v>206119</v>
      </c>
      <c r="G92" s="10" t="s">
        <v>896</v>
      </c>
      <c r="H92" s="141">
        <v>-250</v>
      </c>
      <c r="I92" s="10" t="s">
        <v>897</v>
      </c>
      <c r="J92" s="141">
        <f t="shared" si="1"/>
        <v>-250</v>
      </c>
    </row>
    <row r="93" spans="1:10">
      <c r="A93" s="14">
        <v>85</v>
      </c>
      <c r="B93" s="9">
        <v>930.1</v>
      </c>
      <c r="C93" s="10" t="s">
        <v>832</v>
      </c>
      <c r="D93" s="10" t="s">
        <v>847</v>
      </c>
      <c r="E93" s="360">
        <v>45141</v>
      </c>
      <c r="F93" s="10">
        <v>206119</v>
      </c>
      <c r="G93" s="10" t="s">
        <v>896</v>
      </c>
      <c r="H93" s="141">
        <v>250</v>
      </c>
      <c r="I93" s="10" t="s">
        <v>898</v>
      </c>
      <c r="J93" s="141">
        <f t="shared" si="1"/>
        <v>250</v>
      </c>
    </row>
    <row r="94" spans="1:10">
      <c r="A94" s="14">
        <v>86</v>
      </c>
      <c r="B94" s="9">
        <v>930.1</v>
      </c>
      <c r="C94" s="10" t="s">
        <v>832</v>
      </c>
      <c r="D94" s="10" t="s">
        <v>847</v>
      </c>
      <c r="E94" s="360">
        <v>45134</v>
      </c>
      <c r="F94" s="10">
        <v>206050</v>
      </c>
      <c r="G94" s="10" t="s">
        <v>899</v>
      </c>
      <c r="H94" s="141">
        <v>200</v>
      </c>
      <c r="I94" s="10" t="s">
        <v>900</v>
      </c>
      <c r="J94" s="141">
        <f t="shared" si="1"/>
        <v>200</v>
      </c>
    </row>
    <row r="95" spans="1:10">
      <c r="A95" s="14">
        <v>87</v>
      </c>
      <c r="B95" s="9">
        <v>930.1</v>
      </c>
      <c r="C95" s="10" t="s">
        <v>832</v>
      </c>
      <c r="D95" s="10" t="s">
        <v>847</v>
      </c>
      <c r="E95" s="360">
        <v>45134</v>
      </c>
      <c r="F95" s="10">
        <v>206045</v>
      </c>
      <c r="G95" s="10" t="s">
        <v>901</v>
      </c>
      <c r="H95" s="141">
        <v>100</v>
      </c>
      <c r="I95" s="10" t="s">
        <v>902</v>
      </c>
      <c r="J95" s="141">
        <f t="shared" si="1"/>
        <v>100</v>
      </c>
    </row>
    <row r="96" spans="1:10">
      <c r="A96" s="14">
        <v>88</v>
      </c>
      <c r="B96" s="9">
        <v>930.1</v>
      </c>
      <c r="C96" s="10" t="s">
        <v>832</v>
      </c>
      <c r="D96" s="10" t="s">
        <v>847</v>
      </c>
      <c r="E96" s="360">
        <v>45134</v>
      </c>
      <c r="F96" s="10">
        <v>206044</v>
      </c>
      <c r="G96" s="10" t="s">
        <v>903</v>
      </c>
      <c r="H96" s="141">
        <v>100</v>
      </c>
      <c r="I96" s="10" t="s">
        <v>904</v>
      </c>
      <c r="J96" s="141">
        <f t="shared" si="1"/>
        <v>100</v>
      </c>
    </row>
    <row r="97" spans="1:10">
      <c r="A97" s="14">
        <v>89</v>
      </c>
      <c r="B97" s="9">
        <v>930.1</v>
      </c>
      <c r="C97" s="10" t="s">
        <v>832</v>
      </c>
      <c r="D97" s="10" t="s">
        <v>847</v>
      </c>
      <c r="E97" s="360">
        <v>45134</v>
      </c>
      <c r="F97" s="10">
        <v>206039</v>
      </c>
      <c r="G97" s="10" t="s">
        <v>905</v>
      </c>
      <c r="H97" s="141">
        <v>250</v>
      </c>
      <c r="I97" s="10" t="s">
        <v>906</v>
      </c>
      <c r="J97" s="141">
        <f t="shared" si="1"/>
        <v>250</v>
      </c>
    </row>
    <row r="98" spans="1:10">
      <c r="A98" s="14">
        <v>90</v>
      </c>
      <c r="B98" s="9">
        <v>930.1</v>
      </c>
      <c r="C98" s="10" t="s">
        <v>832</v>
      </c>
      <c r="D98" s="10" t="s">
        <v>847</v>
      </c>
      <c r="E98" s="360">
        <v>45109</v>
      </c>
      <c r="F98" s="10">
        <v>205976</v>
      </c>
      <c r="G98" s="10" t="s">
        <v>907</v>
      </c>
      <c r="H98" s="141">
        <v>75</v>
      </c>
      <c r="I98" s="10" t="s">
        <v>908</v>
      </c>
      <c r="J98" s="141">
        <f t="shared" si="1"/>
        <v>75</v>
      </c>
    </row>
    <row r="99" spans="1:10">
      <c r="A99" s="14">
        <v>91</v>
      </c>
      <c r="B99" s="9">
        <v>930.1</v>
      </c>
      <c r="C99" s="10" t="s">
        <v>832</v>
      </c>
      <c r="D99" s="10" t="s">
        <v>847</v>
      </c>
      <c r="E99" s="360">
        <v>45104</v>
      </c>
      <c r="F99" s="10">
        <v>205973</v>
      </c>
      <c r="G99" s="10" t="s">
        <v>909</v>
      </c>
      <c r="H99" s="141">
        <v>200</v>
      </c>
      <c r="I99" s="10" t="s">
        <v>910</v>
      </c>
      <c r="J99" s="141">
        <f t="shared" si="1"/>
        <v>200</v>
      </c>
    </row>
    <row r="100" spans="1:10">
      <c r="A100" s="14">
        <v>92</v>
      </c>
      <c r="B100" s="9">
        <v>930.1</v>
      </c>
      <c r="C100" s="10" t="s">
        <v>832</v>
      </c>
      <c r="D100" s="10" t="s">
        <v>847</v>
      </c>
      <c r="E100" s="360">
        <v>45127</v>
      </c>
      <c r="F100" s="10">
        <v>205970</v>
      </c>
      <c r="G100" s="10" t="s">
        <v>893</v>
      </c>
      <c r="H100" s="141">
        <v>50</v>
      </c>
      <c r="I100" s="10" t="s">
        <v>911</v>
      </c>
      <c r="J100" s="141">
        <f t="shared" si="1"/>
        <v>50</v>
      </c>
    </row>
    <row r="101" spans="1:10">
      <c r="A101" s="14">
        <v>93</v>
      </c>
      <c r="B101" s="9">
        <v>930.1</v>
      </c>
      <c r="C101" s="10" t="s">
        <v>832</v>
      </c>
      <c r="D101" s="10" t="s">
        <v>847</v>
      </c>
      <c r="E101" s="360">
        <v>45099</v>
      </c>
      <c r="F101" s="10">
        <v>205801</v>
      </c>
      <c r="G101" s="10" t="s">
        <v>912</v>
      </c>
      <c r="H101" s="141">
        <v>400</v>
      </c>
      <c r="I101" s="10" t="s">
        <v>913</v>
      </c>
      <c r="J101" s="141">
        <f t="shared" si="1"/>
        <v>400</v>
      </c>
    </row>
    <row r="102" spans="1:10">
      <c r="A102" s="14">
        <v>94</v>
      </c>
      <c r="B102" s="9">
        <v>930.1</v>
      </c>
      <c r="C102" s="10" t="s">
        <v>832</v>
      </c>
      <c r="D102" s="10" t="s">
        <v>847</v>
      </c>
      <c r="E102" s="360">
        <v>45091</v>
      </c>
      <c r="F102" s="10">
        <v>205660</v>
      </c>
      <c r="G102" s="10" t="s">
        <v>914</v>
      </c>
      <c r="H102" s="141">
        <v>100</v>
      </c>
      <c r="I102" s="10" t="s">
        <v>915</v>
      </c>
      <c r="J102" s="141">
        <f t="shared" si="1"/>
        <v>100</v>
      </c>
    </row>
    <row r="103" spans="1:10">
      <c r="A103" s="14">
        <v>95</v>
      </c>
      <c r="B103" s="9">
        <v>930.1</v>
      </c>
      <c r="C103" s="10" t="s">
        <v>832</v>
      </c>
      <c r="D103" s="10" t="s">
        <v>847</v>
      </c>
      <c r="E103" s="360">
        <v>45091</v>
      </c>
      <c r="F103" s="10">
        <v>205659</v>
      </c>
      <c r="G103" s="10" t="s">
        <v>916</v>
      </c>
      <c r="H103" s="141">
        <v>150</v>
      </c>
      <c r="I103" s="10" t="s">
        <v>917</v>
      </c>
      <c r="J103" s="141">
        <f t="shared" si="1"/>
        <v>150</v>
      </c>
    </row>
    <row r="104" spans="1:10">
      <c r="A104" s="14">
        <v>96</v>
      </c>
      <c r="B104" s="9">
        <v>930.1</v>
      </c>
      <c r="C104" s="10" t="s">
        <v>832</v>
      </c>
      <c r="D104" s="10" t="s">
        <v>847</v>
      </c>
      <c r="E104" s="360">
        <v>45382</v>
      </c>
      <c r="F104" s="10">
        <v>7760</v>
      </c>
      <c r="G104" s="10" t="s">
        <v>918</v>
      </c>
      <c r="H104" s="141">
        <v>129</v>
      </c>
      <c r="I104" s="10" t="s">
        <v>841</v>
      </c>
      <c r="J104" s="141">
        <f t="shared" si="1"/>
        <v>129</v>
      </c>
    </row>
    <row r="105" spans="1:10">
      <c r="A105" s="14">
        <v>97</v>
      </c>
      <c r="B105" s="9">
        <v>930.1</v>
      </c>
      <c r="C105" s="10" t="s">
        <v>832</v>
      </c>
      <c r="D105" s="10" t="s">
        <v>847</v>
      </c>
      <c r="E105" s="360">
        <v>45351</v>
      </c>
      <c r="F105" s="10">
        <v>7718</v>
      </c>
      <c r="G105" s="10" t="s">
        <v>918</v>
      </c>
      <c r="H105" s="141">
        <v>199</v>
      </c>
      <c r="I105" s="10" t="s">
        <v>919</v>
      </c>
      <c r="J105" s="141">
        <f t="shared" si="1"/>
        <v>199</v>
      </c>
    </row>
    <row r="106" spans="1:10">
      <c r="A106" s="14">
        <v>98</v>
      </c>
      <c r="B106" s="9">
        <v>930.1</v>
      </c>
      <c r="C106" s="10" t="s">
        <v>832</v>
      </c>
      <c r="D106" s="10" t="s">
        <v>847</v>
      </c>
      <c r="E106" s="360">
        <v>45275</v>
      </c>
      <c r="F106" s="10">
        <v>7514</v>
      </c>
      <c r="G106" s="10" t="s">
        <v>807</v>
      </c>
      <c r="H106" s="141">
        <v>578.30999999999995</v>
      </c>
      <c r="I106" s="10" t="s">
        <v>841</v>
      </c>
      <c r="J106" s="141">
        <f t="shared" si="1"/>
        <v>578.30999999999995</v>
      </c>
    </row>
    <row r="107" spans="1:10">
      <c r="A107" s="14">
        <v>99</v>
      </c>
      <c r="B107" s="9">
        <v>930.1</v>
      </c>
      <c r="C107" s="10" t="s">
        <v>832</v>
      </c>
      <c r="D107" s="10" t="s">
        <v>847</v>
      </c>
      <c r="E107" s="360">
        <v>45273</v>
      </c>
      <c r="F107" s="10">
        <v>0</v>
      </c>
      <c r="H107" s="141">
        <v>-1079</v>
      </c>
      <c r="I107" s="10" t="s">
        <v>833</v>
      </c>
      <c r="J107" s="141">
        <f t="shared" si="1"/>
        <v>-1079</v>
      </c>
    </row>
    <row r="108" spans="1:10">
      <c r="A108" s="14">
        <v>100</v>
      </c>
      <c r="B108" s="9">
        <v>930.1</v>
      </c>
      <c r="C108" s="10" t="s">
        <v>832</v>
      </c>
      <c r="D108" s="10" t="s">
        <v>847</v>
      </c>
      <c r="E108" s="360">
        <v>45154</v>
      </c>
      <c r="F108" s="10">
        <v>0</v>
      </c>
      <c r="H108" s="141">
        <v>-200</v>
      </c>
      <c r="I108" s="10" t="s">
        <v>920</v>
      </c>
      <c r="J108" s="141">
        <f t="shared" si="1"/>
        <v>-200</v>
      </c>
    </row>
    <row r="109" spans="1:10">
      <c r="A109" s="14">
        <v>101</v>
      </c>
      <c r="B109" s="10">
        <v>426.4</v>
      </c>
      <c r="C109" s="10" t="s">
        <v>799</v>
      </c>
      <c r="D109" s="10" t="s">
        <v>803</v>
      </c>
      <c r="E109" s="360">
        <v>45373</v>
      </c>
      <c r="F109" s="10">
        <v>208522</v>
      </c>
      <c r="G109" s="10" t="s">
        <v>804</v>
      </c>
      <c r="H109" s="361">
        <v>2000</v>
      </c>
      <c r="I109" s="10" t="s">
        <v>805</v>
      </c>
      <c r="J109" s="141">
        <f t="shared" si="1"/>
        <v>2000</v>
      </c>
    </row>
    <row r="110" spans="1:10">
      <c r="A110" s="14">
        <v>102</v>
      </c>
      <c r="B110" s="10">
        <v>426.4</v>
      </c>
      <c r="C110" s="10" t="s">
        <v>799</v>
      </c>
      <c r="D110" s="10" t="s">
        <v>803</v>
      </c>
      <c r="E110" s="360">
        <v>45350</v>
      </c>
      <c r="F110" s="10">
        <v>208284</v>
      </c>
      <c r="G110" s="10" t="s">
        <v>804</v>
      </c>
      <c r="H110" s="361">
        <v>1000</v>
      </c>
      <c r="I110" s="10" t="s">
        <v>809</v>
      </c>
      <c r="J110" s="141">
        <f t="shared" si="1"/>
        <v>1000</v>
      </c>
    </row>
    <row r="111" spans="1:10">
      <c r="A111" s="14">
        <v>103</v>
      </c>
      <c r="B111" s="9">
        <v>930.1</v>
      </c>
      <c r="C111" s="10" t="s">
        <v>832</v>
      </c>
      <c r="D111" s="10" t="s">
        <v>803</v>
      </c>
      <c r="E111" s="360">
        <v>45432</v>
      </c>
      <c r="F111" s="10">
        <v>209040</v>
      </c>
      <c r="G111" s="10" t="s">
        <v>921</v>
      </c>
      <c r="H111" s="141">
        <v>1000</v>
      </c>
      <c r="I111" s="10" t="s">
        <v>922</v>
      </c>
      <c r="J111" s="141">
        <f t="shared" si="1"/>
        <v>1000</v>
      </c>
    </row>
    <row r="112" spans="1:10">
      <c r="A112" s="14">
        <v>104</v>
      </c>
      <c r="B112" s="9">
        <v>930.1</v>
      </c>
      <c r="C112" s="10" t="s">
        <v>832</v>
      </c>
      <c r="D112" s="10" t="s">
        <v>803</v>
      </c>
      <c r="E112" s="360">
        <v>45419</v>
      </c>
      <c r="F112" s="10">
        <v>208895</v>
      </c>
      <c r="G112" s="10" t="s">
        <v>923</v>
      </c>
      <c r="H112" s="141">
        <v>100</v>
      </c>
      <c r="I112" s="10" t="s">
        <v>924</v>
      </c>
      <c r="J112" s="141">
        <f t="shared" si="1"/>
        <v>100</v>
      </c>
    </row>
    <row r="113" spans="1:10">
      <c r="A113" s="14">
        <v>105</v>
      </c>
      <c r="B113" s="9">
        <v>930.1</v>
      </c>
      <c r="C113" s="10" t="s">
        <v>832</v>
      </c>
      <c r="D113" s="10" t="s">
        <v>803</v>
      </c>
      <c r="E113" s="360">
        <v>45407</v>
      </c>
      <c r="F113" s="10">
        <v>208823</v>
      </c>
      <c r="G113" s="10" t="s">
        <v>925</v>
      </c>
      <c r="H113" s="141">
        <v>625</v>
      </c>
      <c r="I113" s="10" t="s">
        <v>926</v>
      </c>
      <c r="J113" s="141">
        <f t="shared" si="1"/>
        <v>625</v>
      </c>
    </row>
    <row r="114" spans="1:10">
      <c r="A114" s="14">
        <v>106</v>
      </c>
      <c r="B114" s="9">
        <v>930.1</v>
      </c>
      <c r="C114" s="10" t="s">
        <v>832</v>
      </c>
      <c r="D114" s="10" t="s">
        <v>803</v>
      </c>
      <c r="E114" s="360">
        <v>45394</v>
      </c>
      <c r="F114" s="10">
        <v>208723</v>
      </c>
      <c r="G114" s="10" t="s">
        <v>927</v>
      </c>
      <c r="H114" s="141">
        <v>1500</v>
      </c>
      <c r="I114" s="10" t="s">
        <v>928</v>
      </c>
      <c r="J114" s="141">
        <f t="shared" si="1"/>
        <v>1500</v>
      </c>
    </row>
    <row r="115" spans="1:10">
      <c r="A115" s="14">
        <v>107</v>
      </c>
      <c r="B115" s="9">
        <v>930.1</v>
      </c>
      <c r="C115" s="10" t="s">
        <v>832</v>
      </c>
      <c r="D115" s="10" t="s">
        <v>803</v>
      </c>
      <c r="E115" s="360">
        <v>45343</v>
      </c>
      <c r="F115" s="10">
        <v>208284</v>
      </c>
      <c r="G115" s="10" t="s">
        <v>804</v>
      </c>
      <c r="H115" s="141">
        <v>5000</v>
      </c>
      <c r="I115" s="10" t="s">
        <v>929</v>
      </c>
      <c r="J115" s="141">
        <f t="shared" si="1"/>
        <v>5000</v>
      </c>
    </row>
    <row r="116" spans="1:10">
      <c r="A116" s="14">
        <v>108</v>
      </c>
      <c r="B116" s="9">
        <v>930.1</v>
      </c>
      <c r="C116" s="10" t="s">
        <v>832</v>
      </c>
      <c r="D116" s="10" t="s">
        <v>803</v>
      </c>
      <c r="E116" s="360">
        <v>45327</v>
      </c>
      <c r="F116" s="10">
        <v>208136</v>
      </c>
      <c r="G116" s="10" t="s">
        <v>930</v>
      </c>
      <c r="H116" s="141">
        <v>1000</v>
      </c>
      <c r="I116" s="10" t="s">
        <v>930</v>
      </c>
      <c r="J116" s="141">
        <f t="shared" si="1"/>
        <v>1000</v>
      </c>
    </row>
    <row r="117" spans="1:10">
      <c r="A117" s="14">
        <v>109</v>
      </c>
      <c r="B117" s="9">
        <v>930.1</v>
      </c>
      <c r="C117" s="10" t="s">
        <v>832</v>
      </c>
      <c r="D117" s="10" t="s">
        <v>803</v>
      </c>
      <c r="E117" s="360">
        <v>45330</v>
      </c>
      <c r="F117" s="10">
        <v>208133</v>
      </c>
      <c r="G117" s="10" t="s">
        <v>758</v>
      </c>
      <c r="H117" s="141">
        <v>100</v>
      </c>
      <c r="I117" s="10" t="s">
        <v>931</v>
      </c>
      <c r="J117" s="141">
        <f t="shared" si="1"/>
        <v>100</v>
      </c>
    </row>
    <row r="118" spans="1:10">
      <c r="A118" s="14">
        <v>110</v>
      </c>
      <c r="B118" s="9">
        <v>930.1</v>
      </c>
      <c r="C118" s="10" t="s">
        <v>832</v>
      </c>
      <c r="D118" s="10" t="s">
        <v>803</v>
      </c>
      <c r="E118" s="360">
        <v>45323</v>
      </c>
      <c r="F118" s="10">
        <v>208074</v>
      </c>
      <c r="G118" s="10" t="s">
        <v>932</v>
      </c>
      <c r="H118" s="141">
        <v>100</v>
      </c>
      <c r="I118" s="10" t="s">
        <v>933</v>
      </c>
      <c r="J118" s="141">
        <f t="shared" si="1"/>
        <v>100</v>
      </c>
    </row>
    <row r="119" spans="1:10">
      <c r="A119" s="14">
        <v>111</v>
      </c>
      <c r="B119" s="9">
        <v>930.1</v>
      </c>
      <c r="C119" s="10" t="s">
        <v>832</v>
      </c>
      <c r="D119" s="10" t="s">
        <v>803</v>
      </c>
      <c r="E119" s="360">
        <v>45323</v>
      </c>
      <c r="F119" s="10">
        <v>208071</v>
      </c>
      <c r="G119" s="10" t="s">
        <v>934</v>
      </c>
      <c r="H119" s="141">
        <v>500</v>
      </c>
      <c r="I119" s="10" t="s">
        <v>935</v>
      </c>
      <c r="J119" s="141">
        <f t="shared" si="1"/>
        <v>500</v>
      </c>
    </row>
    <row r="120" spans="1:10">
      <c r="A120" s="14">
        <v>112</v>
      </c>
      <c r="B120" s="9">
        <v>930.1</v>
      </c>
      <c r="C120" s="10" t="s">
        <v>832</v>
      </c>
      <c r="D120" s="10" t="s">
        <v>803</v>
      </c>
      <c r="E120" s="360">
        <v>45323</v>
      </c>
      <c r="F120" s="10">
        <v>208071</v>
      </c>
      <c r="G120" s="10" t="s">
        <v>934</v>
      </c>
      <c r="H120" s="141">
        <v>500</v>
      </c>
      <c r="I120" s="10" t="s">
        <v>936</v>
      </c>
      <c r="J120" s="141">
        <f t="shared" si="1"/>
        <v>500</v>
      </c>
    </row>
    <row r="121" spans="1:10">
      <c r="A121" s="14">
        <v>113</v>
      </c>
      <c r="B121" s="9">
        <v>930.1</v>
      </c>
      <c r="C121" s="10" t="s">
        <v>832</v>
      </c>
      <c r="D121" s="10" t="s">
        <v>803</v>
      </c>
      <c r="E121" s="360">
        <v>45291</v>
      </c>
      <c r="F121" s="10">
        <v>207951</v>
      </c>
      <c r="G121" s="10" t="s">
        <v>937</v>
      </c>
      <c r="H121" s="141">
        <v>500</v>
      </c>
      <c r="I121" s="10" t="s">
        <v>938</v>
      </c>
      <c r="J121" s="141">
        <f t="shared" si="1"/>
        <v>500</v>
      </c>
    </row>
    <row r="122" spans="1:10">
      <c r="A122" s="14">
        <v>114</v>
      </c>
      <c r="B122" s="9">
        <v>930.1</v>
      </c>
      <c r="C122" s="10" t="s">
        <v>832</v>
      </c>
      <c r="D122" s="10" t="s">
        <v>803</v>
      </c>
      <c r="E122" s="360">
        <v>45292</v>
      </c>
      <c r="F122" s="10">
        <v>207797</v>
      </c>
      <c r="G122" s="10" t="s">
        <v>939</v>
      </c>
      <c r="H122" s="141">
        <v>300</v>
      </c>
      <c r="I122" s="10" t="s">
        <v>939</v>
      </c>
      <c r="J122" s="141">
        <f t="shared" si="1"/>
        <v>300</v>
      </c>
    </row>
    <row r="123" spans="1:10">
      <c r="A123" s="14">
        <v>115</v>
      </c>
      <c r="B123" s="9">
        <v>930.1</v>
      </c>
      <c r="C123" s="10" t="s">
        <v>832</v>
      </c>
      <c r="D123" s="10" t="s">
        <v>803</v>
      </c>
      <c r="E123" s="360">
        <v>45230</v>
      </c>
      <c r="F123" s="10">
        <v>206939</v>
      </c>
      <c r="G123" s="10" t="s">
        <v>940</v>
      </c>
      <c r="H123" s="141">
        <v>200</v>
      </c>
      <c r="I123" s="10" t="s">
        <v>941</v>
      </c>
      <c r="J123" s="141">
        <f t="shared" si="1"/>
        <v>200</v>
      </c>
    </row>
    <row r="124" spans="1:10">
      <c r="A124" s="14">
        <v>116</v>
      </c>
      <c r="B124" s="9">
        <v>930.1</v>
      </c>
      <c r="C124" s="10" t="s">
        <v>832</v>
      </c>
      <c r="D124" s="10" t="s">
        <v>803</v>
      </c>
      <c r="E124" s="360">
        <v>45211</v>
      </c>
      <c r="F124" s="10">
        <v>206749</v>
      </c>
      <c r="G124" s="10" t="s">
        <v>942</v>
      </c>
      <c r="H124" s="141">
        <v>500</v>
      </c>
      <c r="I124" s="10" t="s">
        <v>943</v>
      </c>
      <c r="J124" s="141">
        <f t="shared" si="1"/>
        <v>500</v>
      </c>
    </row>
    <row r="125" spans="1:10">
      <c r="A125" s="14">
        <v>117</v>
      </c>
      <c r="B125" s="9">
        <v>930.1</v>
      </c>
      <c r="C125" s="10" t="s">
        <v>832</v>
      </c>
      <c r="D125" s="10" t="s">
        <v>803</v>
      </c>
      <c r="E125" s="360">
        <v>45204</v>
      </c>
      <c r="F125" s="10">
        <v>206696</v>
      </c>
      <c r="G125" s="10" t="s">
        <v>944</v>
      </c>
      <c r="H125" s="141">
        <v>100</v>
      </c>
      <c r="I125" s="10" t="s">
        <v>945</v>
      </c>
      <c r="J125" s="141">
        <f t="shared" si="1"/>
        <v>100</v>
      </c>
    </row>
    <row r="126" spans="1:10">
      <c r="A126" s="14">
        <v>118</v>
      </c>
      <c r="B126" s="9">
        <v>930.1</v>
      </c>
      <c r="C126" s="10" t="s">
        <v>832</v>
      </c>
      <c r="D126" s="10" t="s">
        <v>803</v>
      </c>
      <c r="E126" s="360">
        <v>45204</v>
      </c>
      <c r="F126" s="10">
        <v>206689</v>
      </c>
      <c r="G126" s="10" t="s">
        <v>946</v>
      </c>
      <c r="H126" s="141">
        <v>100</v>
      </c>
      <c r="I126" s="10" t="s">
        <v>947</v>
      </c>
      <c r="J126" s="141">
        <f t="shared" si="1"/>
        <v>100</v>
      </c>
    </row>
    <row r="127" spans="1:10">
      <c r="A127" s="14">
        <v>119</v>
      </c>
      <c r="B127" s="9">
        <v>930.1</v>
      </c>
      <c r="C127" s="10" t="s">
        <v>832</v>
      </c>
      <c r="D127" s="10" t="s">
        <v>803</v>
      </c>
      <c r="E127" s="360">
        <v>45176</v>
      </c>
      <c r="F127" s="10">
        <v>206413</v>
      </c>
      <c r="G127" s="10" t="s">
        <v>948</v>
      </c>
      <c r="H127" s="141">
        <v>100</v>
      </c>
      <c r="I127" s="10" t="s">
        <v>949</v>
      </c>
      <c r="J127" s="141">
        <f t="shared" si="1"/>
        <v>100</v>
      </c>
    </row>
    <row r="128" spans="1:10">
      <c r="A128" s="14">
        <v>120</v>
      </c>
      <c r="B128" s="9">
        <v>930.1</v>
      </c>
      <c r="C128" s="10" t="s">
        <v>832</v>
      </c>
      <c r="D128" s="10" t="s">
        <v>803</v>
      </c>
      <c r="E128" s="360">
        <v>45161</v>
      </c>
      <c r="F128" s="10">
        <v>206280</v>
      </c>
      <c r="G128" s="10" t="s">
        <v>281</v>
      </c>
      <c r="H128" s="141">
        <v>100</v>
      </c>
      <c r="I128" s="10" t="s">
        <v>950</v>
      </c>
      <c r="J128" s="141">
        <f t="shared" si="1"/>
        <v>100</v>
      </c>
    </row>
    <row r="129" spans="1:10">
      <c r="A129" s="14">
        <v>121</v>
      </c>
      <c r="B129" s="9">
        <v>930.1</v>
      </c>
      <c r="C129" s="10" t="s">
        <v>832</v>
      </c>
      <c r="D129" s="10" t="s">
        <v>803</v>
      </c>
      <c r="E129" s="360">
        <v>45131</v>
      </c>
      <c r="F129" s="10">
        <v>206034</v>
      </c>
      <c r="G129" s="10" t="s">
        <v>951</v>
      </c>
      <c r="H129" s="141">
        <v>450</v>
      </c>
      <c r="I129" s="10" t="s">
        <v>952</v>
      </c>
      <c r="J129" s="141">
        <f t="shared" si="1"/>
        <v>450</v>
      </c>
    </row>
    <row r="130" spans="1:10">
      <c r="A130" s="14">
        <v>122</v>
      </c>
      <c r="B130" s="9">
        <v>930.1</v>
      </c>
      <c r="C130" s="10" t="s">
        <v>832</v>
      </c>
      <c r="D130" s="10" t="s">
        <v>803</v>
      </c>
      <c r="E130" s="360">
        <v>45127</v>
      </c>
      <c r="F130" s="10">
        <v>205979</v>
      </c>
      <c r="G130" s="10" t="s">
        <v>953</v>
      </c>
      <c r="H130" s="141">
        <v>100</v>
      </c>
      <c r="I130" s="10" t="s">
        <v>954</v>
      </c>
      <c r="J130" s="141">
        <f t="shared" si="1"/>
        <v>100</v>
      </c>
    </row>
    <row r="131" spans="1:10">
      <c r="A131" s="14">
        <v>123</v>
      </c>
      <c r="B131" s="9">
        <v>930.1</v>
      </c>
      <c r="C131" s="10" t="s">
        <v>832</v>
      </c>
      <c r="D131" s="10" t="s">
        <v>803</v>
      </c>
      <c r="E131" s="360">
        <v>45124</v>
      </c>
      <c r="F131" s="10">
        <v>205977</v>
      </c>
      <c r="G131" s="10" t="s">
        <v>955</v>
      </c>
      <c r="H131" s="141">
        <v>200</v>
      </c>
      <c r="I131" s="10" t="s">
        <v>956</v>
      </c>
      <c r="J131" s="141">
        <f t="shared" si="1"/>
        <v>200</v>
      </c>
    </row>
    <row r="132" spans="1:10">
      <c r="A132" s="14">
        <v>124</v>
      </c>
      <c r="B132" s="9">
        <v>930.1</v>
      </c>
      <c r="C132" s="10" t="s">
        <v>832</v>
      </c>
      <c r="D132" s="10" t="s">
        <v>803</v>
      </c>
      <c r="E132" s="360">
        <v>45323</v>
      </c>
      <c r="F132" s="10">
        <v>0</v>
      </c>
      <c r="H132" s="141">
        <v>-500</v>
      </c>
      <c r="I132" s="10" t="s">
        <v>957</v>
      </c>
      <c r="J132" s="141">
        <f t="shared" si="1"/>
        <v>-500</v>
      </c>
    </row>
    <row r="133" spans="1:10">
      <c r="A133" s="14">
        <v>125</v>
      </c>
      <c r="B133" s="9">
        <v>930.11</v>
      </c>
      <c r="C133" s="10" t="s">
        <v>958</v>
      </c>
      <c r="D133" s="10" t="s">
        <v>803</v>
      </c>
      <c r="E133" s="360">
        <v>45247</v>
      </c>
      <c r="F133" s="10">
        <v>207286</v>
      </c>
      <c r="G133" s="10" t="s">
        <v>962</v>
      </c>
      <c r="H133" s="141">
        <v>49.81</v>
      </c>
      <c r="I133" s="10" t="s">
        <v>963</v>
      </c>
      <c r="J133" s="141">
        <f t="shared" si="1"/>
        <v>49.81</v>
      </c>
    </row>
    <row r="134" spans="1:10">
      <c r="A134" s="14">
        <v>126</v>
      </c>
      <c r="B134" s="9">
        <v>930.11</v>
      </c>
      <c r="C134" s="10" t="s">
        <v>958</v>
      </c>
      <c r="D134" s="10" t="s">
        <v>803</v>
      </c>
      <c r="E134" s="360">
        <v>45250</v>
      </c>
      <c r="F134" s="10">
        <v>207286</v>
      </c>
      <c r="G134" s="10" t="s">
        <v>962</v>
      </c>
      <c r="H134" s="141">
        <v>86.51</v>
      </c>
      <c r="I134" s="10" t="s">
        <v>963</v>
      </c>
      <c r="J134" s="141">
        <f t="shared" si="1"/>
        <v>86.51</v>
      </c>
    </row>
    <row r="135" spans="1:10">
      <c r="A135" s="14">
        <v>127</v>
      </c>
      <c r="B135" s="9">
        <v>930.11</v>
      </c>
      <c r="C135" s="10" t="s">
        <v>958</v>
      </c>
      <c r="D135" s="10" t="s">
        <v>803</v>
      </c>
      <c r="E135" s="360">
        <v>45260</v>
      </c>
      <c r="F135" s="10">
        <v>207220</v>
      </c>
      <c r="G135" s="10" t="s">
        <v>964</v>
      </c>
      <c r="H135" s="141">
        <v>243.81</v>
      </c>
      <c r="I135" s="10" t="s">
        <v>965</v>
      </c>
      <c r="J135" s="141">
        <f t="shared" si="1"/>
        <v>243.81</v>
      </c>
    </row>
    <row r="136" spans="1:10">
      <c r="A136" s="14">
        <v>128</v>
      </c>
      <c r="B136" s="9">
        <v>930.11</v>
      </c>
      <c r="C136" s="10" t="s">
        <v>958</v>
      </c>
      <c r="D136" s="10" t="s">
        <v>803</v>
      </c>
      <c r="E136" s="360">
        <v>45250</v>
      </c>
      <c r="F136" s="10">
        <v>207142</v>
      </c>
      <c r="G136" s="10" t="s">
        <v>964</v>
      </c>
      <c r="H136" s="141">
        <v>265.98</v>
      </c>
      <c r="I136" s="10" t="s">
        <v>965</v>
      </c>
      <c r="J136" s="141">
        <f t="shared" si="1"/>
        <v>265.98</v>
      </c>
    </row>
    <row r="137" spans="1:10">
      <c r="A137" s="14">
        <v>129</v>
      </c>
      <c r="B137" s="9">
        <v>930.11</v>
      </c>
      <c r="C137" s="10" t="s">
        <v>958</v>
      </c>
      <c r="D137" s="10" t="s">
        <v>803</v>
      </c>
      <c r="E137" s="360">
        <v>45266</v>
      </c>
      <c r="F137" s="10">
        <v>818</v>
      </c>
      <c r="G137" s="10" t="s">
        <v>960</v>
      </c>
      <c r="H137" s="141">
        <v>689.15</v>
      </c>
      <c r="I137" s="10" t="s">
        <v>963</v>
      </c>
      <c r="J137" s="141">
        <f t="shared" ref="J137:J200" si="2">H137</f>
        <v>689.15</v>
      </c>
    </row>
    <row r="138" spans="1:10">
      <c r="A138" s="14">
        <v>130</v>
      </c>
      <c r="B138" s="9">
        <v>930.11</v>
      </c>
      <c r="C138" s="10" t="s">
        <v>958</v>
      </c>
      <c r="D138" s="10" t="s">
        <v>803</v>
      </c>
      <c r="E138" s="360">
        <v>45266</v>
      </c>
      <c r="F138" s="10">
        <v>817</v>
      </c>
      <c r="G138" s="10" t="s">
        <v>740</v>
      </c>
      <c r="H138" s="141">
        <v>760</v>
      </c>
      <c r="I138" s="10" t="s">
        <v>966</v>
      </c>
      <c r="J138" s="141">
        <f t="shared" si="2"/>
        <v>760</v>
      </c>
    </row>
    <row r="139" spans="1:10">
      <c r="A139" s="14">
        <v>131</v>
      </c>
      <c r="B139" s="9">
        <v>930.11</v>
      </c>
      <c r="C139" s="10" t="s">
        <v>958</v>
      </c>
      <c r="D139" s="10" t="s">
        <v>803</v>
      </c>
      <c r="E139" s="360">
        <v>45260</v>
      </c>
      <c r="F139" s="10">
        <v>0</v>
      </c>
      <c r="G139" s="10" t="s">
        <v>964</v>
      </c>
      <c r="H139" s="141">
        <v>-230.01</v>
      </c>
      <c r="I139" s="10" t="s">
        <v>965</v>
      </c>
      <c r="J139" s="141">
        <f t="shared" si="2"/>
        <v>-230.01</v>
      </c>
    </row>
    <row r="140" spans="1:10">
      <c r="A140" s="14">
        <v>132</v>
      </c>
      <c r="B140" s="9">
        <v>930.11</v>
      </c>
      <c r="C140" s="10" t="s">
        <v>958</v>
      </c>
      <c r="D140" s="10" t="s">
        <v>803</v>
      </c>
      <c r="E140" s="360">
        <v>45260</v>
      </c>
      <c r="F140" s="10">
        <v>0</v>
      </c>
      <c r="G140" s="10" t="s">
        <v>964</v>
      </c>
      <c r="H140" s="141">
        <v>-20.91</v>
      </c>
      <c r="I140" s="10" t="s">
        <v>965</v>
      </c>
      <c r="J140" s="141">
        <f t="shared" si="2"/>
        <v>-20.91</v>
      </c>
    </row>
    <row r="141" spans="1:10">
      <c r="A141" s="14">
        <v>133</v>
      </c>
      <c r="B141" s="9">
        <v>930.11</v>
      </c>
      <c r="C141" s="10" t="s">
        <v>958</v>
      </c>
      <c r="D141" s="10" t="s">
        <v>803</v>
      </c>
      <c r="E141" s="360">
        <v>45260</v>
      </c>
      <c r="F141" s="10">
        <v>0</v>
      </c>
      <c r="G141" s="10" t="s">
        <v>964</v>
      </c>
      <c r="H141" s="141">
        <v>230.01</v>
      </c>
      <c r="I141" s="10" t="s">
        <v>965</v>
      </c>
      <c r="J141" s="141">
        <f t="shared" si="2"/>
        <v>230.01</v>
      </c>
    </row>
    <row r="142" spans="1:10">
      <c r="A142" s="14">
        <v>134</v>
      </c>
      <c r="B142" s="9">
        <v>930.2</v>
      </c>
      <c r="C142" s="10" t="s">
        <v>967</v>
      </c>
      <c r="D142" s="10" t="s">
        <v>803</v>
      </c>
      <c r="E142" s="360">
        <v>45316</v>
      </c>
      <c r="F142" s="10">
        <v>208120</v>
      </c>
      <c r="G142" s="10" t="s">
        <v>844</v>
      </c>
      <c r="H142" s="141">
        <v>2000</v>
      </c>
      <c r="I142" s="10" t="s">
        <v>978</v>
      </c>
      <c r="J142" s="141">
        <f t="shared" si="2"/>
        <v>2000</v>
      </c>
    </row>
    <row r="143" spans="1:10">
      <c r="A143" s="14">
        <v>135</v>
      </c>
      <c r="B143" s="9">
        <v>930.2</v>
      </c>
      <c r="C143" s="10" t="s">
        <v>967</v>
      </c>
      <c r="D143" s="10" t="s">
        <v>803</v>
      </c>
      <c r="E143" s="360">
        <v>45380</v>
      </c>
      <c r="F143" s="10">
        <v>7740</v>
      </c>
      <c r="G143" s="10" t="s">
        <v>982</v>
      </c>
      <c r="H143" s="141">
        <v>41.31</v>
      </c>
      <c r="I143" s="10" t="s">
        <v>983</v>
      </c>
      <c r="J143" s="141">
        <f t="shared" si="2"/>
        <v>41.31</v>
      </c>
    </row>
    <row r="144" spans="1:10">
      <c r="A144" s="14">
        <v>136</v>
      </c>
      <c r="B144" s="9">
        <v>930.2</v>
      </c>
      <c r="C144" s="10" t="s">
        <v>967</v>
      </c>
      <c r="D144" s="10" t="s">
        <v>803</v>
      </c>
      <c r="E144" s="360">
        <v>45377</v>
      </c>
      <c r="F144" s="10">
        <v>1026</v>
      </c>
      <c r="G144" s="10" t="s">
        <v>984</v>
      </c>
      <c r="H144" s="141">
        <v>38</v>
      </c>
      <c r="I144" s="10" t="s">
        <v>985</v>
      </c>
      <c r="J144" s="141">
        <f t="shared" si="2"/>
        <v>38</v>
      </c>
    </row>
    <row r="145" spans="1:10">
      <c r="A145" s="14">
        <v>137</v>
      </c>
      <c r="B145" s="9">
        <v>930.2</v>
      </c>
      <c r="C145" s="10" t="s">
        <v>967</v>
      </c>
      <c r="D145" s="10" t="s">
        <v>803</v>
      </c>
      <c r="E145" s="360">
        <v>45236</v>
      </c>
      <c r="F145" s="10">
        <v>791</v>
      </c>
      <c r="G145" s="10" t="s">
        <v>986</v>
      </c>
      <c r="H145" s="141">
        <v>27.54</v>
      </c>
      <c r="I145" s="10" t="s">
        <v>987</v>
      </c>
      <c r="J145" s="141">
        <f t="shared" si="2"/>
        <v>27.54</v>
      </c>
    </row>
    <row r="146" spans="1:10">
      <c r="A146" s="14">
        <v>138</v>
      </c>
      <c r="B146" s="9">
        <v>930.2</v>
      </c>
      <c r="C146" s="10" t="s">
        <v>967</v>
      </c>
      <c r="D146" s="10" t="s">
        <v>803</v>
      </c>
      <c r="E146" s="360">
        <v>45236</v>
      </c>
      <c r="F146" s="10">
        <v>789</v>
      </c>
      <c r="G146" s="10" t="s">
        <v>740</v>
      </c>
      <c r="H146" s="141">
        <v>1310.5</v>
      </c>
      <c r="I146" s="10" t="s">
        <v>966</v>
      </c>
      <c r="J146" s="141">
        <f t="shared" si="2"/>
        <v>1310.5</v>
      </c>
    </row>
    <row r="147" spans="1:10">
      <c r="A147" s="14">
        <v>139</v>
      </c>
      <c r="B147" s="9">
        <v>930.2</v>
      </c>
      <c r="C147" s="10" t="s">
        <v>967</v>
      </c>
      <c r="D147" s="10" t="s">
        <v>803</v>
      </c>
      <c r="E147" s="360">
        <v>45205</v>
      </c>
      <c r="F147" s="10">
        <v>711</v>
      </c>
      <c r="G147" s="10" t="s">
        <v>740</v>
      </c>
      <c r="H147" s="141">
        <v>1165.44</v>
      </c>
      <c r="I147" s="10" t="s">
        <v>988</v>
      </c>
      <c r="J147" s="141">
        <f t="shared" si="2"/>
        <v>1165.44</v>
      </c>
    </row>
    <row r="148" spans="1:10">
      <c r="A148" s="14">
        <v>140</v>
      </c>
      <c r="B148" s="9">
        <v>930.2</v>
      </c>
      <c r="C148" s="10" t="s">
        <v>967</v>
      </c>
      <c r="D148" s="10" t="s">
        <v>803</v>
      </c>
      <c r="E148" s="360">
        <v>45205</v>
      </c>
      <c r="F148" s="10">
        <v>706</v>
      </c>
      <c r="G148" s="10" t="s">
        <v>960</v>
      </c>
      <c r="H148" s="141">
        <v>849.76</v>
      </c>
      <c r="I148" s="10" t="s">
        <v>988</v>
      </c>
      <c r="J148" s="141">
        <f t="shared" si="2"/>
        <v>849.76</v>
      </c>
    </row>
    <row r="149" spans="1:10">
      <c r="A149" s="14">
        <v>141</v>
      </c>
      <c r="B149" s="9">
        <v>930.2</v>
      </c>
      <c r="C149" s="10" t="s">
        <v>967</v>
      </c>
      <c r="D149" s="10" t="s">
        <v>803</v>
      </c>
      <c r="E149" s="360">
        <v>45083</v>
      </c>
      <c r="F149" s="10">
        <v>474</v>
      </c>
      <c r="G149" s="10" t="s">
        <v>772</v>
      </c>
      <c r="H149" s="141">
        <v>675.7</v>
      </c>
      <c r="I149" s="10" t="s">
        <v>989</v>
      </c>
      <c r="J149" s="141">
        <f t="shared" si="2"/>
        <v>675.7</v>
      </c>
    </row>
    <row r="150" spans="1:10">
      <c r="A150" s="14">
        <v>142</v>
      </c>
      <c r="B150" s="10">
        <v>426.4</v>
      </c>
      <c r="C150" s="10" t="s">
        <v>799</v>
      </c>
      <c r="D150" s="10" t="s">
        <v>800</v>
      </c>
      <c r="E150" s="360">
        <v>45429</v>
      </c>
      <c r="F150" s="10">
        <v>208996</v>
      </c>
      <c r="G150" s="10" t="s">
        <v>801</v>
      </c>
      <c r="H150" s="10">
        <v>200</v>
      </c>
      <c r="I150" s="10" t="s">
        <v>802</v>
      </c>
      <c r="J150" s="141">
        <f t="shared" si="2"/>
        <v>200</v>
      </c>
    </row>
    <row r="151" spans="1:10">
      <c r="A151" s="14">
        <v>143</v>
      </c>
      <c r="B151" s="10">
        <v>426.4</v>
      </c>
      <c r="C151" s="10" t="s">
        <v>799</v>
      </c>
      <c r="D151" s="10" t="s">
        <v>800</v>
      </c>
      <c r="E151" s="360">
        <v>45330</v>
      </c>
      <c r="F151" s="10">
        <v>208145</v>
      </c>
      <c r="G151" s="10" t="s">
        <v>811</v>
      </c>
      <c r="H151" s="361">
        <v>1000</v>
      </c>
      <c r="I151" s="10" t="s">
        <v>812</v>
      </c>
      <c r="J151" s="141">
        <f t="shared" si="2"/>
        <v>1000</v>
      </c>
    </row>
    <row r="152" spans="1:10">
      <c r="A152" s="14">
        <v>144</v>
      </c>
      <c r="B152" s="10">
        <v>426.4</v>
      </c>
      <c r="C152" s="10" t="s">
        <v>799</v>
      </c>
      <c r="D152" s="10" t="s">
        <v>800</v>
      </c>
      <c r="E152" s="360">
        <v>45287</v>
      </c>
      <c r="F152" s="10">
        <v>207490</v>
      </c>
      <c r="G152" s="10" t="s">
        <v>804</v>
      </c>
      <c r="H152" s="10">
        <v>500</v>
      </c>
      <c r="I152" s="10" t="s">
        <v>819</v>
      </c>
      <c r="J152" s="141">
        <f t="shared" si="2"/>
        <v>500</v>
      </c>
    </row>
    <row r="153" spans="1:10">
      <c r="A153" s="14">
        <v>145</v>
      </c>
      <c r="B153" s="10">
        <v>426.4</v>
      </c>
      <c r="C153" s="10" t="s">
        <v>799</v>
      </c>
      <c r="D153" s="10" t="s">
        <v>800</v>
      </c>
      <c r="E153" s="360">
        <v>45217</v>
      </c>
      <c r="F153" s="10">
        <v>206863</v>
      </c>
      <c r="G153" s="10" t="s">
        <v>817</v>
      </c>
      <c r="H153" s="10">
        <v>60</v>
      </c>
      <c r="I153" s="10" t="s">
        <v>820</v>
      </c>
      <c r="J153" s="141">
        <f t="shared" si="2"/>
        <v>60</v>
      </c>
    </row>
    <row r="154" spans="1:10">
      <c r="A154" s="14">
        <v>146</v>
      </c>
      <c r="B154" s="10">
        <v>426.1</v>
      </c>
      <c r="C154" s="10" t="s">
        <v>738</v>
      </c>
      <c r="D154" s="10" t="s">
        <v>739</v>
      </c>
      <c r="E154" s="360">
        <v>45425</v>
      </c>
      <c r="F154" s="10">
        <v>1064</v>
      </c>
      <c r="G154" s="10" t="s">
        <v>740</v>
      </c>
      <c r="H154" s="10">
        <v>104.94</v>
      </c>
      <c r="I154" s="10" t="s">
        <v>279</v>
      </c>
      <c r="J154" s="141">
        <f t="shared" si="2"/>
        <v>104.94</v>
      </c>
    </row>
    <row r="155" spans="1:10">
      <c r="A155" s="14">
        <v>147</v>
      </c>
      <c r="B155" s="10">
        <v>426.1</v>
      </c>
      <c r="C155" s="10" t="s">
        <v>738</v>
      </c>
      <c r="D155" s="10" t="s">
        <v>739</v>
      </c>
      <c r="E155" s="360">
        <v>45390</v>
      </c>
      <c r="F155" s="10">
        <v>1034</v>
      </c>
      <c r="G155" s="10" t="s">
        <v>741</v>
      </c>
      <c r="H155" s="10">
        <v>135.53</v>
      </c>
      <c r="I155" s="10" t="s">
        <v>279</v>
      </c>
      <c r="J155" s="141">
        <f t="shared" si="2"/>
        <v>135.53</v>
      </c>
    </row>
    <row r="156" spans="1:10">
      <c r="A156" s="14">
        <v>148</v>
      </c>
      <c r="B156" s="10">
        <v>426.1</v>
      </c>
      <c r="C156" s="10" t="s">
        <v>738</v>
      </c>
      <c r="D156" s="10" t="s">
        <v>739</v>
      </c>
      <c r="E156" s="360">
        <v>45400</v>
      </c>
      <c r="F156" s="10">
        <v>208699</v>
      </c>
      <c r="G156" s="10" t="s">
        <v>742</v>
      </c>
      <c r="H156" s="10">
        <v>500</v>
      </c>
      <c r="I156" s="10" t="s">
        <v>743</v>
      </c>
      <c r="J156" s="141">
        <f t="shared" si="2"/>
        <v>500</v>
      </c>
    </row>
    <row r="157" spans="1:10">
      <c r="A157" s="14">
        <v>149</v>
      </c>
      <c r="B157" s="10">
        <v>426.1</v>
      </c>
      <c r="C157" s="10" t="s">
        <v>738</v>
      </c>
      <c r="D157" s="10" t="s">
        <v>739</v>
      </c>
      <c r="E157" s="360">
        <v>45358</v>
      </c>
      <c r="F157" s="10">
        <v>208654</v>
      </c>
      <c r="G157" s="10" t="s">
        <v>744</v>
      </c>
      <c r="H157" s="10">
        <v>50</v>
      </c>
      <c r="I157" s="10" t="s">
        <v>745</v>
      </c>
      <c r="J157" s="141">
        <f t="shared" si="2"/>
        <v>50</v>
      </c>
    </row>
    <row r="158" spans="1:10">
      <c r="A158" s="14">
        <v>150</v>
      </c>
      <c r="B158" s="10">
        <v>426.1</v>
      </c>
      <c r="C158" s="10" t="s">
        <v>738</v>
      </c>
      <c r="D158" s="10" t="s">
        <v>739</v>
      </c>
      <c r="E158" s="360">
        <v>45383</v>
      </c>
      <c r="F158" s="10">
        <v>208670</v>
      </c>
      <c r="G158" s="10" t="s">
        <v>746</v>
      </c>
      <c r="H158" s="10">
        <v>150</v>
      </c>
      <c r="I158" s="10" t="s">
        <v>747</v>
      </c>
      <c r="J158" s="141">
        <f t="shared" si="2"/>
        <v>150</v>
      </c>
    </row>
    <row r="159" spans="1:10">
      <c r="A159" s="14">
        <v>151</v>
      </c>
      <c r="B159" s="10">
        <v>426.1</v>
      </c>
      <c r="C159" s="10" t="s">
        <v>738</v>
      </c>
      <c r="D159" s="10" t="s">
        <v>739</v>
      </c>
      <c r="E159" s="360">
        <v>45376</v>
      </c>
      <c r="F159" s="10">
        <v>208526</v>
      </c>
      <c r="G159" s="10" t="s">
        <v>748</v>
      </c>
      <c r="H159" s="361">
        <v>2500</v>
      </c>
      <c r="I159" s="10" t="s">
        <v>749</v>
      </c>
      <c r="J159" s="141">
        <f t="shared" si="2"/>
        <v>2500</v>
      </c>
    </row>
    <row r="160" spans="1:10">
      <c r="A160" s="14">
        <v>152</v>
      </c>
      <c r="B160" s="10">
        <v>426.1</v>
      </c>
      <c r="C160" s="10" t="s">
        <v>738</v>
      </c>
      <c r="D160" s="10" t="s">
        <v>739</v>
      </c>
      <c r="E160" s="360">
        <v>45377</v>
      </c>
      <c r="F160" s="10">
        <v>208532</v>
      </c>
      <c r="G160" s="10" t="s">
        <v>750</v>
      </c>
      <c r="H160" s="10">
        <v>600</v>
      </c>
      <c r="I160" s="10" t="s">
        <v>751</v>
      </c>
      <c r="J160" s="141">
        <f t="shared" si="2"/>
        <v>600</v>
      </c>
    </row>
    <row r="161" spans="1:10">
      <c r="A161" s="14">
        <v>153</v>
      </c>
      <c r="B161" s="10">
        <v>426.1</v>
      </c>
      <c r="C161" s="10" t="s">
        <v>738</v>
      </c>
      <c r="D161" s="10" t="s">
        <v>739</v>
      </c>
      <c r="E161" s="360">
        <v>45355</v>
      </c>
      <c r="F161" s="10">
        <v>208339</v>
      </c>
      <c r="G161" s="10" t="s">
        <v>752</v>
      </c>
      <c r="H161" s="10">
        <v>25</v>
      </c>
      <c r="I161" s="10" t="s">
        <v>753</v>
      </c>
      <c r="J161" s="141">
        <f t="shared" si="2"/>
        <v>25</v>
      </c>
    </row>
    <row r="162" spans="1:10">
      <c r="A162" s="14">
        <v>154</v>
      </c>
      <c r="B162" s="10">
        <v>426.1</v>
      </c>
      <c r="C162" s="10" t="s">
        <v>738</v>
      </c>
      <c r="D162" s="10" t="s">
        <v>739</v>
      </c>
      <c r="E162" s="360">
        <v>45351</v>
      </c>
      <c r="F162" s="10">
        <v>208295</v>
      </c>
      <c r="G162" s="10" t="s">
        <v>754</v>
      </c>
      <c r="H162" s="10">
        <v>100</v>
      </c>
      <c r="I162" s="10" t="s">
        <v>755</v>
      </c>
      <c r="J162" s="141">
        <f t="shared" si="2"/>
        <v>100</v>
      </c>
    </row>
    <row r="163" spans="1:10">
      <c r="A163" s="14">
        <v>155</v>
      </c>
      <c r="B163" s="10">
        <v>426.1</v>
      </c>
      <c r="C163" s="10" t="s">
        <v>738</v>
      </c>
      <c r="D163" s="10" t="s">
        <v>739</v>
      </c>
      <c r="E163" s="360">
        <v>45335</v>
      </c>
      <c r="F163" s="10">
        <v>208213</v>
      </c>
      <c r="G163" s="10" t="s">
        <v>756</v>
      </c>
      <c r="H163" s="10">
        <v>500</v>
      </c>
      <c r="I163" s="10" t="s">
        <v>757</v>
      </c>
      <c r="J163" s="141">
        <f t="shared" si="2"/>
        <v>500</v>
      </c>
    </row>
    <row r="164" spans="1:10">
      <c r="A164" s="14">
        <v>156</v>
      </c>
      <c r="B164" s="10">
        <v>426.1</v>
      </c>
      <c r="C164" s="10" t="s">
        <v>738</v>
      </c>
      <c r="D164" s="10" t="s">
        <v>739</v>
      </c>
      <c r="E164" s="360">
        <v>45330</v>
      </c>
      <c r="F164" s="10">
        <v>208133</v>
      </c>
      <c r="G164" s="10" t="s">
        <v>758</v>
      </c>
      <c r="H164" s="10">
        <v>240</v>
      </c>
      <c r="I164" s="10" t="s">
        <v>759</v>
      </c>
      <c r="J164" s="141">
        <f t="shared" si="2"/>
        <v>240</v>
      </c>
    </row>
    <row r="165" spans="1:10">
      <c r="A165" s="14">
        <v>157</v>
      </c>
      <c r="B165" s="10">
        <v>426.1</v>
      </c>
      <c r="C165" s="10" t="s">
        <v>738</v>
      </c>
      <c r="D165" s="10" t="s">
        <v>739</v>
      </c>
      <c r="E165" s="360">
        <v>45309</v>
      </c>
      <c r="F165" s="10">
        <v>207803</v>
      </c>
      <c r="G165" s="10" t="s">
        <v>760</v>
      </c>
      <c r="H165" s="10">
        <v>20</v>
      </c>
      <c r="I165" s="10" t="s">
        <v>761</v>
      </c>
      <c r="J165" s="141">
        <f t="shared" si="2"/>
        <v>20</v>
      </c>
    </row>
    <row r="166" spans="1:10">
      <c r="A166" s="14">
        <v>158</v>
      </c>
      <c r="B166" s="10">
        <v>426.1</v>
      </c>
      <c r="C166" s="10" t="s">
        <v>738</v>
      </c>
      <c r="D166" s="10" t="s">
        <v>739</v>
      </c>
      <c r="E166" s="360">
        <v>45309</v>
      </c>
      <c r="F166" s="10">
        <v>207795</v>
      </c>
      <c r="G166" s="10" t="s">
        <v>762</v>
      </c>
      <c r="H166" s="361">
        <v>1000</v>
      </c>
      <c r="I166" s="10" t="s">
        <v>763</v>
      </c>
      <c r="J166" s="141">
        <f t="shared" si="2"/>
        <v>1000</v>
      </c>
    </row>
    <row r="167" spans="1:10">
      <c r="A167" s="14">
        <v>159</v>
      </c>
      <c r="B167" s="10">
        <v>426.1</v>
      </c>
      <c r="C167" s="10" t="s">
        <v>738</v>
      </c>
      <c r="D167" s="10" t="s">
        <v>739</v>
      </c>
      <c r="E167" s="360">
        <v>45299</v>
      </c>
      <c r="F167" s="10">
        <v>858</v>
      </c>
      <c r="G167" s="10" t="s">
        <v>740</v>
      </c>
      <c r="H167" s="10">
        <v>97.94</v>
      </c>
      <c r="I167" s="10" t="s">
        <v>764</v>
      </c>
      <c r="J167" s="141">
        <f t="shared" si="2"/>
        <v>97.94</v>
      </c>
    </row>
    <row r="168" spans="1:10">
      <c r="A168" s="14">
        <v>160</v>
      </c>
      <c r="B168" s="10">
        <v>426.1</v>
      </c>
      <c r="C168" s="10" t="s">
        <v>738</v>
      </c>
      <c r="D168" s="10" t="s">
        <v>739</v>
      </c>
      <c r="E168" s="360">
        <v>45299</v>
      </c>
      <c r="F168" s="10">
        <v>858</v>
      </c>
      <c r="G168" s="10" t="s">
        <v>740</v>
      </c>
      <c r="H168" s="10">
        <v>366.59</v>
      </c>
      <c r="I168" s="10" t="s">
        <v>765</v>
      </c>
      <c r="J168" s="141">
        <f t="shared" si="2"/>
        <v>366.59</v>
      </c>
    </row>
    <row r="169" spans="1:10">
      <c r="A169" s="14">
        <v>161</v>
      </c>
      <c r="B169" s="10">
        <v>426.1</v>
      </c>
      <c r="C169" s="10" t="s">
        <v>738</v>
      </c>
      <c r="D169" s="10" t="s">
        <v>739</v>
      </c>
      <c r="E169" s="360">
        <v>45299</v>
      </c>
      <c r="F169" s="10">
        <v>860</v>
      </c>
      <c r="G169" s="10" t="s">
        <v>741</v>
      </c>
      <c r="H169" s="10">
        <v>71.680000000000007</v>
      </c>
      <c r="I169" s="10" t="s">
        <v>279</v>
      </c>
      <c r="J169" s="141">
        <f t="shared" si="2"/>
        <v>71.680000000000007</v>
      </c>
    </row>
    <row r="170" spans="1:10">
      <c r="A170" s="14">
        <v>162</v>
      </c>
      <c r="B170" s="10">
        <v>426.1</v>
      </c>
      <c r="C170" s="10" t="s">
        <v>738</v>
      </c>
      <c r="D170" s="10" t="s">
        <v>739</v>
      </c>
      <c r="E170" s="360">
        <v>45301</v>
      </c>
      <c r="F170" s="10">
        <v>207697</v>
      </c>
      <c r="G170" s="10" t="s">
        <v>766</v>
      </c>
      <c r="H170" s="10">
        <v>50</v>
      </c>
      <c r="I170" s="10" t="s">
        <v>766</v>
      </c>
      <c r="J170" s="141">
        <f t="shared" si="2"/>
        <v>50</v>
      </c>
    </row>
    <row r="171" spans="1:10">
      <c r="A171" s="14">
        <v>163</v>
      </c>
      <c r="B171" s="10">
        <v>426.1</v>
      </c>
      <c r="C171" s="10" t="s">
        <v>738</v>
      </c>
      <c r="D171" s="10" t="s">
        <v>739</v>
      </c>
      <c r="E171" s="360">
        <v>45266</v>
      </c>
      <c r="F171" s="10">
        <v>820</v>
      </c>
      <c r="G171" s="10" t="s">
        <v>741</v>
      </c>
      <c r="H171" s="10">
        <v>691.02</v>
      </c>
      <c r="I171" s="10" t="s">
        <v>279</v>
      </c>
      <c r="J171" s="141">
        <f t="shared" si="2"/>
        <v>691.02</v>
      </c>
    </row>
    <row r="172" spans="1:10">
      <c r="A172" s="14">
        <v>164</v>
      </c>
      <c r="B172" s="10">
        <v>426.1</v>
      </c>
      <c r="C172" s="10" t="s">
        <v>738</v>
      </c>
      <c r="D172" s="10" t="s">
        <v>739</v>
      </c>
      <c r="E172" s="360">
        <v>45268</v>
      </c>
      <c r="F172" s="10">
        <v>207402</v>
      </c>
      <c r="G172" s="10" t="s">
        <v>767</v>
      </c>
      <c r="H172" s="10">
        <v>250</v>
      </c>
      <c r="I172" s="10" t="s">
        <v>768</v>
      </c>
      <c r="J172" s="141">
        <f t="shared" si="2"/>
        <v>250</v>
      </c>
    </row>
    <row r="173" spans="1:10">
      <c r="A173" s="14">
        <v>165</v>
      </c>
      <c r="B173" s="10">
        <v>426.1</v>
      </c>
      <c r="C173" s="10" t="s">
        <v>738</v>
      </c>
      <c r="D173" s="10" t="s">
        <v>739</v>
      </c>
      <c r="E173" s="360">
        <v>45246</v>
      </c>
      <c r="F173" s="10">
        <v>207151</v>
      </c>
      <c r="G173" s="10" t="s">
        <v>769</v>
      </c>
      <c r="H173" s="10">
        <v>185.5</v>
      </c>
      <c r="I173" s="10" t="s">
        <v>770</v>
      </c>
      <c r="J173" s="141">
        <f t="shared" si="2"/>
        <v>185.5</v>
      </c>
    </row>
    <row r="174" spans="1:10">
      <c r="A174" s="14">
        <v>166</v>
      </c>
      <c r="B174" s="10">
        <v>426.1</v>
      </c>
      <c r="C174" s="10" t="s">
        <v>738</v>
      </c>
      <c r="D174" s="10" t="s">
        <v>739</v>
      </c>
      <c r="E174" s="360">
        <v>45236</v>
      </c>
      <c r="F174" s="10">
        <v>790</v>
      </c>
      <c r="G174" s="10" t="s">
        <v>741</v>
      </c>
      <c r="H174" s="10">
        <v>63.58</v>
      </c>
      <c r="I174" s="10" t="s">
        <v>279</v>
      </c>
      <c r="J174" s="141">
        <f t="shared" si="2"/>
        <v>63.58</v>
      </c>
    </row>
    <row r="175" spans="1:10">
      <c r="A175" s="14">
        <v>167</v>
      </c>
      <c r="B175" s="10">
        <v>426.1</v>
      </c>
      <c r="C175" s="10" t="s">
        <v>738</v>
      </c>
      <c r="D175" s="10" t="s">
        <v>739</v>
      </c>
      <c r="E175" s="360">
        <v>45260</v>
      </c>
      <c r="F175" s="10">
        <v>0</v>
      </c>
      <c r="H175" s="10">
        <v>124.27</v>
      </c>
      <c r="I175" s="10" t="s">
        <v>771</v>
      </c>
      <c r="J175" s="141">
        <f t="shared" si="2"/>
        <v>124.27</v>
      </c>
    </row>
    <row r="176" spans="1:10">
      <c r="A176" s="14">
        <v>168</v>
      </c>
      <c r="B176" s="10">
        <v>426.1</v>
      </c>
      <c r="C176" s="10" t="s">
        <v>738</v>
      </c>
      <c r="D176" s="10" t="s">
        <v>739</v>
      </c>
      <c r="E176" s="360">
        <v>45236</v>
      </c>
      <c r="F176" s="10">
        <v>784</v>
      </c>
      <c r="G176" s="10" t="s">
        <v>772</v>
      </c>
      <c r="H176" s="10">
        <v>27.52</v>
      </c>
      <c r="I176" s="10" t="s">
        <v>773</v>
      </c>
      <c r="J176" s="141">
        <f t="shared" si="2"/>
        <v>27.52</v>
      </c>
    </row>
    <row r="177" spans="1:10">
      <c r="A177" s="14">
        <v>169</v>
      </c>
      <c r="B177" s="10">
        <v>426.1</v>
      </c>
      <c r="C177" s="10" t="s">
        <v>738</v>
      </c>
      <c r="D177" s="10" t="s">
        <v>739</v>
      </c>
      <c r="E177" s="360">
        <v>45236</v>
      </c>
      <c r="F177" s="10">
        <v>784</v>
      </c>
      <c r="G177" s="10" t="s">
        <v>772</v>
      </c>
      <c r="H177" s="10">
        <v>12.48</v>
      </c>
      <c r="I177" s="10" t="s">
        <v>773</v>
      </c>
      <c r="J177" s="141">
        <f t="shared" si="2"/>
        <v>12.48</v>
      </c>
    </row>
    <row r="178" spans="1:10">
      <c r="A178" s="14">
        <v>170</v>
      </c>
      <c r="B178" s="10">
        <v>426.1</v>
      </c>
      <c r="C178" s="10" t="s">
        <v>738</v>
      </c>
      <c r="D178" s="10" t="s">
        <v>739</v>
      </c>
      <c r="E178" s="360">
        <v>45205</v>
      </c>
      <c r="F178" s="10">
        <v>758</v>
      </c>
      <c r="G178" s="10" t="s">
        <v>741</v>
      </c>
      <c r="H178" s="10">
        <v>210.98</v>
      </c>
      <c r="I178" s="10" t="s">
        <v>279</v>
      </c>
      <c r="J178" s="141">
        <f t="shared" si="2"/>
        <v>210.98</v>
      </c>
    </row>
    <row r="179" spans="1:10">
      <c r="A179" s="14">
        <v>171</v>
      </c>
      <c r="B179" s="10">
        <v>426.1</v>
      </c>
      <c r="C179" s="10" t="s">
        <v>738</v>
      </c>
      <c r="D179" s="10" t="s">
        <v>739</v>
      </c>
      <c r="E179" s="360">
        <v>45210</v>
      </c>
      <c r="F179" s="10">
        <v>206843</v>
      </c>
      <c r="G179" s="10" t="s">
        <v>748</v>
      </c>
      <c r="H179" s="361">
        <v>2500</v>
      </c>
      <c r="I179" s="10" t="s">
        <v>749</v>
      </c>
      <c r="J179" s="141">
        <f t="shared" si="2"/>
        <v>2500</v>
      </c>
    </row>
    <row r="180" spans="1:10">
      <c r="A180" s="14">
        <v>172</v>
      </c>
      <c r="B180" s="10">
        <v>426.1</v>
      </c>
      <c r="C180" s="10" t="s">
        <v>738</v>
      </c>
      <c r="D180" s="10" t="s">
        <v>739</v>
      </c>
      <c r="E180" s="360">
        <v>45211</v>
      </c>
      <c r="F180" s="10">
        <v>206721</v>
      </c>
      <c r="G180" s="10" t="s">
        <v>778</v>
      </c>
      <c r="H180" s="10">
        <v>200</v>
      </c>
      <c r="I180" s="10" t="s">
        <v>779</v>
      </c>
      <c r="J180" s="141">
        <f t="shared" si="2"/>
        <v>200</v>
      </c>
    </row>
    <row r="181" spans="1:10">
      <c r="A181" s="14">
        <v>173</v>
      </c>
      <c r="B181" s="10">
        <v>426.1</v>
      </c>
      <c r="C181" s="10" t="s">
        <v>738</v>
      </c>
      <c r="D181" s="10" t="s">
        <v>739</v>
      </c>
      <c r="E181" s="360">
        <v>45199</v>
      </c>
      <c r="F181" s="10">
        <v>0</v>
      </c>
      <c r="H181" s="361">
        <v>1000</v>
      </c>
      <c r="I181" s="10" t="s">
        <v>780</v>
      </c>
      <c r="J181" s="141">
        <f t="shared" si="2"/>
        <v>1000</v>
      </c>
    </row>
    <row r="182" spans="1:10">
      <c r="A182" s="14">
        <v>174</v>
      </c>
      <c r="B182" s="10">
        <v>426.1</v>
      </c>
      <c r="C182" s="10" t="s">
        <v>738</v>
      </c>
      <c r="D182" s="10" t="s">
        <v>739</v>
      </c>
      <c r="E182" s="360">
        <v>45161</v>
      </c>
      <c r="F182" s="10">
        <v>206294</v>
      </c>
      <c r="G182" s="10" t="s">
        <v>756</v>
      </c>
      <c r="H182" s="10">
        <v>500</v>
      </c>
      <c r="I182" s="10" t="s">
        <v>781</v>
      </c>
      <c r="J182" s="141">
        <f t="shared" si="2"/>
        <v>500</v>
      </c>
    </row>
    <row r="183" spans="1:10">
      <c r="A183" s="14">
        <v>175</v>
      </c>
      <c r="B183" s="10">
        <v>426.1</v>
      </c>
      <c r="C183" s="10" t="s">
        <v>738</v>
      </c>
      <c r="D183" s="10" t="s">
        <v>739</v>
      </c>
      <c r="E183" s="360">
        <v>45161</v>
      </c>
      <c r="F183" s="10">
        <v>206262</v>
      </c>
      <c r="G183" s="10" t="s">
        <v>782</v>
      </c>
      <c r="H183" s="10">
        <v>50</v>
      </c>
      <c r="I183" s="10" t="s">
        <v>783</v>
      </c>
      <c r="J183" s="141">
        <f t="shared" si="2"/>
        <v>50</v>
      </c>
    </row>
    <row r="184" spans="1:10">
      <c r="A184" s="14">
        <v>176</v>
      </c>
      <c r="B184" s="10">
        <v>426.1</v>
      </c>
      <c r="C184" s="10" t="s">
        <v>738</v>
      </c>
      <c r="D184" s="10" t="s">
        <v>739</v>
      </c>
      <c r="E184" s="360">
        <v>45161</v>
      </c>
      <c r="F184" s="10">
        <v>206270</v>
      </c>
      <c r="G184" s="10" t="s">
        <v>784</v>
      </c>
      <c r="H184" s="10">
        <v>100</v>
      </c>
      <c r="I184" s="10" t="s">
        <v>785</v>
      </c>
      <c r="J184" s="141">
        <f t="shared" si="2"/>
        <v>100</v>
      </c>
    </row>
    <row r="185" spans="1:10">
      <c r="A185" s="14">
        <v>177</v>
      </c>
      <c r="B185" s="10">
        <v>426.1</v>
      </c>
      <c r="C185" s="10" t="s">
        <v>738</v>
      </c>
      <c r="D185" s="10" t="s">
        <v>739</v>
      </c>
      <c r="E185" s="360">
        <v>45161</v>
      </c>
      <c r="F185" s="10">
        <v>206280</v>
      </c>
      <c r="G185" s="10" t="s">
        <v>281</v>
      </c>
      <c r="H185" s="10">
        <v>400</v>
      </c>
      <c r="I185" s="10" t="s">
        <v>786</v>
      </c>
      <c r="J185" s="141">
        <f t="shared" si="2"/>
        <v>400</v>
      </c>
    </row>
    <row r="186" spans="1:10">
      <c r="A186" s="14">
        <v>178</v>
      </c>
      <c r="B186" s="10">
        <v>426.1</v>
      </c>
      <c r="C186" s="10" t="s">
        <v>738</v>
      </c>
      <c r="D186" s="10" t="s">
        <v>739</v>
      </c>
      <c r="E186" s="360">
        <v>45145</v>
      </c>
      <c r="F186" s="10">
        <v>634</v>
      </c>
      <c r="G186" s="10" t="s">
        <v>772</v>
      </c>
      <c r="H186" s="10">
        <v>122.96</v>
      </c>
      <c r="I186" s="10" t="s">
        <v>787</v>
      </c>
      <c r="J186" s="141">
        <f t="shared" si="2"/>
        <v>122.96</v>
      </c>
    </row>
    <row r="187" spans="1:10">
      <c r="A187" s="14">
        <v>179</v>
      </c>
      <c r="B187" s="10">
        <v>426.1</v>
      </c>
      <c r="C187" s="10" t="s">
        <v>738</v>
      </c>
      <c r="D187" s="10" t="s">
        <v>739</v>
      </c>
      <c r="E187" s="360">
        <v>45124</v>
      </c>
      <c r="F187" s="10">
        <v>555</v>
      </c>
      <c r="G187" s="10" t="s">
        <v>741</v>
      </c>
      <c r="H187" s="10">
        <v>31.76</v>
      </c>
      <c r="I187" s="10" t="s">
        <v>279</v>
      </c>
      <c r="J187" s="141">
        <f t="shared" si="2"/>
        <v>31.76</v>
      </c>
    </row>
    <row r="188" spans="1:10">
      <c r="A188" s="14">
        <v>180</v>
      </c>
      <c r="B188" s="10">
        <v>426.1</v>
      </c>
      <c r="C188" s="10" t="s">
        <v>738</v>
      </c>
      <c r="D188" s="10" t="s">
        <v>739</v>
      </c>
      <c r="E188" s="360">
        <v>45123</v>
      </c>
      <c r="F188" s="10">
        <v>205972</v>
      </c>
      <c r="G188" s="10" t="s">
        <v>762</v>
      </c>
      <c r="H188" s="10">
        <v>400</v>
      </c>
      <c r="I188" s="10" t="s">
        <v>788</v>
      </c>
      <c r="J188" s="141">
        <f t="shared" si="2"/>
        <v>400</v>
      </c>
    </row>
    <row r="189" spans="1:10">
      <c r="A189" s="14">
        <v>181</v>
      </c>
      <c r="B189" s="10">
        <v>426.1</v>
      </c>
      <c r="C189" s="10" t="s">
        <v>738</v>
      </c>
      <c r="D189" s="10" t="s">
        <v>739</v>
      </c>
      <c r="E189" s="360">
        <v>45113</v>
      </c>
      <c r="F189" s="10">
        <v>205892</v>
      </c>
      <c r="G189" s="10" t="s">
        <v>789</v>
      </c>
      <c r="H189" s="10">
        <v>300</v>
      </c>
      <c r="I189" s="10" t="s">
        <v>790</v>
      </c>
      <c r="J189" s="141">
        <f t="shared" si="2"/>
        <v>300</v>
      </c>
    </row>
    <row r="190" spans="1:10">
      <c r="A190" s="14">
        <v>182</v>
      </c>
      <c r="B190" s="10">
        <v>426.1</v>
      </c>
      <c r="C190" s="10" t="s">
        <v>738</v>
      </c>
      <c r="D190" s="10" t="s">
        <v>739</v>
      </c>
      <c r="E190" s="360">
        <v>45100</v>
      </c>
      <c r="F190" s="10">
        <v>205793</v>
      </c>
      <c r="G190" s="10" t="s">
        <v>791</v>
      </c>
      <c r="H190" s="10">
        <v>250</v>
      </c>
      <c r="I190" s="10" t="s">
        <v>792</v>
      </c>
      <c r="J190" s="141">
        <f t="shared" si="2"/>
        <v>250</v>
      </c>
    </row>
    <row r="191" spans="1:10">
      <c r="A191" s="14">
        <v>183</v>
      </c>
      <c r="B191" s="10">
        <v>426.1</v>
      </c>
      <c r="C191" s="10" t="s">
        <v>738</v>
      </c>
      <c r="D191" s="10" t="s">
        <v>739</v>
      </c>
      <c r="E191" s="360">
        <v>45091</v>
      </c>
      <c r="F191" s="10">
        <v>205672</v>
      </c>
      <c r="G191" s="10" t="s">
        <v>793</v>
      </c>
      <c r="H191" s="10">
        <v>500</v>
      </c>
      <c r="I191" s="10" t="s">
        <v>794</v>
      </c>
      <c r="J191" s="141">
        <f t="shared" si="2"/>
        <v>500</v>
      </c>
    </row>
    <row r="192" spans="1:10">
      <c r="A192" s="14">
        <v>184</v>
      </c>
      <c r="B192" s="10">
        <v>426.1</v>
      </c>
      <c r="C192" s="10" t="s">
        <v>738</v>
      </c>
      <c r="D192" s="10" t="s">
        <v>739</v>
      </c>
      <c r="E192" s="360">
        <v>45083</v>
      </c>
      <c r="F192" s="10">
        <v>474</v>
      </c>
      <c r="G192" s="10" t="s">
        <v>772</v>
      </c>
      <c r="H192" s="10">
        <v>58.28</v>
      </c>
      <c r="I192" s="10" t="s">
        <v>795</v>
      </c>
      <c r="J192" s="141">
        <f t="shared" si="2"/>
        <v>58.28</v>
      </c>
    </row>
    <row r="193" spans="1:10">
      <c r="A193" s="14">
        <v>185</v>
      </c>
      <c r="B193" s="9">
        <v>930.2</v>
      </c>
      <c r="C193" s="10" t="s">
        <v>967</v>
      </c>
      <c r="D193" s="10" t="s">
        <v>990</v>
      </c>
      <c r="E193" s="360">
        <v>45420</v>
      </c>
      <c r="F193" s="10">
        <v>7888</v>
      </c>
      <c r="G193" s="10" t="s">
        <v>807</v>
      </c>
      <c r="H193" s="141">
        <v>38405.199999999997</v>
      </c>
      <c r="I193" s="10" t="s">
        <v>991</v>
      </c>
      <c r="J193" s="141">
        <f t="shared" si="2"/>
        <v>38405.199999999997</v>
      </c>
    </row>
    <row r="194" spans="1:10">
      <c r="A194" s="14">
        <v>186</v>
      </c>
      <c r="B194" s="9">
        <v>930.2</v>
      </c>
      <c r="C194" s="10" t="s">
        <v>967</v>
      </c>
      <c r="D194" s="10" t="s">
        <v>990</v>
      </c>
      <c r="E194" s="360">
        <v>45392</v>
      </c>
      <c r="F194" s="10">
        <v>7802</v>
      </c>
      <c r="G194" s="10" t="s">
        <v>807</v>
      </c>
      <c r="H194" s="141">
        <v>27557.86</v>
      </c>
      <c r="I194" s="10" t="s">
        <v>991</v>
      </c>
      <c r="J194" s="141">
        <f t="shared" si="2"/>
        <v>27557.86</v>
      </c>
    </row>
    <row r="195" spans="1:10">
      <c r="A195" s="14">
        <v>187</v>
      </c>
      <c r="B195" s="9">
        <v>930.2</v>
      </c>
      <c r="C195" s="10" t="s">
        <v>967</v>
      </c>
      <c r="D195" s="10" t="s">
        <v>990</v>
      </c>
      <c r="E195" s="360">
        <v>45357</v>
      </c>
      <c r="F195" s="10">
        <v>7743</v>
      </c>
      <c r="G195" s="10" t="s">
        <v>807</v>
      </c>
      <c r="H195" s="141">
        <v>27649.66</v>
      </c>
      <c r="I195" s="10" t="s">
        <v>991</v>
      </c>
      <c r="J195" s="141">
        <f t="shared" si="2"/>
        <v>27649.66</v>
      </c>
    </row>
    <row r="196" spans="1:10">
      <c r="A196" s="14">
        <v>188</v>
      </c>
      <c r="B196" s="9">
        <v>930.2</v>
      </c>
      <c r="C196" s="10" t="s">
        <v>967</v>
      </c>
      <c r="D196" s="10" t="s">
        <v>990</v>
      </c>
      <c r="E196" s="360">
        <v>45335</v>
      </c>
      <c r="F196" s="10">
        <v>7676</v>
      </c>
      <c r="G196" s="10" t="s">
        <v>807</v>
      </c>
      <c r="H196" s="141">
        <v>27799.18</v>
      </c>
      <c r="I196" s="10" t="s">
        <v>991</v>
      </c>
      <c r="J196" s="141">
        <f t="shared" si="2"/>
        <v>27799.18</v>
      </c>
    </row>
    <row r="197" spans="1:10">
      <c r="A197" s="14">
        <v>189</v>
      </c>
      <c r="B197" s="9">
        <v>930.2</v>
      </c>
      <c r="C197" s="10" t="s">
        <v>967</v>
      </c>
      <c r="D197" s="10" t="s">
        <v>990</v>
      </c>
      <c r="E197" s="360">
        <v>45320</v>
      </c>
      <c r="F197" s="10">
        <v>7593</v>
      </c>
      <c r="G197" s="10" t="s">
        <v>807</v>
      </c>
      <c r="H197" s="141">
        <v>27886.91</v>
      </c>
      <c r="I197" s="10" t="s">
        <v>991</v>
      </c>
      <c r="J197" s="141">
        <f t="shared" si="2"/>
        <v>27886.91</v>
      </c>
    </row>
    <row r="198" spans="1:10">
      <c r="A198" s="14">
        <v>190</v>
      </c>
      <c r="B198" s="9">
        <v>930.2</v>
      </c>
      <c r="C198" s="10" t="s">
        <v>967</v>
      </c>
      <c r="D198" s="10" t="s">
        <v>990</v>
      </c>
      <c r="E198" s="360">
        <v>45268</v>
      </c>
      <c r="F198" s="10">
        <v>7514</v>
      </c>
      <c r="G198" s="10" t="s">
        <v>807</v>
      </c>
      <c r="H198" s="141">
        <v>28024.880000000001</v>
      </c>
      <c r="I198" s="10" t="s">
        <v>991</v>
      </c>
      <c r="J198" s="141">
        <f t="shared" si="2"/>
        <v>28024.880000000001</v>
      </c>
    </row>
    <row r="199" spans="1:10">
      <c r="A199" s="14">
        <v>191</v>
      </c>
      <c r="B199" s="9">
        <v>930.2</v>
      </c>
      <c r="C199" s="10" t="s">
        <v>967</v>
      </c>
      <c r="D199" s="10" t="s">
        <v>990</v>
      </c>
      <c r="E199" s="360">
        <v>45246</v>
      </c>
      <c r="F199" s="10">
        <v>7443</v>
      </c>
      <c r="G199" s="10" t="s">
        <v>807</v>
      </c>
      <c r="H199" s="141">
        <v>28177.29</v>
      </c>
      <c r="I199" s="10" t="s">
        <v>991</v>
      </c>
      <c r="J199" s="141">
        <f t="shared" si="2"/>
        <v>28177.29</v>
      </c>
    </row>
    <row r="200" spans="1:10">
      <c r="A200" s="14">
        <v>192</v>
      </c>
      <c r="B200" s="9">
        <v>930.2</v>
      </c>
      <c r="C200" s="10" t="s">
        <v>967</v>
      </c>
      <c r="D200" s="10" t="s">
        <v>990</v>
      </c>
      <c r="E200" s="360">
        <v>45205</v>
      </c>
      <c r="F200" s="10">
        <v>7356</v>
      </c>
      <c r="G200" s="10" t="s">
        <v>807</v>
      </c>
      <c r="H200" s="141">
        <v>28603.91</v>
      </c>
      <c r="I200" s="10" t="s">
        <v>991</v>
      </c>
      <c r="J200" s="141">
        <f t="shared" si="2"/>
        <v>28603.91</v>
      </c>
    </row>
    <row r="201" spans="1:10">
      <c r="A201" s="14">
        <v>193</v>
      </c>
      <c r="B201" s="9">
        <v>930.2</v>
      </c>
      <c r="C201" s="10" t="s">
        <v>967</v>
      </c>
      <c r="D201" s="10" t="s">
        <v>990</v>
      </c>
      <c r="E201" s="360">
        <v>45183</v>
      </c>
      <c r="F201" s="10">
        <v>7285</v>
      </c>
      <c r="G201" s="10" t="s">
        <v>807</v>
      </c>
      <c r="H201" s="141">
        <v>28673.19</v>
      </c>
      <c r="I201" s="10" t="s">
        <v>991</v>
      </c>
      <c r="J201" s="141">
        <f t="shared" ref="J201:J204" si="3">H201</f>
        <v>28673.19</v>
      </c>
    </row>
    <row r="202" spans="1:10">
      <c r="A202" s="14">
        <v>194</v>
      </c>
      <c r="B202" s="9">
        <v>930.2</v>
      </c>
      <c r="C202" s="10" t="s">
        <v>967</v>
      </c>
      <c r="D202" s="10" t="s">
        <v>990</v>
      </c>
      <c r="E202" s="360">
        <v>45141</v>
      </c>
      <c r="F202" s="10">
        <v>7219</v>
      </c>
      <c r="G202" s="10" t="s">
        <v>807</v>
      </c>
      <c r="H202" s="141">
        <v>28667.42</v>
      </c>
      <c r="I202" s="10" t="s">
        <v>991</v>
      </c>
      <c r="J202" s="141">
        <f t="shared" si="3"/>
        <v>28667.42</v>
      </c>
    </row>
    <row r="203" spans="1:10">
      <c r="A203" s="14">
        <v>195</v>
      </c>
      <c r="B203" s="9">
        <v>930.2</v>
      </c>
      <c r="C203" s="10" t="s">
        <v>967</v>
      </c>
      <c r="D203" s="10" t="s">
        <v>990</v>
      </c>
      <c r="E203" s="360">
        <v>45114</v>
      </c>
      <c r="F203" s="10">
        <v>7141</v>
      </c>
      <c r="G203" s="10" t="s">
        <v>807</v>
      </c>
      <c r="H203" s="141">
        <v>28951.43</v>
      </c>
      <c r="I203" s="10" t="s">
        <v>991</v>
      </c>
      <c r="J203" s="141">
        <f t="shared" si="3"/>
        <v>28951.43</v>
      </c>
    </row>
    <row r="204" spans="1:10">
      <c r="A204" s="14">
        <v>196</v>
      </c>
      <c r="B204" s="9">
        <v>930.2</v>
      </c>
      <c r="C204" s="10" t="s">
        <v>967</v>
      </c>
      <c r="D204" s="10" t="s">
        <v>990</v>
      </c>
      <c r="E204" s="360">
        <v>45083</v>
      </c>
      <c r="F204" s="10">
        <v>7073</v>
      </c>
      <c r="G204" s="10" t="s">
        <v>807</v>
      </c>
      <c r="H204" s="141">
        <v>28144.17</v>
      </c>
      <c r="I204" s="10" t="s">
        <v>991</v>
      </c>
      <c r="J204" s="141">
        <f t="shared" si="3"/>
        <v>28144.17</v>
      </c>
    </row>
    <row r="205" spans="1:10">
      <c r="A205" s="14">
        <v>197</v>
      </c>
      <c r="B205" s="9">
        <v>930.2</v>
      </c>
      <c r="C205" s="10" t="s">
        <v>967</v>
      </c>
      <c r="D205" s="10" t="s">
        <v>774</v>
      </c>
      <c r="E205" s="360">
        <v>45104</v>
      </c>
      <c r="F205" s="10">
        <v>0</v>
      </c>
      <c r="H205" s="141">
        <v>-11900</v>
      </c>
      <c r="I205" s="10" t="s">
        <v>833</v>
      </c>
      <c r="J205" s="362">
        <f>H205</f>
        <v>-11900</v>
      </c>
    </row>
    <row r="206" spans="1:10">
      <c r="A206" s="14">
        <v>198</v>
      </c>
      <c r="B206" s="9">
        <v>930.2</v>
      </c>
      <c r="C206" s="10" t="s">
        <v>967</v>
      </c>
      <c r="D206" s="10" t="s">
        <v>774</v>
      </c>
      <c r="E206" s="360">
        <v>45104</v>
      </c>
      <c r="F206" s="10">
        <v>0</v>
      </c>
      <c r="H206" s="141">
        <v>11900</v>
      </c>
      <c r="I206" s="10" t="s">
        <v>968</v>
      </c>
      <c r="J206" s="362">
        <f>H206</f>
        <v>11900</v>
      </c>
    </row>
    <row r="207" spans="1:10">
      <c r="A207" s="14">
        <v>199</v>
      </c>
      <c r="B207" s="9">
        <v>930.2</v>
      </c>
      <c r="C207" s="10" t="s">
        <v>967</v>
      </c>
      <c r="D207" s="10" t="s">
        <v>992</v>
      </c>
      <c r="E207" s="360">
        <v>45411</v>
      </c>
      <c r="F207" s="10">
        <v>208944</v>
      </c>
      <c r="G207" s="10" t="s">
        <v>976</v>
      </c>
      <c r="H207" s="141">
        <v>15.9</v>
      </c>
      <c r="I207" s="10" t="s">
        <v>977</v>
      </c>
      <c r="J207" s="141"/>
    </row>
    <row r="208" spans="1:10">
      <c r="A208" s="14">
        <v>200</v>
      </c>
      <c r="B208" s="9">
        <v>930.2</v>
      </c>
      <c r="C208" s="10" t="s">
        <v>967</v>
      </c>
      <c r="D208" s="10" t="s">
        <v>992</v>
      </c>
      <c r="E208" s="360">
        <v>45082</v>
      </c>
      <c r="F208" s="10">
        <v>205657</v>
      </c>
      <c r="G208" s="10" t="s">
        <v>976</v>
      </c>
      <c r="H208" s="141">
        <v>687.41</v>
      </c>
      <c r="I208" s="10" t="s">
        <v>979</v>
      </c>
      <c r="J208" s="141"/>
    </row>
    <row r="209" spans="1:10">
      <c r="A209" s="14">
        <v>201</v>
      </c>
      <c r="B209" s="9">
        <v>930.2</v>
      </c>
      <c r="C209" s="10" t="s">
        <v>967</v>
      </c>
      <c r="D209" s="10" t="s">
        <v>992</v>
      </c>
      <c r="E209" s="360">
        <v>45436</v>
      </c>
      <c r="F209" s="10">
        <v>7876</v>
      </c>
      <c r="G209" s="10" t="s">
        <v>980</v>
      </c>
      <c r="H209" s="141">
        <v>1418.17</v>
      </c>
      <c r="I209" s="10" t="s">
        <v>981</v>
      </c>
      <c r="J209" s="141">
        <f>H209</f>
        <v>1418.17</v>
      </c>
    </row>
    <row r="210" spans="1:10">
      <c r="A210" s="14">
        <v>202</v>
      </c>
      <c r="B210" s="9">
        <v>930.2</v>
      </c>
      <c r="C210" s="10" t="s">
        <v>967</v>
      </c>
      <c r="D210" s="10" t="s">
        <v>992</v>
      </c>
      <c r="E210" s="360">
        <v>45358</v>
      </c>
      <c r="F210" s="10">
        <v>7743</v>
      </c>
      <c r="G210" s="10" t="s">
        <v>807</v>
      </c>
      <c r="H210" s="141">
        <v>33507.019999999997</v>
      </c>
      <c r="I210" s="10" t="s">
        <v>1147</v>
      </c>
      <c r="J210" s="141"/>
    </row>
    <row r="211" spans="1:10">
      <c r="A211" s="14">
        <v>203</v>
      </c>
      <c r="B211" s="9">
        <v>930.2</v>
      </c>
      <c r="C211" s="10" t="s">
        <v>967</v>
      </c>
      <c r="D211" s="10" t="s">
        <v>992</v>
      </c>
      <c r="E211" s="360">
        <v>45104</v>
      </c>
      <c r="F211" s="10">
        <v>0</v>
      </c>
      <c r="H211" s="141">
        <v>-11900</v>
      </c>
      <c r="I211" s="10" t="s">
        <v>968</v>
      </c>
      <c r="J211" s="141"/>
    </row>
    <row r="212" spans="1:10">
      <c r="A212" s="14">
        <v>204</v>
      </c>
      <c r="B212" s="9">
        <v>930.2</v>
      </c>
      <c r="C212" s="10" t="s">
        <v>967</v>
      </c>
      <c r="D212" s="10" t="s">
        <v>992</v>
      </c>
      <c r="E212" s="360">
        <v>45170</v>
      </c>
      <c r="F212" s="10">
        <v>206540</v>
      </c>
      <c r="G212" s="10" t="s">
        <v>993</v>
      </c>
      <c r="H212" s="141">
        <v>-176.76</v>
      </c>
      <c r="I212" s="10" t="s">
        <v>994</v>
      </c>
    </row>
    <row r="213" spans="1:10">
      <c r="A213" s="14">
        <v>205</v>
      </c>
      <c r="B213" s="9">
        <v>930.2</v>
      </c>
      <c r="C213" s="10" t="s">
        <v>967</v>
      </c>
      <c r="D213" s="10" t="s">
        <v>992</v>
      </c>
      <c r="E213" s="360">
        <v>45139</v>
      </c>
      <c r="F213" s="10">
        <v>206198</v>
      </c>
      <c r="G213" s="10" t="s">
        <v>993</v>
      </c>
      <c r="H213" s="141">
        <v>248.28</v>
      </c>
      <c r="I213" s="10" t="s">
        <v>994</v>
      </c>
    </row>
    <row r="214" spans="1:10">
      <c r="A214" s="14">
        <v>206</v>
      </c>
      <c r="B214" s="9">
        <v>930.2</v>
      </c>
      <c r="C214" s="10" t="s">
        <v>967</v>
      </c>
      <c r="D214" s="10" t="s">
        <v>992</v>
      </c>
      <c r="E214" s="360">
        <v>45108</v>
      </c>
      <c r="F214" s="10">
        <v>205969</v>
      </c>
      <c r="G214" s="10" t="s">
        <v>993</v>
      </c>
      <c r="H214" s="141">
        <v>285.2</v>
      </c>
      <c r="I214" s="10" t="s">
        <v>994</v>
      </c>
    </row>
    <row r="215" spans="1:10">
      <c r="A215" s="14">
        <v>207</v>
      </c>
      <c r="B215" s="9">
        <v>930.2</v>
      </c>
      <c r="C215" s="10" t="s">
        <v>967</v>
      </c>
      <c r="D215" s="10" t="s">
        <v>992</v>
      </c>
      <c r="E215" s="360">
        <v>45079</v>
      </c>
      <c r="F215" s="10">
        <v>205714</v>
      </c>
      <c r="G215" s="10" t="s">
        <v>995</v>
      </c>
      <c r="H215" s="141">
        <v>550</v>
      </c>
      <c r="I215" s="10" t="s">
        <v>996</v>
      </c>
    </row>
    <row r="216" spans="1:10">
      <c r="A216" s="14">
        <v>208</v>
      </c>
      <c r="B216" s="9">
        <v>930.2</v>
      </c>
      <c r="C216" s="10" t="s">
        <v>967</v>
      </c>
      <c r="D216" s="10" t="s">
        <v>992</v>
      </c>
      <c r="E216" s="360">
        <v>45078</v>
      </c>
      <c r="F216" s="10">
        <v>205688</v>
      </c>
      <c r="G216" s="10" t="s">
        <v>993</v>
      </c>
      <c r="H216" s="141">
        <v>222.77</v>
      </c>
      <c r="I216" s="10" t="s">
        <v>997</v>
      </c>
    </row>
    <row r="217" spans="1:10">
      <c r="A217" s="14">
        <v>209</v>
      </c>
      <c r="B217" s="9">
        <v>930.2</v>
      </c>
      <c r="C217" s="10" t="s">
        <v>967</v>
      </c>
      <c r="D217" s="10" t="s">
        <v>992</v>
      </c>
      <c r="E217" s="360">
        <v>45084</v>
      </c>
      <c r="F217" s="10">
        <v>205669</v>
      </c>
      <c r="G217" s="10" t="s">
        <v>998</v>
      </c>
      <c r="H217" s="141">
        <v>228.66</v>
      </c>
      <c r="I217" s="10" t="s">
        <v>999</v>
      </c>
    </row>
    <row r="218" spans="1:10">
      <c r="A218" s="14">
        <v>210</v>
      </c>
      <c r="B218" s="9">
        <v>930.2</v>
      </c>
      <c r="C218" s="10" t="s">
        <v>967</v>
      </c>
      <c r="D218" s="10" t="s">
        <v>992</v>
      </c>
      <c r="E218" s="360">
        <v>45443</v>
      </c>
      <c r="F218" s="10">
        <v>1147</v>
      </c>
      <c r="G218" s="10" t="s">
        <v>1000</v>
      </c>
      <c r="H218" s="141">
        <v>64.37</v>
      </c>
      <c r="I218" s="10" t="s">
        <v>1001</v>
      </c>
    </row>
    <row r="219" spans="1:10">
      <c r="A219" s="14">
        <v>211</v>
      </c>
      <c r="B219" s="9">
        <v>930.2</v>
      </c>
      <c r="C219" s="10" t="s">
        <v>967</v>
      </c>
      <c r="D219" s="10" t="s">
        <v>992</v>
      </c>
      <c r="E219" s="360">
        <v>45443</v>
      </c>
      <c r="F219" s="10">
        <v>1147</v>
      </c>
      <c r="G219" s="10" t="s">
        <v>1000</v>
      </c>
      <c r="H219" s="141">
        <v>69.400000000000006</v>
      </c>
      <c r="I219" s="10" t="s">
        <v>1002</v>
      </c>
    </row>
    <row r="220" spans="1:10">
      <c r="A220" s="14">
        <v>212</v>
      </c>
      <c r="B220" s="9">
        <v>930.2</v>
      </c>
      <c r="C220" s="10" t="s">
        <v>967</v>
      </c>
      <c r="D220" s="10" t="s">
        <v>992</v>
      </c>
      <c r="E220" s="360">
        <v>45425</v>
      </c>
      <c r="F220" s="10">
        <v>1064</v>
      </c>
      <c r="G220" s="10" t="s">
        <v>740</v>
      </c>
      <c r="H220" s="141">
        <v>2531.2800000000002</v>
      </c>
      <c r="I220" s="10" t="s">
        <v>1148</v>
      </c>
      <c r="J220" s="141">
        <f>H220</f>
        <v>2531.2800000000002</v>
      </c>
    </row>
    <row r="221" spans="1:10">
      <c r="A221" s="14">
        <v>213</v>
      </c>
      <c r="B221" s="9">
        <v>930.2</v>
      </c>
      <c r="C221" s="10" t="s">
        <v>967</v>
      </c>
      <c r="D221" s="10" t="s">
        <v>992</v>
      </c>
      <c r="E221" s="360">
        <v>45418</v>
      </c>
      <c r="F221" s="10">
        <v>1063</v>
      </c>
      <c r="G221" s="10" t="s">
        <v>1004</v>
      </c>
      <c r="H221" s="141">
        <v>37.29</v>
      </c>
      <c r="I221" s="10" t="s">
        <v>1003</v>
      </c>
    </row>
    <row r="222" spans="1:10">
      <c r="A222" s="14">
        <v>214</v>
      </c>
      <c r="B222" s="9">
        <v>930.2</v>
      </c>
      <c r="C222" s="10" t="s">
        <v>967</v>
      </c>
      <c r="D222" s="10" t="s">
        <v>992</v>
      </c>
      <c r="E222" s="360">
        <v>45418</v>
      </c>
      <c r="F222" s="10">
        <v>1062</v>
      </c>
      <c r="G222" s="10" t="s">
        <v>960</v>
      </c>
      <c r="H222" s="141">
        <v>1852.43</v>
      </c>
      <c r="I222" s="10" t="s">
        <v>1148</v>
      </c>
      <c r="J222" s="141">
        <f>H222</f>
        <v>1852.43</v>
      </c>
    </row>
    <row r="223" spans="1:10">
      <c r="A223" s="14">
        <v>215</v>
      </c>
      <c r="B223" s="9">
        <v>930.2</v>
      </c>
      <c r="C223" s="10" t="s">
        <v>967</v>
      </c>
      <c r="D223" s="10" t="s">
        <v>992</v>
      </c>
      <c r="E223" s="360">
        <v>45113</v>
      </c>
      <c r="F223" s="10">
        <v>584</v>
      </c>
      <c r="G223" s="10" t="s">
        <v>1000</v>
      </c>
      <c r="H223" s="141">
        <v>9.91</v>
      </c>
      <c r="I223" s="10" t="s">
        <v>1005</v>
      </c>
    </row>
    <row r="224" spans="1:10">
      <c r="A224" s="14">
        <v>216</v>
      </c>
      <c r="B224" s="9">
        <v>930.2</v>
      </c>
      <c r="C224" s="10" t="s">
        <v>967</v>
      </c>
      <c r="D224" s="10" t="s">
        <v>992</v>
      </c>
      <c r="E224" s="360">
        <v>45113</v>
      </c>
      <c r="F224" s="10">
        <v>573</v>
      </c>
      <c r="G224" s="10" t="s">
        <v>960</v>
      </c>
      <c r="H224" s="141">
        <v>30.74</v>
      </c>
      <c r="I224" s="10" t="s">
        <v>1003</v>
      </c>
    </row>
    <row r="225" spans="1:10">
      <c r="A225" s="14">
        <v>217</v>
      </c>
      <c r="B225" s="9">
        <v>930.2</v>
      </c>
      <c r="C225" s="10" t="s">
        <v>967</v>
      </c>
      <c r="D225" s="10" t="s">
        <v>992</v>
      </c>
      <c r="E225" s="360">
        <v>45113</v>
      </c>
      <c r="F225" s="10">
        <v>560</v>
      </c>
      <c r="G225" s="10" t="s">
        <v>1006</v>
      </c>
      <c r="H225" s="141">
        <v>164.35</v>
      </c>
      <c r="I225" s="10" t="s">
        <v>1003</v>
      </c>
    </row>
    <row r="226" spans="1:10">
      <c r="A226" s="14">
        <v>218</v>
      </c>
      <c r="B226" s="9">
        <v>930.2</v>
      </c>
      <c r="C226" s="10" t="s">
        <v>967</v>
      </c>
      <c r="D226" s="10" t="s">
        <v>992</v>
      </c>
      <c r="E226" s="360">
        <v>45113</v>
      </c>
      <c r="F226" s="10">
        <v>559</v>
      </c>
      <c r="G226" s="10" t="s">
        <v>1007</v>
      </c>
      <c r="H226" s="141">
        <v>444.38</v>
      </c>
      <c r="I226" s="10" t="s">
        <v>1003</v>
      </c>
    </row>
    <row r="227" spans="1:10">
      <c r="A227" s="14">
        <v>219</v>
      </c>
      <c r="B227" s="9">
        <v>930.2</v>
      </c>
      <c r="C227" s="10" t="s">
        <v>967</v>
      </c>
      <c r="D227" s="10" t="s">
        <v>992</v>
      </c>
      <c r="E227" s="360">
        <v>45113</v>
      </c>
      <c r="F227" s="10">
        <v>554</v>
      </c>
      <c r="G227" s="10" t="s">
        <v>1008</v>
      </c>
      <c r="H227" s="141">
        <v>63.44</v>
      </c>
      <c r="I227" s="10" t="s">
        <v>1009</v>
      </c>
    </row>
    <row r="228" spans="1:10">
      <c r="A228" s="14">
        <v>220</v>
      </c>
      <c r="B228" s="9">
        <v>930.2</v>
      </c>
      <c r="C228" s="10" t="s">
        <v>967</v>
      </c>
      <c r="D228" s="10" t="s">
        <v>992</v>
      </c>
      <c r="E228" s="360">
        <v>45084</v>
      </c>
      <c r="F228" s="10">
        <v>533</v>
      </c>
      <c r="G228" s="10" t="s">
        <v>1010</v>
      </c>
      <c r="H228" s="141">
        <v>298.66000000000003</v>
      </c>
      <c r="I228" s="10" t="s">
        <v>1011</v>
      </c>
    </row>
    <row r="229" spans="1:10">
      <c r="A229" s="14">
        <v>221</v>
      </c>
      <c r="B229" s="9">
        <v>930.2</v>
      </c>
      <c r="C229" s="10" t="s">
        <v>967</v>
      </c>
      <c r="D229" s="10" t="s">
        <v>992</v>
      </c>
      <c r="E229" s="360">
        <v>45083</v>
      </c>
      <c r="F229" s="10">
        <v>516</v>
      </c>
      <c r="G229" s="10" t="s">
        <v>1012</v>
      </c>
      <c r="H229" s="141">
        <v>22.95</v>
      </c>
      <c r="I229" s="10" t="s">
        <v>1013</v>
      </c>
    </row>
    <row r="230" spans="1:10">
      <c r="A230" s="14">
        <v>222</v>
      </c>
      <c r="B230" s="9">
        <v>930.2</v>
      </c>
      <c r="C230" s="10" t="s">
        <v>967</v>
      </c>
      <c r="D230" s="10" t="s">
        <v>992</v>
      </c>
      <c r="E230" s="360">
        <v>45083</v>
      </c>
      <c r="F230" s="10">
        <v>513</v>
      </c>
      <c r="G230" s="10" t="s">
        <v>1012</v>
      </c>
      <c r="H230" s="141">
        <v>135.33000000000001</v>
      </c>
      <c r="I230" s="10" t="s">
        <v>1005</v>
      </c>
    </row>
    <row r="231" spans="1:10">
      <c r="A231" s="14">
        <v>223</v>
      </c>
      <c r="B231" s="9">
        <v>930.2</v>
      </c>
      <c r="C231" s="10" t="s">
        <v>967</v>
      </c>
      <c r="D231" s="10" t="s">
        <v>992</v>
      </c>
      <c r="E231" s="360">
        <v>45083</v>
      </c>
      <c r="F231" s="10">
        <v>508</v>
      </c>
      <c r="G231" s="10" t="s">
        <v>1000</v>
      </c>
      <c r="H231" s="141">
        <v>333.54</v>
      </c>
      <c r="I231" s="10" t="s">
        <v>1014</v>
      </c>
    </row>
    <row r="232" spans="1:10">
      <c r="A232" s="14">
        <v>224</v>
      </c>
      <c r="B232" s="9">
        <v>930.2</v>
      </c>
      <c r="C232" s="10" t="s">
        <v>967</v>
      </c>
      <c r="D232" s="10" t="s">
        <v>992</v>
      </c>
      <c r="E232" s="360">
        <v>45083</v>
      </c>
      <c r="F232" s="10">
        <v>502</v>
      </c>
      <c r="G232" s="10" t="s">
        <v>1015</v>
      </c>
      <c r="H232" s="141">
        <v>191.88</v>
      </c>
      <c r="I232" s="10" t="s">
        <v>1016</v>
      </c>
    </row>
    <row r="233" spans="1:10">
      <c r="A233" s="14">
        <v>225</v>
      </c>
      <c r="B233" s="9">
        <v>930.2</v>
      </c>
      <c r="C233" s="10" t="s">
        <v>967</v>
      </c>
      <c r="D233" s="10" t="s">
        <v>992</v>
      </c>
      <c r="E233" s="360">
        <v>45084</v>
      </c>
      <c r="F233" s="10">
        <v>489</v>
      </c>
      <c r="G233" s="10" t="s">
        <v>984</v>
      </c>
      <c r="H233" s="141">
        <v>72.45</v>
      </c>
      <c r="I233" s="10" t="s">
        <v>1005</v>
      </c>
    </row>
    <row r="234" spans="1:10">
      <c r="A234" s="14">
        <v>226</v>
      </c>
      <c r="B234" s="9">
        <v>930.2</v>
      </c>
      <c r="C234" s="10" t="s">
        <v>967</v>
      </c>
      <c r="D234" s="10" t="s">
        <v>992</v>
      </c>
      <c r="E234" s="360">
        <v>45083</v>
      </c>
      <c r="F234" s="10">
        <v>472</v>
      </c>
      <c r="G234" s="10" t="s">
        <v>960</v>
      </c>
      <c r="H234" s="141">
        <v>233.23</v>
      </c>
      <c r="I234" s="10" t="s">
        <v>1005</v>
      </c>
    </row>
    <row r="235" spans="1:10">
      <c r="A235" s="14">
        <v>227</v>
      </c>
      <c r="B235" s="9">
        <v>930.2</v>
      </c>
      <c r="C235" s="10" t="s">
        <v>967</v>
      </c>
      <c r="D235" s="10" t="s">
        <v>992</v>
      </c>
      <c r="E235" s="360">
        <v>45082</v>
      </c>
      <c r="F235" s="10">
        <v>462</v>
      </c>
      <c r="G235" s="10" t="s">
        <v>1012</v>
      </c>
      <c r="H235" s="141">
        <v>92.02</v>
      </c>
      <c r="I235" s="10" t="s">
        <v>1005</v>
      </c>
    </row>
    <row r="236" spans="1:10">
      <c r="A236" s="14">
        <v>228</v>
      </c>
      <c r="B236" s="9">
        <v>930.2</v>
      </c>
      <c r="C236" s="10" t="s">
        <v>967</v>
      </c>
      <c r="D236" s="10" t="s">
        <v>992</v>
      </c>
      <c r="E236" s="360">
        <v>45083</v>
      </c>
      <c r="F236" s="10">
        <v>459</v>
      </c>
      <c r="G236" s="10" t="s">
        <v>1017</v>
      </c>
      <c r="H236" s="141">
        <v>137.29</v>
      </c>
      <c r="I236" s="10" t="s">
        <v>1005</v>
      </c>
    </row>
    <row r="237" spans="1:10">
      <c r="A237" s="14">
        <v>229</v>
      </c>
      <c r="B237" s="9">
        <v>930.2</v>
      </c>
      <c r="C237" s="10" t="s">
        <v>967</v>
      </c>
      <c r="D237" s="10" t="s">
        <v>992</v>
      </c>
      <c r="E237" s="360">
        <v>45443</v>
      </c>
      <c r="F237" s="10">
        <v>0</v>
      </c>
      <c r="G237" s="10" t="s">
        <v>840</v>
      </c>
      <c r="H237" s="141">
        <v>-36.75</v>
      </c>
      <c r="I237" s="10" t="s">
        <v>1018</v>
      </c>
    </row>
    <row r="238" spans="1:10">
      <c r="A238" s="14">
        <v>230</v>
      </c>
      <c r="B238" s="9">
        <v>930.2</v>
      </c>
      <c r="C238" s="10" t="s">
        <v>967</v>
      </c>
      <c r="D238" s="10" t="s">
        <v>992</v>
      </c>
      <c r="E238" s="360">
        <v>45443</v>
      </c>
      <c r="F238" s="10">
        <v>0</v>
      </c>
      <c r="G238" s="10" t="s">
        <v>840</v>
      </c>
      <c r="H238" s="141">
        <v>36.75</v>
      </c>
      <c r="I238" s="10" t="s">
        <v>1018</v>
      </c>
    </row>
    <row r="239" spans="1:10">
      <c r="A239" s="14">
        <v>231</v>
      </c>
      <c r="B239" s="9">
        <v>930.23</v>
      </c>
      <c r="C239" s="10" t="s">
        <v>1111</v>
      </c>
      <c r="D239" s="10" t="s">
        <v>1112</v>
      </c>
      <c r="E239" s="360">
        <v>45212</v>
      </c>
      <c r="F239" s="10">
        <v>206840</v>
      </c>
      <c r="G239" s="10" t="s">
        <v>280</v>
      </c>
      <c r="H239" s="141">
        <v>1000</v>
      </c>
      <c r="I239" s="10" t="s">
        <v>1113</v>
      </c>
      <c r="J239" s="141">
        <f t="shared" ref="J239:J247" si="4">H239</f>
        <v>1000</v>
      </c>
    </row>
    <row r="240" spans="1:10">
      <c r="A240" s="14">
        <v>232</v>
      </c>
      <c r="B240" s="9">
        <v>930.23</v>
      </c>
      <c r="C240" s="10" t="s">
        <v>1111</v>
      </c>
      <c r="D240" s="10" t="s">
        <v>1112</v>
      </c>
      <c r="E240" s="360">
        <v>45152</v>
      </c>
      <c r="F240" s="10">
        <v>206196</v>
      </c>
      <c r="G240" s="10" t="s">
        <v>280</v>
      </c>
      <c r="H240" s="141">
        <v>1000</v>
      </c>
      <c r="I240" s="10" t="s">
        <v>1114</v>
      </c>
      <c r="J240" s="141">
        <f t="shared" si="4"/>
        <v>1000</v>
      </c>
    </row>
    <row r="241" spans="1:10">
      <c r="A241" s="14">
        <v>233</v>
      </c>
      <c r="B241" s="9">
        <v>930.23</v>
      </c>
      <c r="C241" s="10" t="s">
        <v>1111</v>
      </c>
      <c r="D241" s="10" t="s">
        <v>1112</v>
      </c>
      <c r="E241" s="360">
        <v>45147</v>
      </c>
      <c r="F241" s="10">
        <v>206118</v>
      </c>
      <c r="G241" s="10" t="s">
        <v>1115</v>
      </c>
      <c r="H241" s="141">
        <v>1000</v>
      </c>
      <c r="I241" s="10" t="s">
        <v>1116</v>
      </c>
      <c r="J241" s="141">
        <f t="shared" si="4"/>
        <v>1000</v>
      </c>
    </row>
    <row r="242" spans="1:10">
      <c r="A242" s="14">
        <v>234</v>
      </c>
      <c r="B242" s="9">
        <v>930.23</v>
      </c>
      <c r="C242" s="10" t="s">
        <v>1111</v>
      </c>
      <c r="D242" s="10" t="s">
        <v>1112</v>
      </c>
      <c r="E242" s="360">
        <v>45142</v>
      </c>
      <c r="F242" s="10">
        <v>206113</v>
      </c>
      <c r="G242" s="10" t="s">
        <v>280</v>
      </c>
      <c r="H242" s="141">
        <v>1000</v>
      </c>
      <c r="I242" s="10" t="s">
        <v>1117</v>
      </c>
      <c r="J242" s="141">
        <f t="shared" si="4"/>
        <v>1000</v>
      </c>
    </row>
    <row r="243" spans="1:10">
      <c r="A243" s="14">
        <v>235</v>
      </c>
      <c r="B243" s="9">
        <v>930.23</v>
      </c>
      <c r="C243" s="10" t="s">
        <v>1111</v>
      </c>
      <c r="D243" s="10" t="s">
        <v>1112</v>
      </c>
      <c r="E243" s="360">
        <v>45127</v>
      </c>
      <c r="F243" s="10">
        <v>206022</v>
      </c>
      <c r="G243" s="10" t="s">
        <v>280</v>
      </c>
      <c r="H243" s="141">
        <v>1000</v>
      </c>
      <c r="I243" s="10" t="s">
        <v>1118</v>
      </c>
      <c r="J243" s="141">
        <f t="shared" si="4"/>
        <v>1000</v>
      </c>
    </row>
    <row r="244" spans="1:10">
      <c r="A244" s="14">
        <v>236</v>
      </c>
      <c r="B244" s="9">
        <v>930.23</v>
      </c>
      <c r="C244" s="10" t="s">
        <v>1111</v>
      </c>
      <c r="D244" s="10" t="s">
        <v>1112</v>
      </c>
      <c r="E244" s="360">
        <v>45104</v>
      </c>
      <c r="F244" s="10">
        <v>205819</v>
      </c>
      <c r="G244" s="10" t="s">
        <v>1119</v>
      </c>
      <c r="H244" s="141">
        <v>1000</v>
      </c>
      <c r="I244" s="10" t="s">
        <v>1120</v>
      </c>
      <c r="J244" s="141">
        <f t="shared" si="4"/>
        <v>1000</v>
      </c>
    </row>
    <row r="245" spans="1:10">
      <c r="A245" s="14">
        <v>237</v>
      </c>
      <c r="B245" s="9">
        <v>930.23</v>
      </c>
      <c r="C245" s="10" t="s">
        <v>1111</v>
      </c>
      <c r="D245" s="10" t="s">
        <v>1112</v>
      </c>
      <c r="E245" s="360">
        <v>45098</v>
      </c>
      <c r="F245" s="10">
        <v>205692</v>
      </c>
      <c r="G245" s="10" t="s">
        <v>1121</v>
      </c>
      <c r="H245" s="141">
        <v>1000</v>
      </c>
      <c r="I245" s="10" t="s">
        <v>1122</v>
      </c>
      <c r="J245" s="141">
        <f t="shared" si="4"/>
        <v>1000</v>
      </c>
    </row>
    <row r="246" spans="1:10">
      <c r="A246" s="14">
        <v>238</v>
      </c>
      <c r="B246" s="9">
        <v>930.2</v>
      </c>
      <c r="C246" s="10" t="s">
        <v>967</v>
      </c>
      <c r="D246" s="10" t="s">
        <v>1019</v>
      </c>
      <c r="E246" s="360">
        <v>45210</v>
      </c>
      <c r="F246" s="10">
        <v>206725</v>
      </c>
      <c r="G246" s="10" t="s">
        <v>1020</v>
      </c>
      <c r="H246" s="141">
        <v>4290.88</v>
      </c>
      <c r="I246" s="10" t="s">
        <v>1021</v>
      </c>
      <c r="J246" s="141">
        <f t="shared" si="4"/>
        <v>4290.88</v>
      </c>
    </row>
    <row r="247" spans="1:10">
      <c r="A247" s="14">
        <v>239</v>
      </c>
      <c r="B247" s="9">
        <v>930.2</v>
      </c>
      <c r="C247" s="10" t="s">
        <v>967</v>
      </c>
      <c r="D247" s="10" t="s">
        <v>1019</v>
      </c>
      <c r="E247" s="360">
        <v>45205</v>
      </c>
      <c r="F247" s="10">
        <v>711</v>
      </c>
      <c r="G247" s="10" t="s">
        <v>740</v>
      </c>
      <c r="H247" s="141">
        <v>205.35</v>
      </c>
      <c r="I247" s="10" t="s">
        <v>1022</v>
      </c>
      <c r="J247" s="141">
        <f t="shared" si="4"/>
        <v>205.35</v>
      </c>
    </row>
    <row r="248" spans="1:10">
      <c r="A248" s="14">
        <v>240</v>
      </c>
      <c r="B248" s="9">
        <v>930.11</v>
      </c>
      <c r="C248" s="10" t="s">
        <v>958</v>
      </c>
      <c r="D248" s="10" t="s">
        <v>775</v>
      </c>
      <c r="E248" s="360">
        <v>45291</v>
      </c>
      <c r="F248" s="10">
        <v>0</v>
      </c>
      <c r="H248" s="141">
        <v>109.57</v>
      </c>
      <c r="I248" s="10" t="s">
        <v>776</v>
      </c>
      <c r="J248" s="141"/>
    </row>
    <row r="249" spans="1:10">
      <c r="A249" s="14">
        <v>241</v>
      </c>
      <c r="B249" s="9">
        <v>930.11</v>
      </c>
      <c r="C249" s="10" t="s">
        <v>958</v>
      </c>
      <c r="D249" s="10" t="s">
        <v>775</v>
      </c>
      <c r="E249" s="360">
        <v>45260</v>
      </c>
      <c r="F249" s="10">
        <v>0</v>
      </c>
      <c r="H249" s="141">
        <v>370.82</v>
      </c>
      <c r="I249" s="10" t="s">
        <v>776</v>
      </c>
      <c r="J249" s="141"/>
    </row>
    <row r="250" spans="1:10">
      <c r="A250" s="14">
        <v>242</v>
      </c>
      <c r="B250" s="9">
        <v>930.2</v>
      </c>
      <c r="C250" s="10" t="s">
        <v>967</v>
      </c>
      <c r="D250" s="10" t="s">
        <v>775</v>
      </c>
      <c r="E250" s="360">
        <v>45138</v>
      </c>
      <c r="F250" s="10">
        <v>0</v>
      </c>
      <c r="H250" s="141">
        <v>-156.25</v>
      </c>
      <c r="I250" s="10" t="s">
        <v>1023</v>
      </c>
    </row>
    <row r="251" spans="1:10">
      <c r="A251" s="14">
        <v>243</v>
      </c>
      <c r="B251" s="9">
        <v>930.2</v>
      </c>
      <c r="C251" s="10" t="s">
        <v>967</v>
      </c>
      <c r="D251" s="10" t="s">
        <v>775</v>
      </c>
      <c r="E251" s="360">
        <v>45260</v>
      </c>
      <c r="F251" s="10">
        <v>0</v>
      </c>
      <c r="H251" s="141">
        <v>154.51</v>
      </c>
      <c r="I251" s="10" t="s">
        <v>776</v>
      </c>
    </row>
    <row r="252" spans="1:10">
      <c r="A252" s="14">
        <v>244</v>
      </c>
      <c r="B252" s="9">
        <v>930.2</v>
      </c>
      <c r="C252" s="10" t="s">
        <v>967</v>
      </c>
      <c r="D252" s="10" t="s">
        <v>775</v>
      </c>
      <c r="E252" s="360">
        <v>45138</v>
      </c>
      <c r="F252" s="10">
        <v>0</v>
      </c>
      <c r="H252" s="141">
        <v>156.25</v>
      </c>
      <c r="I252" s="10" t="s">
        <v>1023</v>
      </c>
    </row>
    <row r="253" spans="1:10">
      <c r="A253" s="14">
        <v>245</v>
      </c>
      <c r="B253" s="9">
        <v>930.2</v>
      </c>
      <c r="C253" s="10" t="s">
        <v>967</v>
      </c>
      <c r="D253" s="10" t="s">
        <v>775</v>
      </c>
      <c r="E253" s="360">
        <v>45138</v>
      </c>
      <c r="F253" s="10">
        <v>0</v>
      </c>
      <c r="H253" s="141">
        <v>156.25</v>
      </c>
      <c r="I253" s="10" t="s">
        <v>776</v>
      </c>
    </row>
    <row r="254" spans="1:10">
      <c r="A254" s="14">
        <v>246</v>
      </c>
      <c r="B254" s="9">
        <v>930.2</v>
      </c>
      <c r="C254" s="10" t="s">
        <v>967</v>
      </c>
      <c r="D254" s="10" t="s">
        <v>775</v>
      </c>
      <c r="E254" s="360">
        <v>45107</v>
      </c>
      <c r="F254" s="10">
        <v>0</v>
      </c>
      <c r="H254" s="141">
        <v>193.79</v>
      </c>
      <c r="I254" s="10" t="s">
        <v>776</v>
      </c>
    </row>
    <row r="255" spans="1:10">
      <c r="A255" s="14">
        <v>247</v>
      </c>
      <c r="B255" s="9">
        <v>930.2</v>
      </c>
      <c r="C255" s="10" t="s">
        <v>967</v>
      </c>
      <c r="D255" s="10" t="s">
        <v>775</v>
      </c>
      <c r="E255" s="360">
        <v>45107</v>
      </c>
      <c r="F255" s="10">
        <v>0</v>
      </c>
      <c r="H255" s="141">
        <v>206.75</v>
      </c>
      <c r="I255" s="10" t="s">
        <v>776</v>
      </c>
    </row>
    <row r="256" spans="1:10">
      <c r="A256" s="14">
        <v>248</v>
      </c>
      <c r="B256" s="9">
        <v>930.2</v>
      </c>
      <c r="C256" s="10" t="s">
        <v>967</v>
      </c>
      <c r="D256" s="10" t="s">
        <v>775</v>
      </c>
      <c r="E256" s="360">
        <v>45107</v>
      </c>
      <c r="F256" s="10">
        <v>0</v>
      </c>
      <c r="H256" s="141">
        <v>221.46</v>
      </c>
      <c r="I256" s="10" t="s">
        <v>776</v>
      </c>
    </row>
    <row r="257" spans="1:10">
      <c r="A257" s="14">
        <v>249</v>
      </c>
      <c r="B257" s="9">
        <v>930.2</v>
      </c>
      <c r="C257" s="10" t="s">
        <v>967</v>
      </c>
      <c r="D257" s="10" t="s">
        <v>775</v>
      </c>
      <c r="E257" s="360">
        <v>45107</v>
      </c>
      <c r="F257" s="10">
        <v>0</v>
      </c>
      <c r="H257" s="141">
        <v>232.8</v>
      </c>
      <c r="I257" s="10" t="s">
        <v>776</v>
      </c>
    </row>
    <row r="258" spans="1:10">
      <c r="A258" s="14">
        <v>250</v>
      </c>
      <c r="B258" s="9">
        <v>930.2</v>
      </c>
      <c r="C258" s="10" t="s">
        <v>967</v>
      </c>
      <c r="D258" s="10" t="s">
        <v>775</v>
      </c>
      <c r="E258" s="360">
        <v>45107</v>
      </c>
      <c r="F258" s="10">
        <v>0</v>
      </c>
      <c r="H258" s="141">
        <v>412.17</v>
      </c>
      <c r="I258" s="10" t="s">
        <v>776</v>
      </c>
    </row>
    <row r="259" spans="1:10">
      <c r="A259" s="14">
        <v>251</v>
      </c>
      <c r="B259" s="9">
        <v>930.2</v>
      </c>
      <c r="C259" s="10" t="s">
        <v>967</v>
      </c>
      <c r="D259" s="10" t="s">
        <v>775</v>
      </c>
      <c r="E259" s="360">
        <v>45107</v>
      </c>
      <c r="F259" s="10">
        <v>0</v>
      </c>
      <c r="H259" s="141">
        <v>493.85</v>
      </c>
      <c r="I259" s="10" t="s">
        <v>776</v>
      </c>
    </row>
    <row r="260" spans="1:10">
      <c r="A260" s="14">
        <v>252</v>
      </c>
      <c r="B260" s="9">
        <v>930.2</v>
      </c>
      <c r="C260" s="10" t="s">
        <v>967</v>
      </c>
      <c r="D260" s="10" t="s">
        <v>775</v>
      </c>
      <c r="E260" s="360">
        <v>45107</v>
      </c>
      <c r="F260" s="10">
        <v>0</v>
      </c>
      <c r="H260" s="141">
        <v>807.33</v>
      </c>
      <c r="I260" s="10" t="s">
        <v>776</v>
      </c>
    </row>
    <row r="261" spans="1:10">
      <c r="A261" s="14">
        <v>253</v>
      </c>
      <c r="B261" s="9">
        <v>930.2</v>
      </c>
      <c r="C261" s="10" t="s">
        <v>967</v>
      </c>
      <c r="D261" s="10" t="s">
        <v>775</v>
      </c>
      <c r="E261" s="360">
        <v>45107</v>
      </c>
      <c r="F261" s="10">
        <v>0</v>
      </c>
      <c r="H261" s="141">
        <v>1879.32</v>
      </c>
      <c r="I261" s="10" t="s">
        <v>776</v>
      </c>
    </row>
    <row r="262" spans="1:10">
      <c r="A262" s="14">
        <v>254</v>
      </c>
      <c r="B262" s="9">
        <v>930.22</v>
      </c>
      <c r="C262" s="10" t="s">
        <v>1106</v>
      </c>
      <c r="D262" s="10" t="s">
        <v>1107</v>
      </c>
      <c r="E262" s="360">
        <v>45443</v>
      </c>
      <c r="F262" s="10">
        <v>0</v>
      </c>
      <c r="H262" s="141">
        <v>4181.8599999999997</v>
      </c>
      <c r="I262" s="10" t="s">
        <v>1108</v>
      </c>
      <c r="J262" s="141">
        <f t="shared" ref="J262:J320" si="5">H262</f>
        <v>4181.8599999999997</v>
      </c>
    </row>
    <row r="263" spans="1:10">
      <c r="A263" s="14">
        <v>255</v>
      </c>
      <c r="B263" s="9">
        <v>930.22</v>
      </c>
      <c r="C263" s="10" t="s">
        <v>1106</v>
      </c>
      <c r="D263" s="10" t="s">
        <v>1107</v>
      </c>
      <c r="E263" s="360">
        <v>45412</v>
      </c>
      <c r="F263" s="10">
        <v>0</v>
      </c>
      <c r="H263" s="141">
        <v>4181.8599999999997</v>
      </c>
      <c r="I263" s="10" t="s">
        <v>1108</v>
      </c>
      <c r="J263" s="141">
        <f t="shared" si="5"/>
        <v>4181.8599999999997</v>
      </c>
    </row>
    <row r="264" spans="1:10">
      <c r="A264" s="14">
        <v>256</v>
      </c>
      <c r="B264" s="9">
        <v>930.22</v>
      </c>
      <c r="C264" s="10" t="s">
        <v>1106</v>
      </c>
      <c r="D264" s="10" t="s">
        <v>1107</v>
      </c>
      <c r="E264" s="360">
        <v>45382</v>
      </c>
      <c r="F264" s="10">
        <v>0</v>
      </c>
      <c r="H264" s="141">
        <v>4181.8599999999997</v>
      </c>
      <c r="I264" s="10" t="s">
        <v>1108</v>
      </c>
      <c r="J264" s="141">
        <f t="shared" si="5"/>
        <v>4181.8599999999997</v>
      </c>
    </row>
    <row r="265" spans="1:10">
      <c r="A265" s="14">
        <v>257</v>
      </c>
      <c r="B265" s="9">
        <v>930.22</v>
      </c>
      <c r="C265" s="10" t="s">
        <v>1106</v>
      </c>
      <c r="D265" s="10" t="s">
        <v>1107</v>
      </c>
      <c r="E265" s="360">
        <v>45351</v>
      </c>
      <c r="F265" s="10">
        <v>0</v>
      </c>
      <c r="H265" s="141">
        <v>4181.8599999999997</v>
      </c>
      <c r="I265" s="10" t="s">
        <v>1108</v>
      </c>
      <c r="J265" s="141">
        <f t="shared" si="5"/>
        <v>4181.8599999999997</v>
      </c>
    </row>
    <row r="266" spans="1:10">
      <c r="A266" s="14">
        <v>258</v>
      </c>
      <c r="B266" s="9">
        <v>930.22</v>
      </c>
      <c r="C266" s="10" t="s">
        <v>1106</v>
      </c>
      <c r="D266" s="10" t="s">
        <v>1107</v>
      </c>
      <c r="E266" s="360">
        <v>45322</v>
      </c>
      <c r="F266" s="10">
        <v>0</v>
      </c>
      <c r="H266" s="141">
        <v>4181.8599999999997</v>
      </c>
      <c r="I266" s="10" t="s">
        <v>1108</v>
      </c>
      <c r="J266" s="141">
        <f t="shared" si="5"/>
        <v>4181.8599999999997</v>
      </c>
    </row>
    <row r="267" spans="1:10">
      <c r="A267" s="14">
        <v>259</v>
      </c>
      <c r="B267" s="9">
        <v>930.22</v>
      </c>
      <c r="C267" s="10" t="s">
        <v>1106</v>
      </c>
      <c r="D267" s="10" t="s">
        <v>1107</v>
      </c>
      <c r="E267" s="360">
        <v>45291</v>
      </c>
      <c r="F267" s="10">
        <v>0</v>
      </c>
      <c r="H267" s="141">
        <v>5227.33</v>
      </c>
      <c r="I267" s="10" t="s">
        <v>1108</v>
      </c>
      <c r="J267" s="141">
        <f t="shared" si="5"/>
        <v>5227.33</v>
      </c>
    </row>
    <row r="268" spans="1:10">
      <c r="A268" s="14">
        <v>260</v>
      </c>
      <c r="B268" s="9">
        <v>930.22</v>
      </c>
      <c r="C268" s="10" t="s">
        <v>1106</v>
      </c>
      <c r="D268" s="10" t="s">
        <v>1107</v>
      </c>
      <c r="E268" s="360">
        <v>45291</v>
      </c>
      <c r="F268" s="10">
        <v>0</v>
      </c>
      <c r="H268" s="141">
        <v>5227.33</v>
      </c>
      <c r="I268" s="10" t="s">
        <v>1108</v>
      </c>
      <c r="J268" s="141">
        <f t="shared" si="5"/>
        <v>5227.33</v>
      </c>
    </row>
    <row r="269" spans="1:10">
      <c r="A269" s="14">
        <v>261</v>
      </c>
      <c r="B269" s="9">
        <v>930.22</v>
      </c>
      <c r="C269" s="10" t="s">
        <v>1106</v>
      </c>
      <c r="D269" s="10" t="s">
        <v>1107</v>
      </c>
      <c r="E269" s="360">
        <v>45260</v>
      </c>
      <c r="F269" s="10">
        <v>0</v>
      </c>
      <c r="H269" s="141">
        <v>5227.33</v>
      </c>
      <c r="I269" s="10" t="s">
        <v>1108</v>
      </c>
      <c r="J269" s="141">
        <f t="shared" si="5"/>
        <v>5227.33</v>
      </c>
    </row>
    <row r="270" spans="1:10">
      <c r="A270" s="14">
        <v>262</v>
      </c>
      <c r="B270" s="9">
        <v>930.22</v>
      </c>
      <c r="C270" s="10" t="s">
        <v>1106</v>
      </c>
      <c r="D270" s="10" t="s">
        <v>1107</v>
      </c>
      <c r="E270" s="360">
        <v>45291</v>
      </c>
      <c r="F270" s="10">
        <v>0</v>
      </c>
      <c r="H270" s="141">
        <v>5227.37</v>
      </c>
      <c r="I270" s="10" t="s">
        <v>970</v>
      </c>
      <c r="J270" s="141">
        <f t="shared" si="5"/>
        <v>5227.37</v>
      </c>
    </row>
    <row r="271" spans="1:10">
      <c r="A271" s="14">
        <v>263</v>
      </c>
      <c r="B271" s="9">
        <v>930.22</v>
      </c>
      <c r="C271" s="10" t="s">
        <v>1106</v>
      </c>
      <c r="D271" s="10" t="s">
        <v>1109</v>
      </c>
      <c r="E271" s="360">
        <v>45291</v>
      </c>
      <c r="F271" s="10">
        <v>0</v>
      </c>
      <c r="H271" s="141">
        <v>-11282.33</v>
      </c>
      <c r="I271" s="10" t="s">
        <v>1110</v>
      </c>
      <c r="J271" s="141">
        <f t="shared" si="5"/>
        <v>-11282.33</v>
      </c>
    </row>
    <row r="272" spans="1:10">
      <c r="A272" s="14">
        <v>264</v>
      </c>
      <c r="B272" s="9">
        <v>930.22</v>
      </c>
      <c r="C272" s="10" t="s">
        <v>1106</v>
      </c>
      <c r="D272" s="10" t="s">
        <v>1109</v>
      </c>
      <c r="E272" s="360">
        <v>45169</v>
      </c>
      <c r="F272" s="10">
        <v>0</v>
      </c>
      <c r="H272" s="141">
        <v>14391.66</v>
      </c>
      <c r="I272" s="10" t="s">
        <v>1110</v>
      </c>
      <c r="J272" s="141">
        <f t="shared" si="5"/>
        <v>14391.66</v>
      </c>
    </row>
    <row r="273" spans="1:10">
      <c r="A273" s="14">
        <v>265</v>
      </c>
      <c r="B273" s="9">
        <v>930.22</v>
      </c>
      <c r="C273" s="10" t="s">
        <v>1106</v>
      </c>
      <c r="D273" s="10" t="s">
        <v>1109</v>
      </c>
      <c r="E273" s="360">
        <v>45138</v>
      </c>
      <c r="F273" s="10">
        <v>0</v>
      </c>
      <c r="H273" s="141">
        <v>14391.66</v>
      </c>
      <c r="I273" s="10" t="s">
        <v>1110</v>
      </c>
      <c r="J273" s="141">
        <f t="shared" si="5"/>
        <v>14391.66</v>
      </c>
    </row>
    <row r="274" spans="1:10">
      <c r="A274" s="14">
        <v>266</v>
      </c>
      <c r="B274" s="9">
        <v>930.22</v>
      </c>
      <c r="C274" s="10" t="s">
        <v>1106</v>
      </c>
      <c r="D274" s="10" t="s">
        <v>1109</v>
      </c>
      <c r="E274" s="360">
        <v>45107</v>
      </c>
      <c r="F274" s="10">
        <v>0</v>
      </c>
      <c r="H274" s="141">
        <v>14391.66</v>
      </c>
      <c r="I274" s="10" t="s">
        <v>1110</v>
      </c>
      <c r="J274" s="141">
        <f t="shared" si="5"/>
        <v>14391.66</v>
      </c>
    </row>
    <row r="275" spans="1:10">
      <c r="A275" s="14">
        <v>267</v>
      </c>
      <c r="B275" s="9">
        <v>930.22</v>
      </c>
      <c r="C275" s="10" t="s">
        <v>1106</v>
      </c>
      <c r="D275" s="10" t="s">
        <v>1109</v>
      </c>
      <c r="E275" s="360">
        <v>45260</v>
      </c>
      <c r="F275" s="10">
        <v>0</v>
      </c>
      <c r="H275" s="141">
        <v>14391.69</v>
      </c>
      <c r="I275" s="10" t="s">
        <v>1110</v>
      </c>
      <c r="J275" s="141">
        <f t="shared" si="5"/>
        <v>14391.69</v>
      </c>
    </row>
    <row r="276" spans="1:10">
      <c r="A276" s="14">
        <v>268</v>
      </c>
      <c r="B276" s="9">
        <v>930.22</v>
      </c>
      <c r="C276" s="10" t="s">
        <v>1106</v>
      </c>
      <c r="D276" s="10" t="s">
        <v>1109</v>
      </c>
      <c r="E276" s="360">
        <v>45230</v>
      </c>
      <c r="F276" s="10">
        <v>0</v>
      </c>
      <c r="H276" s="141">
        <v>14391.69</v>
      </c>
      <c r="I276" s="10" t="s">
        <v>1110</v>
      </c>
      <c r="J276" s="141">
        <f t="shared" si="5"/>
        <v>14391.69</v>
      </c>
    </row>
    <row r="277" spans="1:10">
      <c r="A277" s="14">
        <v>269</v>
      </c>
      <c r="B277" s="9">
        <v>930.22</v>
      </c>
      <c r="C277" s="10" t="s">
        <v>1106</v>
      </c>
      <c r="D277" s="10" t="s">
        <v>1109</v>
      </c>
      <c r="E277" s="360">
        <v>45199</v>
      </c>
      <c r="F277" s="10">
        <v>0</v>
      </c>
      <c r="H277" s="141">
        <v>14391.69</v>
      </c>
      <c r="I277" s="10" t="s">
        <v>1110</v>
      </c>
      <c r="J277" s="141">
        <f t="shared" si="5"/>
        <v>14391.69</v>
      </c>
    </row>
    <row r="278" spans="1:10">
      <c r="A278" s="14">
        <v>270</v>
      </c>
      <c r="B278" s="9">
        <v>930.22</v>
      </c>
      <c r="C278" s="10" t="s">
        <v>1106</v>
      </c>
      <c r="D278" s="10" t="s">
        <v>1109</v>
      </c>
      <c r="E278" s="360">
        <v>45443</v>
      </c>
      <c r="F278" s="10">
        <v>0</v>
      </c>
      <c r="H278" s="141">
        <v>14524</v>
      </c>
      <c r="I278" s="10" t="s">
        <v>1110</v>
      </c>
      <c r="J278" s="141">
        <f t="shared" si="5"/>
        <v>14524</v>
      </c>
    </row>
    <row r="279" spans="1:10">
      <c r="A279" s="14">
        <v>271</v>
      </c>
      <c r="B279" s="9">
        <v>930.22</v>
      </c>
      <c r="C279" s="10" t="s">
        <v>1106</v>
      </c>
      <c r="D279" s="10" t="s">
        <v>1109</v>
      </c>
      <c r="E279" s="360">
        <v>45443</v>
      </c>
      <c r="F279" s="10">
        <v>0</v>
      </c>
      <c r="H279" s="141">
        <v>14524</v>
      </c>
      <c r="I279" s="10" t="s">
        <v>1110</v>
      </c>
      <c r="J279" s="141">
        <f t="shared" si="5"/>
        <v>14524</v>
      </c>
    </row>
    <row r="280" spans="1:10">
      <c r="A280" s="14">
        <v>272</v>
      </c>
      <c r="B280" s="9">
        <v>930.22</v>
      </c>
      <c r="C280" s="10" t="s">
        <v>1106</v>
      </c>
      <c r="D280" s="10" t="s">
        <v>1109</v>
      </c>
      <c r="E280" s="360">
        <v>45412</v>
      </c>
      <c r="F280" s="10">
        <v>0</v>
      </c>
      <c r="H280" s="141">
        <v>14524</v>
      </c>
      <c r="I280" s="10" t="s">
        <v>1110</v>
      </c>
      <c r="J280" s="141">
        <f t="shared" si="5"/>
        <v>14524</v>
      </c>
    </row>
    <row r="281" spans="1:10">
      <c r="A281" s="14">
        <v>273</v>
      </c>
      <c r="B281" s="9">
        <v>930.22</v>
      </c>
      <c r="C281" s="10" t="s">
        <v>1106</v>
      </c>
      <c r="D281" s="10" t="s">
        <v>1109</v>
      </c>
      <c r="E281" s="360">
        <v>45382</v>
      </c>
      <c r="F281" s="10">
        <v>0</v>
      </c>
      <c r="H281" s="141">
        <v>14524</v>
      </c>
      <c r="I281" s="10" t="s">
        <v>1110</v>
      </c>
      <c r="J281" s="141">
        <f t="shared" si="5"/>
        <v>14524</v>
      </c>
    </row>
    <row r="282" spans="1:10">
      <c r="A282" s="14">
        <v>274</v>
      </c>
      <c r="B282" s="9">
        <v>930.22</v>
      </c>
      <c r="C282" s="10" t="s">
        <v>1106</v>
      </c>
      <c r="D282" s="10" t="s">
        <v>1109</v>
      </c>
      <c r="E282" s="360">
        <v>45351</v>
      </c>
      <c r="F282" s="10">
        <v>0</v>
      </c>
      <c r="H282" s="141">
        <v>14524</v>
      </c>
      <c r="I282" s="10" t="s">
        <v>1110</v>
      </c>
      <c r="J282" s="141">
        <f t="shared" si="5"/>
        <v>14524</v>
      </c>
    </row>
    <row r="283" spans="1:10">
      <c r="A283" s="14">
        <v>275</v>
      </c>
      <c r="B283" s="9">
        <v>930.22</v>
      </c>
      <c r="C283" s="10" t="s">
        <v>1106</v>
      </c>
      <c r="D283" s="10" t="s">
        <v>1109</v>
      </c>
      <c r="E283" s="360">
        <v>45322</v>
      </c>
      <c r="F283" s="10">
        <v>0</v>
      </c>
      <c r="H283" s="141">
        <v>14524</v>
      </c>
      <c r="I283" s="10" t="s">
        <v>1110</v>
      </c>
      <c r="J283" s="141">
        <f t="shared" si="5"/>
        <v>14524</v>
      </c>
    </row>
    <row r="284" spans="1:10">
      <c r="A284" s="14">
        <v>276</v>
      </c>
      <c r="B284" s="9">
        <v>930.2</v>
      </c>
      <c r="C284" s="10" t="s">
        <v>967</v>
      </c>
      <c r="D284" s="10" t="s">
        <v>777</v>
      </c>
      <c r="E284" s="360">
        <v>45371</v>
      </c>
      <c r="F284" s="10">
        <v>208523</v>
      </c>
      <c r="G284" s="10" t="s">
        <v>1024</v>
      </c>
      <c r="H284" s="141">
        <v>1.06</v>
      </c>
      <c r="I284" s="10" t="s">
        <v>1025</v>
      </c>
      <c r="J284" s="141">
        <f t="shared" si="5"/>
        <v>1.06</v>
      </c>
    </row>
    <row r="285" spans="1:10">
      <c r="A285" s="14">
        <v>277</v>
      </c>
      <c r="B285" s="9">
        <v>930.2</v>
      </c>
      <c r="C285" s="10" t="s">
        <v>967</v>
      </c>
      <c r="D285" s="10" t="s">
        <v>777</v>
      </c>
      <c r="E285" s="360">
        <v>45371</v>
      </c>
      <c r="F285" s="10">
        <v>208523</v>
      </c>
      <c r="G285" s="10" t="s">
        <v>1024</v>
      </c>
      <c r="H285" s="141">
        <v>1.06</v>
      </c>
      <c r="I285" s="10" t="s">
        <v>1026</v>
      </c>
      <c r="J285" s="141">
        <f t="shared" si="5"/>
        <v>1.06</v>
      </c>
    </row>
    <row r="286" spans="1:10">
      <c r="A286" s="14">
        <v>278</v>
      </c>
      <c r="B286" s="9">
        <v>930.2</v>
      </c>
      <c r="C286" s="10" t="s">
        <v>967</v>
      </c>
      <c r="D286" s="10" t="s">
        <v>777</v>
      </c>
      <c r="E286" s="360">
        <v>45170</v>
      </c>
      <c r="F286" s="10">
        <v>206737</v>
      </c>
      <c r="G286" s="10" t="s">
        <v>769</v>
      </c>
      <c r="H286" s="141">
        <v>195.48</v>
      </c>
      <c r="I286" s="10" t="s">
        <v>1027</v>
      </c>
      <c r="J286" s="141">
        <f t="shared" si="5"/>
        <v>195.48</v>
      </c>
    </row>
    <row r="287" spans="1:10">
      <c r="A287" s="14">
        <v>279</v>
      </c>
      <c r="B287" s="9">
        <v>930.2</v>
      </c>
      <c r="C287" s="10" t="s">
        <v>967</v>
      </c>
      <c r="D287" s="10" t="s">
        <v>777</v>
      </c>
      <c r="E287" s="360">
        <v>45168</v>
      </c>
      <c r="F287" s="10">
        <v>206397</v>
      </c>
      <c r="G287" s="10" t="s">
        <v>1028</v>
      </c>
      <c r="H287" s="141">
        <v>62.99</v>
      </c>
      <c r="I287" s="10" t="s">
        <v>1029</v>
      </c>
      <c r="J287" s="141">
        <f t="shared" si="5"/>
        <v>62.99</v>
      </c>
    </row>
    <row r="288" spans="1:10">
      <c r="A288" s="14">
        <v>280</v>
      </c>
      <c r="B288" s="9">
        <v>930.2</v>
      </c>
      <c r="C288" s="10" t="s">
        <v>967</v>
      </c>
      <c r="D288" s="10" t="s">
        <v>777</v>
      </c>
      <c r="E288" s="360">
        <v>45392</v>
      </c>
      <c r="F288" s="10">
        <v>1028</v>
      </c>
      <c r="G288" s="10" t="s">
        <v>1007</v>
      </c>
      <c r="H288" s="141">
        <v>150</v>
      </c>
      <c r="I288" s="10" t="s">
        <v>1030</v>
      </c>
      <c r="J288" s="141">
        <f t="shared" si="5"/>
        <v>150</v>
      </c>
    </row>
    <row r="289" spans="1:10">
      <c r="A289" s="14">
        <v>281</v>
      </c>
      <c r="B289" s="9">
        <v>930.2</v>
      </c>
      <c r="C289" s="10" t="s">
        <v>967</v>
      </c>
      <c r="D289" s="10" t="s">
        <v>777</v>
      </c>
      <c r="E289" s="360">
        <v>45351</v>
      </c>
      <c r="F289" s="10">
        <v>958</v>
      </c>
      <c r="G289" s="10" t="s">
        <v>1007</v>
      </c>
      <c r="H289" s="141">
        <v>244.83</v>
      </c>
      <c r="I289" s="10" t="s">
        <v>1030</v>
      </c>
      <c r="J289" s="141">
        <f t="shared" si="5"/>
        <v>244.83</v>
      </c>
    </row>
    <row r="290" spans="1:10">
      <c r="A290" s="14">
        <v>282</v>
      </c>
      <c r="B290" s="9">
        <v>930.2</v>
      </c>
      <c r="C290" s="10" t="s">
        <v>967</v>
      </c>
      <c r="D290" s="10" t="s">
        <v>777</v>
      </c>
      <c r="E290" s="360">
        <v>45299</v>
      </c>
      <c r="F290" s="10">
        <v>886</v>
      </c>
      <c r="G290" s="10" t="s">
        <v>1007</v>
      </c>
      <c r="H290" s="141">
        <v>175</v>
      </c>
      <c r="I290" s="10" t="s">
        <v>1030</v>
      </c>
      <c r="J290" s="141">
        <f t="shared" si="5"/>
        <v>175</v>
      </c>
    </row>
    <row r="291" spans="1:10">
      <c r="A291" s="14">
        <v>283</v>
      </c>
      <c r="B291" s="9">
        <v>930.2</v>
      </c>
      <c r="C291" s="10" t="s">
        <v>967</v>
      </c>
      <c r="D291" s="10" t="s">
        <v>777</v>
      </c>
      <c r="E291" s="360">
        <v>45299</v>
      </c>
      <c r="F291" s="10">
        <v>860</v>
      </c>
      <c r="G291" s="10" t="s">
        <v>741</v>
      </c>
      <c r="H291" s="141">
        <v>150</v>
      </c>
      <c r="I291" s="10" t="s">
        <v>1031</v>
      </c>
      <c r="J291" s="141">
        <f t="shared" si="5"/>
        <v>150</v>
      </c>
    </row>
    <row r="292" spans="1:10">
      <c r="A292" s="14">
        <v>284</v>
      </c>
      <c r="B292" s="9">
        <v>930.2</v>
      </c>
      <c r="C292" s="10" t="s">
        <v>967</v>
      </c>
      <c r="D292" s="10" t="s">
        <v>777</v>
      </c>
      <c r="E292" s="360">
        <v>45273</v>
      </c>
      <c r="F292" s="10">
        <v>837</v>
      </c>
      <c r="G292" s="10" t="s">
        <v>984</v>
      </c>
      <c r="H292" s="141">
        <v>137.19</v>
      </c>
      <c r="I292" s="10" t="s">
        <v>1030</v>
      </c>
      <c r="J292" s="141">
        <f t="shared" si="5"/>
        <v>137.19</v>
      </c>
    </row>
    <row r="293" spans="1:10">
      <c r="A293" s="14">
        <v>285</v>
      </c>
      <c r="B293" s="9">
        <v>930.2</v>
      </c>
      <c r="C293" s="10" t="s">
        <v>967</v>
      </c>
      <c r="D293" s="10" t="s">
        <v>777</v>
      </c>
      <c r="E293" s="360">
        <v>45273</v>
      </c>
      <c r="F293" s="10">
        <v>836</v>
      </c>
      <c r="G293" s="10" t="s">
        <v>984</v>
      </c>
      <c r="H293" s="141">
        <v>80.19</v>
      </c>
      <c r="I293" s="10" t="s">
        <v>1030</v>
      </c>
      <c r="J293" s="141">
        <f t="shared" si="5"/>
        <v>80.19</v>
      </c>
    </row>
    <row r="294" spans="1:10">
      <c r="A294" s="14">
        <v>286</v>
      </c>
      <c r="B294" s="9">
        <v>930.2</v>
      </c>
      <c r="C294" s="10" t="s">
        <v>967</v>
      </c>
      <c r="D294" s="10" t="s">
        <v>777</v>
      </c>
      <c r="E294" s="360">
        <v>45266</v>
      </c>
      <c r="F294" s="10">
        <v>829</v>
      </c>
      <c r="G294" s="10" t="s">
        <v>1007</v>
      </c>
      <c r="H294" s="141">
        <v>68.900000000000006</v>
      </c>
      <c r="I294" s="10" t="s">
        <v>1030</v>
      </c>
      <c r="J294" s="141">
        <f t="shared" si="5"/>
        <v>68.900000000000006</v>
      </c>
    </row>
    <row r="295" spans="1:10">
      <c r="A295" s="14">
        <v>287</v>
      </c>
      <c r="B295" s="9">
        <v>930.2</v>
      </c>
      <c r="C295" s="10" t="s">
        <v>967</v>
      </c>
      <c r="D295" s="10" t="s">
        <v>777</v>
      </c>
      <c r="E295" s="360">
        <v>45266</v>
      </c>
      <c r="F295" s="10">
        <v>820</v>
      </c>
      <c r="G295" s="10" t="s">
        <v>741</v>
      </c>
      <c r="H295" s="141">
        <v>262.33</v>
      </c>
      <c r="I295" s="10" t="s">
        <v>1030</v>
      </c>
      <c r="J295" s="141">
        <f t="shared" si="5"/>
        <v>262.33</v>
      </c>
    </row>
    <row r="296" spans="1:10">
      <c r="A296" s="14">
        <v>288</v>
      </c>
      <c r="B296" s="9">
        <v>930.2</v>
      </c>
      <c r="C296" s="10" t="s">
        <v>967</v>
      </c>
      <c r="D296" s="10" t="s">
        <v>777</v>
      </c>
      <c r="E296" s="360">
        <v>45205</v>
      </c>
      <c r="F296" s="10">
        <v>728</v>
      </c>
      <c r="G296" s="10" t="s">
        <v>1032</v>
      </c>
      <c r="H296" s="141">
        <v>16.38</v>
      </c>
      <c r="I296" s="10" t="s">
        <v>1030</v>
      </c>
      <c r="J296" s="141">
        <f t="shared" si="5"/>
        <v>16.38</v>
      </c>
    </row>
    <row r="297" spans="1:10">
      <c r="A297" s="14">
        <v>289</v>
      </c>
      <c r="B297" s="9">
        <v>930.2</v>
      </c>
      <c r="C297" s="10" t="s">
        <v>967</v>
      </c>
      <c r="D297" s="10" t="s">
        <v>777</v>
      </c>
      <c r="E297" s="360">
        <v>45205</v>
      </c>
      <c r="F297" s="10">
        <v>724</v>
      </c>
      <c r="G297" s="10" t="s">
        <v>772</v>
      </c>
      <c r="H297" s="141">
        <v>42.96</v>
      </c>
      <c r="I297" s="10" t="s">
        <v>1030</v>
      </c>
      <c r="J297" s="141">
        <f t="shared" si="5"/>
        <v>42.96</v>
      </c>
    </row>
    <row r="298" spans="1:10">
      <c r="A298" s="14">
        <v>290</v>
      </c>
      <c r="B298" s="9">
        <v>930.2</v>
      </c>
      <c r="C298" s="10" t="s">
        <v>967</v>
      </c>
      <c r="D298" s="10" t="s">
        <v>777</v>
      </c>
      <c r="E298" s="360">
        <v>45205</v>
      </c>
      <c r="F298" s="10">
        <v>722</v>
      </c>
      <c r="G298" s="10" t="s">
        <v>1033</v>
      </c>
      <c r="H298" s="141">
        <v>447.86</v>
      </c>
      <c r="I298" s="10" t="s">
        <v>1030</v>
      </c>
      <c r="J298" s="141">
        <f t="shared" si="5"/>
        <v>447.86</v>
      </c>
    </row>
    <row r="299" spans="1:10">
      <c r="A299" s="14">
        <v>291</v>
      </c>
      <c r="B299" s="9">
        <v>930.2</v>
      </c>
      <c r="C299" s="10" t="s">
        <v>967</v>
      </c>
      <c r="D299" s="10" t="s">
        <v>777</v>
      </c>
      <c r="E299" s="360">
        <v>45205</v>
      </c>
      <c r="F299" s="10">
        <v>709</v>
      </c>
      <c r="G299" s="10" t="s">
        <v>1007</v>
      </c>
      <c r="H299" s="141">
        <v>68.900000000000006</v>
      </c>
      <c r="I299" s="10" t="s">
        <v>1030</v>
      </c>
      <c r="J299" s="141">
        <f t="shared" si="5"/>
        <v>68.900000000000006</v>
      </c>
    </row>
    <row r="300" spans="1:10">
      <c r="A300" s="14">
        <v>292</v>
      </c>
      <c r="B300" s="9">
        <v>930.2</v>
      </c>
      <c r="C300" s="10" t="s">
        <v>967</v>
      </c>
      <c r="D300" s="10" t="s">
        <v>777</v>
      </c>
      <c r="E300" s="360">
        <v>45177</v>
      </c>
      <c r="F300" s="10">
        <v>673</v>
      </c>
      <c r="G300" s="10" t="s">
        <v>1034</v>
      </c>
      <c r="H300" s="141">
        <v>54.62</v>
      </c>
      <c r="I300" s="10" t="s">
        <v>1035</v>
      </c>
      <c r="J300" s="141">
        <f t="shared" si="5"/>
        <v>54.62</v>
      </c>
    </row>
    <row r="301" spans="1:10">
      <c r="A301" s="14">
        <v>293</v>
      </c>
      <c r="B301" s="9">
        <v>930.2</v>
      </c>
      <c r="C301" s="10" t="s">
        <v>967</v>
      </c>
      <c r="D301" s="10" t="s">
        <v>777</v>
      </c>
      <c r="E301" s="360">
        <v>45176</v>
      </c>
      <c r="F301" s="10">
        <v>657</v>
      </c>
      <c r="G301" s="10" t="s">
        <v>1006</v>
      </c>
      <c r="H301" s="141">
        <v>200</v>
      </c>
      <c r="I301" s="10" t="s">
        <v>1030</v>
      </c>
      <c r="J301" s="141">
        <f t="shared" si="5"/>
        <v>200</v>
      </c>
    </row>
    <row r="302" spans="1:10">
      <c r="A302" s="14">
        <v>294</v>
      </c>
      <c r="B302" s="9">
        <v>930.2</v>
      </c>
      <c r="C302" s="10" t="s">
        <v>967</v>
      </c>
      <c r="D302" s="10" t="s">
        <v>777</v>
      </c>
      <c r="E302" s="360">
        <v>45175</v>
      </c>
      <c r="F302" s="10">
        <v>651</v>
      </c>
      <c r="G302" s="10" t="s">
        <v>1007</v>
      </c>
      <c r="H302" s="141">
        <v>162.6</v>
      </c>
      <c r="I302" s="10" t="s">
        <v>1030</v>
      </c>
      <c r="J302" s="141">
        <f t="shared" si="5"/>
        <v>162.6</v>
      </c>
    </row>
    <row r="303" spans="1:10">
      <c r="A303" s="14">
        <v>295</v>
      </c>
      <c r="B303" s="9">
        <v>930.2</v>
      </c>
      <c r="C303" s="10" t="s">
        <v>967</v>
      </c>
      <c r="D303" s="10" t="s">
        <v>777</v>
      </c>
      <c r="E303" s="360">
        <v>45154</v>
      </c>
      <c r="F303" s="10">
        <v>623</v>
      </c>
      <c r="G303" s="10" t="s">
        <v>984</v>
      </c>
      <c r="H303" s="141">
        <v>150</v>
      </c>
      <c r="I303" s="10" t="s">
        <v>1030</v>
      </c>
      <c r="J303" s="141">
        <f t="shared" si="5"/>
        <v>150</v>
      </c>
    </row>
    <row r="304" spans="1:10">
      <c r="A304" s="14">
        <v>296</v>
      </c>
      <c r="B304" s="9">
        <v>930.2</v>
      </c>
      <c r="C304" s="10" t="s">
        <v>967</v>
      </c>
      <c r="D304" s="10" t="s">
        <v>777</v>
      </c>
      <c r="E304" s="360">
        <v>45142</v>
      </c>
      <c r="F304" s="10">
        <v>599</v>
      </c>
      <c r="G304" s="10" t="s">
        <v>1036</v>
      </c>
      <c r="H304" s="141">
        <v>25</v>
      </c>
      <c r="I304" s="10" t="s">
        <v>1030</v>
      </c>
      <c r="J304" s="141">
        <f t="shared" si="5"/>
        <v>25</v>
      </c>
    </row>
    <row r="305" spans="1:10">
      <c r="A305" s="14">
        <v>297</v>
      </c>
      <c r="B305" s="9">
        <v>930.2</v>
      </c>
      <c r="C305" s="10" t="s">
        <v>967</v>
      </c>
      <c r="D305" s="10" t="s">
        <v>777</v>
      </c>
      <c r="E305" s="360">
        <v>45122</v>
      </c>
      <c r="F305" s="10">
        <v>589</v>
      </c>
      <c r="G305" s="10" t="s">
        <v>984</v>
      </c>
      <c r="H305" s="141">
        <v>115.99</v>
      </c>
      <c r="I305" s="10" t="s">
        <v>1030</v>
      </c>
      <c r="J305" s="141">
        <f t="shared" si="5"/>
        <v>115.99</v>
      </c>
    </row>
    <row r="306" spans="1:10">
      <c r="A306" s="14">
        <v>298</v>
      </c>
      <c r="B306" s="9">
        <v>930.2</v>
      </c>
      <c r="C306" s="10" t="s">
        <v>967</v>
      </c>
      <c r="D306" s="10" t="s">
        <v>777</v>
      </c>
      <c r="E306" s="360">
        <v>45128</v>
      </c>
      <c r="F306" s="10">
        <v>588</v>
      </c>
      <c r="G306" s="10" t="s">
        <v>984</v>
      </c>
      <c r="H306" s="141">
        <v>89.49</v>
      </c>
      <c r="I306" s="10" t="s">
        <v>1030</v>
      </c>
      <c r="J306" s="141">
        <f t="shared" si="5"/>
        <v>89.49</v>
      </c>
    </row>
    <row r="307" spans="1:10">
      <c r="A307" s="14">
        <v>299</v>
      </c>
      <c r="B307" s="9">
        <v>930.2</v>
      </c>
      <c r="C307" s="10" t="s">
        <v>967</v>
      </c>
      <c r="D307" s="10" t="s">
        <v>777</v>
      </c>
      <c r="E307" s="360">
        <v>45113</v>
      </c>
      <c r="F307" s="10">
        <v>560</v>
      </c>
      <c r="G307" s="10" t="s">
        <v>1006</v>
      </c>
      <c r="H307" s="141">
        <v>117.15</v>
      </c>
      <c r="I307" s="10" t="s">
        <v>1030</v>
      </c>
      <c r="J307" s="141">
        <f t="shared" si="5"/>
        <v>117.15</v>
      </c>
    </row>
    <row r="308" spans="1:10">
      <c r="A308" s="14">
        <v>300</v>
      </c>
      <c r="B308" s="9">
        <v>930.2</v>
      </c>
      <c r="C308" s="10" t="s">
        <v>967</v>
      </c>
      <c r="D308" s="10" t="s">
        <v>777</v>
      </c>
      <c r="E308" s="360">
        <v>45113</v>
      </c>
      <c r="F308" s="10">
        <v>556</v>
      </c>
      <c r="G308" s="10" t="s">
        <v>772</v>
      </c>
      <c r="H308" s="141">
        <v>287.2</v>
      </c>
      <c r="I308" s="10" t="s">
        <v>1037</v>
      </c>
      <c r="J308" s="141">
        <f t="shared" si="5"/>
        <v>287.2</v>
      </c>
    </row>
    <row r="309" spans="1:10">
      <c r="A309" s="14">
        <v>301</v>
      </c>
      <c r="B309" s="9">
        <v>930.2</v>
      </c>
      <c r="C309" s="10" t="s">
        <v>967</v>
      </c>
      <c r="D309" s="10" t="s">
        <v>777</v>
      </c>
      <c r="E309" s="360">
        <v>45100</v>
      </c>
      <c r="F309" s="10">
        <v>511</v>
      </c>
      <c r="G309" s="10" t="s">
        <v>984</v>
      </c>
      <c r="H309" s="141">
        <v>78.89</v>
      </c>
      <c r="I309" s="10" t="s">
        <v>1030</v>
      </c>
      <c r="J309" s="141">
        <f t="shared" si="5"/>
        <v>78.89</v>
      </c>
    </row>
    <row r="310" spans="1:10">
      <c r="A310" s="14">
        <v>302</v>
      </c>
      <c r="B310" s="9">
        <v>930.2</v>
      </c>
      <c r="C310" s="10" t="s">
        <v>967</v>
      </c>
      <c r="D310" s="10" t="s">
        <v>777</v>
      </c>
      <c r="E310" s="360">
        <v>45083</v>
      </c>
      <c r="F310" s="10">
        <v>475</v>
      </c>
      <c r="G310" s="10" t="s">
        <v>741</v>
      </c>
      <c r="H310" s="141">
        <v>120</v>
      </c>
      <c r="I310" s="10" t="s">
        <v>1037</v>
      </c>
      <c r="J310" s="141">
        <f t="shared" si="5"/>
        <v>120</v>
      </c>
    </row>
    <row r="311" spans="1:10">
      <c r="A311" s="14">
        <v>303</v>
      </c>
      <c r="B311" s="9">
        <v>930.2</v>
      </c>
      <c r="C311" s="10" t="s">
        <v>967</v>
      </c>
      <c r="D311" s="10" t="s">
        <v>777</v>
      </c>
      <c r="E311" s="360">
        <v>45079</v>
      </c>
      <c r="F311" s="10">
        <v>451</v>
      </c>
      <c r="G311" s="10" t="s">
        <v>984</v>
      </c>
      <c r="H311" s="141">
        <v>79.95</v>
      </c>
      <c r="I311" s="10" t="s">
        <v>1037</v>
      </c>
      <c r="J311" s="141">
        <f t="shared" si="5"/>
        <v>79.95</v>
      </c>
    </row>
    <row r="312" spans="1:10">
      <c r="A312" s="14">
        <v>304</v>
      </c>
      <c r="B312" s="9">
        <v>930.2</v>
      </c>
      <c r="C312" s="10" t="s">
        <v>967</v>
      </c>
      <c r="D312" s="10" t="s">
        <v>777</v>
      </c>
      <c r="E312" s="360">
        <v>45082</v>
      </c>
      <c r="F312" s="10">
        <v>449</v>
      </c>
      <c r="G312" s="10" t="s">
        <v>984</v>
      </c>
      <c r="H312" s="141">
        <v>21.7</v>
      </c>
      <c r="I312" s="10" t="s">
        <v>1037</v>
      </c>
      <c r="J312" s="141">
        <f t="shared" si="5"/>
        <v>21.7</v>
      </c>
    </row>
    <row r="313" spans="1:10">
      <c r="A313" s="14">
        <v>305</v>
      </c>
      <c r="B313" s="9">
        <v>930.2</v>
      </c>
      <c r="C313" s="10" t="s">
        <v>967</v>
      </c>
      <c r="D313" s="10" t="s">
        <v>1038</v>
      </c>
      <c r="E313" s="360">
        <v>45348</v>
      </c>
      <c r="F313" s="10">
        <v>7679</v>
      </c>
      <c r="G313" s="10" t="s">
        <v>1039</v>
      </c>
      <c r="H313" s="141">
        <v>665.31</v>
      </c>
      <c r="I313" s="10" t="s">
        <v>1040</v>
      </c>
      <c r="J313" s="141">
        <f t="shared" si="5"/>
        <v>665.31</v>
      </c>
    </row>
    <row r="314" spans="1:10">
      <c r="A314" s="14">
        <v>306</v>
      </c>
      <c r="B314" s="9">
        <v>930.2</v>
      </c>
      <c r="C314" s="10" t="s">
        <v>967</v>
      </c>
      <c r="D314" s="10" t="s">
        <v>1038</v>
      </c>
      <c r="E314" s="360">
        <v>45271</v>
      </c>
      <c r="F314" s="10">
        <v>7469</v>
      </c>
      <c r="G314" s="10" t="s">
        <v>1039</v>
      </c>
      <c r="H314" s="141">
        <v>444.88</v>
      </c>
      <c r="I314" s="10" t="s">
        <v>1041</v>
      </c>
      <c r="J314" s="141">
        <f t="shared" si="5"/>
        <v>444.88</v>
      </c>
    </row>
    <row r="315" spans="1:10">
      <c r="A315" s="14">
        <v>307</v>
      </c>
      <c r="B315" s="9">
        <v>930.28</v>
      </c>
      <c r="C315" s="10" t="s">
        <v>605</v>
      </c>
      <c r="D315" s="10" t="s">
        <v>1038</v>
      </c>
      <c r="E315" s="360">
        <v>45390</v>
      </c>
      <c r="F315" s="10">
        <v>7776</v>
      </c>
      <c r="G315" s="10" t="s">
        <v>1066</v>
      </c>
      <c r="H315" s="141">
        <v>83.08</v>
      </c>
      <c r="I315" s="10" t="s">
        <v>1127</v>
      </c>
      <c r="J315" s="141">
        <f t="shared" si="5"/>
        <v>83.08</v>
      </c>
    </row>
    <row r="316" spans="1:10">
      <c r="A316" s="14">
        <v>308</v>
      </c>
      <c r="B316" s="9">
        <v>930.28</v>
      </c>
      <c r="C316" s="10" t="s">
        <v>605</v>
      </c>
      <c r="D316" s="10" t="s">
        <v>1038</v>
      </c>
      <c r="E316" s="360">
        <v>45309</v>
      </c>
      <c r="F316" s="10">
        <v>7551</v>
      </c>
      <c r="G316" s="10" t="s">
        <v>1066</v>
      </c>
      <c r="H316" s="141">
        <v>166.16</v>
      </c>
      <c r="I316" s="10" t="s">
        <v>1128</v>
      </c>
      <c r="J316" s="141">
        <f t="shared" si="5"/>
        <v>166.16</v>
      </c>
    </row>
    <row r="317" spans="1:10">
      <c r="A317" s="14">
        <v>309</v>
      </c>
      <c r="B317" s="9">
        <v>930.28</v>
      </c>
      <c r="C317" s="10" t="s">
        <v>605</v>
      </c>
      <c r="D317" s="10" t="s">
        <v>1038</v>
      </c>
      <c r="E317" s="360">
        <v>45383</v>
      </c>
      <c r="F317" s="10">
        <v>975</v>
      </c>
      <c r="G317" s="10" t="s">
        <v>1066</v>
      </c>
      <c r="H317" s="141">
        <v>5</v>
      </c>
      <c r="I317" s="10" t="s">
        <v>1129</v>
      </c>
      <c r="J317" s="141">
        <f t="shared" si="5"/>
        <v>5</v>
      </c>
    </row>
    <row r="318" spans="1:10">
      <c r="A318" s="14">
        <v>310</v>
      </c>
      <c r="B318" s="9">
        <v>930.28</v>
      </c>
      <c r="C318" s="10" t="s">
        <v>605</v>
      </c>
      <c r="D318" s="10" t="s">
        <v>1038</v>
      </c>
      <c r="E318" s="360">
        <v>45352</v>
      </c>
      <c r="F318" s="10">
        <v>939</v>
      </c>
      <c r="G318" s="10" t="s">
        <v>1066</v>
      </c>
      <c r="H318" s="141">
        <v>1060</v>
      </c>
      <c r="I318" s="10" t="s">
        <v>1130</v>
      </c>
      <c r="J318" s="141">
        <f t="shared" si="5"/>
        <v>1060</v>
      </c>
    </row>
    <row r="319" spans="1:10">
      <c r="A319" s="14">
        <v>311</v>
      </c>
      <c r="B319" s="9">
        <v>930.28</v>
      </c>
      <c r="C319" s="10" t="s">
        <v>605</v>
      </c>
      <c r="D319" s="10" t="s">
        <v>1038</v>
      </c>
      <c r="E319" s="360">
        <v>45352</v>
      </c>
      <c r="F319" s="10">
        <v>938</v>
      </c>
      <c r="G319" s="10" t="s">
        <v>1066</v>
      </c>
      <c r="H319" s="141">
        <v>569.72</v>
      </c>
      <c r="I319" s="10" t="s">
        <v>1130</v>
      </c>
      <c r="J319" s="141">
        <f t="shared" si="5"/>
        <v>569.72</v>
      </c>
    </row>
    <row r="320" spans="1:10">
      <c r="A320" s="14">
        <v>312</v>
      </c>
      <c r="B320" s="9">
        <v>930.28</v>
      </c>
      <c r="C320" s="10" t="s">
        <v>605</v>
      </c>
      <c r="D320" s="10" t="s">
        <v>1038</v>
      </c>
      <c r="E320" s="360">
        <v>45352</v>
      </c>
      <c r="F320" s="10">
        <v>934</v>
      </c>
      <c r="G320" s="10" t="s">
        <v>1066</v>
      </c>
      <c r="H320" s="141">
        <v>5</v>
      </c>
      <c r="I320" s="10" t="s">
        <v>1129</v>
      </c>
      <c r="J320" s="141">
        <f t="shared" si="5"/>
        <v>5</v>
      </c>
    </row>
    <row r="321" spans="1:10">
      <c r="A321" s="14">
        <v>313</v>
      </c>
      <c r="B321" s="9">
        <v>930.28</v>
      </c>
      <c r="C321" s="10" t="s">
        <v>605</v>
      </c>
      <c r="D321" s="10" t="s">
        <v>1038</v>
      </c>
      <c r="E321" s="360">
        <v>45328</v>
      </c>
      <c r="F321" s="10">
        <v>922</v>
      </c>
      <c r="G321" s="10" t="s">
        <v>1006</v>
      </c>
      <c r="H321" s="141">
        <v>49.47</v>
      </c>
      <c r="I321" s="10" t="s">
        <v>1131</v>
      </c>
      <c r="J321" s="141"/>
    </row>
    <row r="322" spans="1:10">
      <c r="A322" s="14">
        <v>314</v>
      </c>
      <c r="B322" s="9">
        <v>930.28</v>
      </c>
      <c r="C322" s="10" t="s">
        <v>605</v>
      </c>
      <c r="D322" s="10" t="s">
        <v>1038</v>
      </c>
      <c r="E322" s="360">
        <v>45308</v>
      </c>
      <c r="F322" s="10">
        <v>902</v>
      </c>
      <c r="G322" s="10" t="s">
        <v>1066</v>
      </c>
      <c r="H322" s="141">
        <v>40.36</v>
      </c>
      <c r="I322" s="10" t="s">
        <v>1130</v>
      </c>
      <c r="J322" s="141">
        <f t="shared" ref="J322:J380" si="6">H322</f>
        <v>40.36</v>
      </c>
    </row>
    <row r="323" spans="1:10">
      <c r="A323" s="14">
        <v>315</v>
      </c>
      <c r="B323" s="9">
        <v>930.28</v>
      </c>
      <c r="C323" s="10" t="s">
        <v>605</v>
      </c>
      <c r="D323" s="10" t="s">
        <v>1038</v>
      </c>
      <c r="E323" s="360">
        <v>45323</v>
      </c>
      <c r="F323" s="10">
        <v>901</v>
      </c>
      <c r="G323" s="10" t="s">
        <v>1066</v>
      </c>
      <c r="H323" s="141">
        <v>5</v>
      </c>
      <c r="I323" s="10" t="s">
        <v>1129</v>
      </c>
      <c r="J323" s="141">
        <f t="shared" si="6"/>
        <v>5</v>
      </c>
    </row>
    <row r="324" spans="1:10">
      <c r="A324" s="14">
        <v>316</v>
      </c>
      <c r="B324" s="9">
        <v>930.28</v>
      </c>
      <c r="C324" s="10" t="s">
        <v>605</v>
      </c>
      <c r="D324" s="10" t="s">
        <v>1038</v>
      </c>
      <c r="E324" s="360">
        <v>45299</v>
      </c>
      <c r="F324" s="10">
        <v>868</v>
      </c>
      <c r="G324" s="10" t="s">
        <v>1066</v>
      </c>
      <c r="H324" s="141">
        <v>5</v>
      </c>
      <c r="I324" s="10" t="s">
        <v>1129</v>
      </c>
      <c r="J324" s="141">
        <f t="shared" si="6"/>
        <v>5</v>
      </c>
    </row>
    <row r="325" spans="1:10">
      <c r="A325" s="14">
        <v>317</v>
      </c>
      <c r="B325" s="9">
        <v>930.28</v>
      </c>
      <c r="C325" s="10" t="s">
        <v>605</v>
      </c>
      <c r="D325" s="10" t="s">
        <v>1038</v>
      </c>
      <c r="E325" s="360">
        <v>45301</v>
      </c>
      <c r="F325" s="10">
        <v>867</v>
      </c>
      <c r="G325" s="10" t="s">
        <v>1066</v>
      </c>
      <c r="H325" s="141">
        <v>47.67</v>
      </c>
      <c r="I325" s="10" t="s">
        <v>1130</v>
      </c>
      <c r="J325" s="141">
        <f t="shared" si="6"/>
        <v>47.67</v>
      </c>
    </row>
    <row r="326" spans="1:10">
      <c r="A326" s="14">
        <v>318</v>
      </c>
      <c r="B326" s="9">
        <v>930.28</v>
      </c>
      <c r="C326" s="10" t="s">
        <v>605</v>
      </c>
      <c r="D326" s="10" t="s">
        <v>1038</v>
      </c>
      <c r="E326" s="360">
        <v>45273</v>
      </c>
      <c r="F326" s="10">
        <v>851</v>
      </c>
      <c r="G326" s="10" t="s">
        <v>1066</v>
      </c>
      <c r="H326" s="141">
        <v>48.12</v>
      </c>
      <c r="I326" s="10" t="s">
        <v>1130</v>
      </c>
      <c r="J326" s="141">
        <f t="shared" si="6"/>
        <v>48.12</v>
      </c>
    </row>
    <row r="327" spans="1:10">
      <c r="A327" s="14">
        <v>319</v>
      </c>
      <c r="B327" s="9">
        <v>930.28</v>
      </c>
      <c r="C327" s="10" t="s">
        <v>605</v>
      </c>
      <c r="D327" s="10" t="s">
        <v>1038</v>
      </c>
      <c r="E327" s="360">
        <v>45264</v>
      </c>
      <c r="F327" s="10">
        <v>806</v>
      </c>
      <c r="G327" s="10" t="s">
        <v>1066</v>
      </c>
      <c r="H327" s="141">
        <v>15.86</v>
      </c>
      <c r="I327" s="10" t="s">
        <v>1130</v>
      </c>
      <c r="J327" s="141">
        <f t="shared" si="6"/>
        <v>15.86</v>
      </c>
    </row>
    <row r="328" spans="1:10">
      <c r="A328" s="14">
        <v>320</v>
      </c>
      <c r="B328" s="9">
        <v>930.28</v>
      </c>
      <c r="C328" s="10" t="s">
        <v>605</v>
      </c>
      <c r="D328" s="10" t="s">
        <v>1038</v>
      </c>
      <c r="E328" s="360">
        <v>45251</v>
      </c>
      <c r="F328" s="10">
        <v>801</v>
      </c>
      <c r="G328" s="10" t="s">
        <v>1066</v>
      </c>
      <c r="H328" s="141">
        <v>5</v>
      </c>
      <c r="I328" s="10" t="s">
        <v>1129</v>
      </c>
      <c r="J328" s="141">
        <f t="shared" si="6"/>
        <v>5</v>
      </c>
    </row>
    <row r="329" spans="1:10">
      <c r="A329" s="14">
        <v>321</v>
      </c>
      <c r="B329" s="9">
        <v>930.28</v>
      </c>
      <c r="C329" s="10" t="s">
        <v>605</v>
      </c>
      <c r="D329" s="10" t="s">
        <v>1038</v>
      </c>
      <c r="E329" s="360">
        <v>45210</v>
      </c>
      <c r="F329" s="10">
        <v>726</v>
      </c>
      <c r="G329" s="10" t="s">
        <v>1066</v>
      </c>
      <c r="H329" s="141">
        <v>5</v>
      </c>
      <c r="I329" s="10" t="s">
        <v>1129</v>
      </c>
      <c r="J329" s="141">
        <f t="shared" si="6"/>
        <v>5</v>
      </c>
    </row>
    <row r="330" spans="1:10">
      <c r="A330" s="14">
        <v>322</v>
      </c>
      <c r="B330" s="9">
        <v>930.28</v>
      </c>
      <c r="C330" s="10" t="s">
        <v>605</v>
      </c>
      <c r="D330" s="10" t="s">
        <v>1038</v>
      </c>
      <c r="E330" s="360">
        <v>45186</v>
      </c>
      <c r="F330" s="10">
        <v>689</v>
      </c>
      <c r="G330" s="10" t="s">
        <v>1066</v>
      </c>
      <c r="H330" s="141">
        <v>10</v>
      </c>
      <c r="I330" s="10" t="s">
        <v>1129</v>
      </c>
      <c r="J330" s="141">
        <f t="shared" si="6"/>
        <v>10</v>
      </c>
    </row>
    <row r="331" spans="1:10">
      <c r="A331" s="14">
        <v>323</v>
      </c>
      <c r="B331" s="9">
        <v>930.28</v>
      </c>
      <c r="C331" s="10" t="s">
        <v>605</v>
      </c>
      <c r="D331" s="10" t="s">
        <v>1038</v>
      </c>
      <c r="E331" s="360">
        <v>45171</v>
      </c>
      <c r="F331" s="10">
        <v>684</v>
      </c>
      <c r="G331" s="10" t="s">
        <v>1066</v>
      </c>
      <c r="H331" s="141">
        <v>10</v>
      </c>
      <c r="I331" s="10" t="s">
        <v>1129</v>
      </c>
      <c r="J331" s="141">
        <f t="shared" si="6"/>
        <v>10</v>
      </c>
    </row>
    <row r="332" spans="1:10">
      <c r="A332" s="14">
        <v>324</v>
      </c>
      <c r="B332" s="9">
        <v>930.28</v>
      </c>
      <c r="C332" s="10" t="s">
        <v>605</v>
      </c>
      <c r="D332" s="10" t="s">
        <v>1038</v>
      </c>
      <c r="E332" s="360">
        <v>45136</v>
      </c>
      <c r="F332" s="10">
        <v>593</v>
      </c>
      <c r="G332" s="10" t="s">
        <v>1066</v>
      </c>
      <c r="H332" s="141">
        <v>5</v>
      </c>
      <c r="I332" s="10" t="s">
        <v>1129</v>
      </c>
      <c r="J332" s="141">
        <f t="shared" si="6"/>
        <v>5</v>
      </c>
    </row>
    <row r="333" spans="1:10">
      <c r="A333" s="14">
        <v>325</v>
      </c>
      <c r="B333" s="9">
        <v>930.28</v>
      </c>
      <c r="C333" s="10" t="s">
        <v>605</v>
      </c>
      <c r="D333" s="10" t="s">
        <v>1038</v>
      </c>
      <c r="E333" s="360">
        <v>45126</v>
      </c>
      <c r="F333" s="10">
        <v>581</v>
      </c>
      <c r="G333" s="10" t="s">
        <v>1066</v>
      </c>
      <c r="H333" s="141">
        <v>13.84</v>
      </c>
      <c r="I333" s="10" t="s">
        <v>1130</v>
      </c>
      <c r="J333" s="141">
        <f t="shared" si="6"/>
        <v>13.84</v>
      </c>
    </row>
    <row r="334" spans="1:10">
      <c r="A334" s="14">
        <v>326</v>
      </c>
      <c r="B334" s="9">
        <v>930.28</v>
      </c>
      <c r="C334" s="10" t="s">
        <v>605</v>
      </c>
      <c r="D334" s="10" t="s">
        <v>1038</v>
      </c>
      <c r="E334" s="360">
        <v>45079</v>
      </c>
      <c r="F334" s="10">
        <v>447</v>
      </c>
      <c r="G334" s="10" t="s">
        <v>1066</v>
      </c>
      <c r="H334" s="141">
        <v>5</v>
      </c>
      <c r="I334" s="10" t="s">
        <v>1132</v>
      </c>
      <c r="J334" s="141">
        <f t="shared" si="6"/>
        <v>5</v>
      </c>
    </row>
    <row r="335" spans="1:10">
      <c r="A335" s="14">
        <v>327</v>
      </c>
      <c r="B335" s="9">
        <v>930.2</v>
      </c>
      <c r="C335" s="10" t="s">
        <v>967</v>
      </c>
      <c r="D335" s="10" t="s">
        <v>1042</v>
      </c>
      <c r="E335" s="360">
        <v>45400</v>
      </c>
      <c r="F335" s="10">
        <v>208775</v>
      </c>
      <c r="G335" s="10" t="s">
        <v>1043</v>
      </c>
      <c r="H335" s="141">
        <v>1875</v>
      </c>
      <c r="I335" s="10" t="s">
        <v>1044</v>
      </c>
      <c r="J335" s="141">
        <f t="shared" si="6"/>
        <v>1875</v>
      </c>
    </row>
    <row r="336" spans="1:10">
      <c r="A336" s="14">
        <v>328</v>
      </c>
      <c r="B336" s="9">
        <v>930.2</v>
      </c>
      <c r="C336" s="10" t="s">
        <v>967</v>
      </c>
      <c r="D336" s="10" t="s">
        <v>1042</v>
      </c>
      <c r="E336" s="360">
        <v>45301</v>
      </c>
      <c r="F336" s="10">
        <v>207540</v>
      </c>
      <c r="G336" s="10" t="s">
        <v>1045</v>
      </c>
      <c r="H336" s="141">
        <v>-75</v>
      </c>
      <c r="I336" s="10" t="s">
        <v>1046</v>
      </c>
      <c r="J336" s="141">
        <f t="shared" si="6"/>
        <v>-75</v>
      </c>
    </row>
    <row r="337" spans="1:10">
      <c r="A337" s="14">
        <v>329</v>
      </c>
      <c r="B337" s="9">
        <v>930.2</v>
      </c>
      <c r="C337" s="10" t="s">
        <v>967</v>
      </c>
      <c r="D337" s="10" t="s">
        <v>1042</v>
      </c>
      <c r="E337" s="360">
        <v>45293</v>
      </c>
      <c r="F337" s="10">
        <v>207540</v>
      </c>
      <c r="G337" s="10" t="s">
        <v>1045</v>
      </c>
      <c r="H337" s="141">
        <v>75</v>
      </c>
      <c r="I337" s="10" t="s">
        <v>1047</v>
      </c>
      <c r="J337" s="141">
        <f t="shared" si="6"/>
        <v>75</v>
      </c>
    </row>
    <row r="338" spans="1:10">
      <c r="A338" s="14">
        <v>330</v>
      </c>
      <c r="B338" s="9">
        <v>930.2</v>
      </c>
      <c r="C338" s="10" t="s">
        <v>967</v>
      </c>
      <c r="D338" s="10" t="s">
        <v>1042</v>
      </c>
      <c r="E338" s="360">
        <v>45358</v>
      </c>
      <c r="F338" s="10">
        <v>7728</v>
      </c>
      <c r="G338" s="10" t="s">
        <v>1043</v>
      </c>
      <c r="H338" s="141">
        <v>1275</v>
      </c>
      <c r="I338" s="10" t="s">
        <v>1048</v>
      </c>
      <c r="J338" s="141">
        <f t="shared" si="6"/>
        <v>1275</v>
      </c>
    </row>
    <row r="339" spans="1:10">
      <c r="A339" s="14">
        <v>331</v>
      </c>
      <c r="B339" s="9">
        <v>930.2</v>
      </c>
      <c r="C339" s="10" t="s">
        <v>967</v>
      </c>
      <c r="D339" s="10" t="s">
        <v>1042</v>
      </c>
      <c r="E339" s="360">
        <v>45336</v>
      </c>
      <c r="F339" s="10">
        <v>7703</v>
      </c>
      <c r="G339" s="10" t="s">
        <v>1049</v>
      </c>
      <c r="H339" s="141">
        <v>259.8</v>
      </c>
      <c r="I339" s="10" t="s">
        <v>1030</v>
      </c>
      <c r="J339" s="141">
        <f t="shared" si="6"/>
        <v>259.8</v>
      </c>
    </row>
    <row r="340" spans="1:10">
      <c r="A340" s="14">
        <v>332</v>
      </c>
      <c r="B340" s="9">
        <v>930.2</v>
      </c>
      <c r="C340" s="10" t="s">
        <v>967</v>
      </c>
      <c r="D340" s="10" t="s">
        <v>1042</v>
      </c>
      <c r="E340" s="360">
        <v>45289</v>
      </c>
      <c r="F340" s="10">
        <v>7511</v>
      </c>
      <c r="G340" s="10" t="s">
        <v>1050</v>
      </c>
      <c r="H340" s="141">
        <v>110.2</v>
      </c>
      <c r="I340" s="10" t="s">
        <v>1051</v>
      </c>
      <c r="J340" s="141">
        <f t="shared" si="6"/>
        <v>110.2</v>
      </c>
    </row>
    <row r="341" spans="1:10">
      <c r="A341" s="14">
        <v>333</v>
      </c>
      <c r="B341" s="9">
        <v>930.2</v>
      </c>
      <c r="C341" s="10" t="s">
        <v>967</v>
      </c>
      <c r="D341" s="10" t="s">
        <v>1042</v>
      </c>
      <c r="E341" s="360">
        <v>45418</v>
      </c>
      <c r="F341" s="10">
        <v>1072</v>
      </c>
      <c r="G341" s="10" t="s">
        <v>741</v>
      </c>
      <c r="H341" s="141">
        <v>105</v>
      </c>
      <c r="I341" s="10" t="s">
        <v>1052</v>
      </c>
      <c r="J341" s="141">
        <f t="shared" si="6"/>
        <v>105</v>
      </c>
    </row>
    <row r="342" spans="1:10">
      <c r="A342" s="14">
        <v>334</v>
      </c>
      <c r="B342" s="9">
        <v>930.2</v>
      </c>
      <c r="C342" s="10" t="s">
        <v>967</v>
      </c>
      <c r="D342" s="10" t="s">
        <v>1042</v>
      </c>
      <c r="E342" s="360">
        <v>45418</v>
      </c>
      <c r="F342" s="10">
        <v>1053</v>
      </c>
      <c r="G342" s="10" t="s">
        <v>772</v>
      </c>
      <c r="H342" s="141">
        <v>341.05</v>
      </c>
      <c r="I342" s="10" t="s">
        <v>1030</v>
      </c>
      <c r="J342" s="141">
        <f t="shared" si="6"/>
        <v>341.05</v>
      </c>
    </row>
    <row r="343" spans="1:10">
      <c r="A343" s="14">
        <v>335</v>
      </c>
      <c r="B343" s="9">
        <v>930.2</v>
      </c>
      <c r="C343" s="10" t="s">
        <v>967</v>
      </c>
      <c r="D343" s="10" t="s">
        <v>1042</v>
      </c>
      <c r="E343" s="360">
        <v>45392</v>
      </c>
      <c r="F343" s="10">
        <v>1028</v>
      </c>
      <c r="G343" s="10" t="s">
        <v>1007</v>
      </c>
      <c r="H343" s="141">
        <v>115.85</v>
      </c>
      <c r="I343" s="10" t="s">
        <v>1030</v>
      </c>
      <c r="J343" s="141">
        <f t="shared" si="6"/>
        <v>115.85</v>
      </c>
    </row>
    <row r="344" spans="1:10">
      <c r="A344" s="14">
        <v>336</v>
      </c>
      <c r="B344" s="9">
        <v>930.2</v>
      </c>
      <c r="C344" s="10" t="s">
        <v>967</v>
      </c>
      <c r="D344" s="10" t="s">
        <v>1042</v>
      </c>
      <c r="E344" s="360">
        <v>45390</v>
      </c>
      <c r="F344" s="10">
        <v>1020</v>
      </c>
      <c r="G344" s="10" t="s">
        <v>1053</v>
      </c>
      <c r="H344" s="141">
        <v>240.54</v>
      </c>
      <c r="I344" s="10" t="s">
        <v>1030</v>
      </c>
      <c r="J344" s="141">
        <f t="shared" si="6"/>
        <v>240.54</v>
      </c>
    </row>
    <row r="345" spans="1:10">
      <c r="A345" s="14">
        <v>337</v>
      </c>
      <c r="B345" s="9">
        <v>930.2</v>
      </c>
      <c r="C345" s="10" t="s">
        <v>967</v>
      </c>
      <c r="D345" s="10" t="s">
        <v>1042</v>
      </c>
      <c r="E345" s="360">
        <v>45390</v>
      </c>
      <c r="F345" s="10">
        <v>985</v>
      </c>
      <c r="G345" s="10" t="s">
        <v>772</v>
      </c>
      <c r="H345" s="141">
        <v>197.45</v>
      </c>
      <c r="I345" s="10" t="s">
        <v>1037</v>
      </c>
      <c r="J345" s="141">
        <f t="shared" si="6"/>
        <v>197.45</v>
      </c>
    </row>
    <row r="346" spans="1:10">
      <c r="A346" s="14">
        <v>338</v>
      </c>
      <c r="B346" s="9">
        <v>930.2</v>
      </c>
      <c r="C346" s="10" t="s">
        <v>967</v>
      </c>
      <c r="D346" s="10" t="s">
        <v>1042</v>
      </c>
      <c r="E346" s="360">
        <v>45357</v>
      </c>
      <c r="F346" s="10">
        <v>970</v>
      </c>
      <c r="G346" s="10" t="s">
        <v>1054</v>
      </c>
      <c r="H346" s="141">
        <v>35.53</v>
      </c>
      <c r="I346" s="10" t="s">
        <v>1055</v>
      </c>
      <c r="J346" s="141">
        <f t="shared" si="6"/>
        <v>35.53</v>
      </c>
    </row>
    <row r="347" spans="1:10">
      <c r="A347" s="14">
        <v>339</v>
      </c>
      <c r="B347" s="9">
        <v>930.2</v>
      </c>
      <c r="C347" s="10" t="s">
        <v>967</v>
      </c>
      <c r="D347" s="10" t="s">
        <v>1042</v>
      </c>
      <c r="E347" s="360">
        <v>45357</v>
      </c>
      <c r="F347" s="10">
        <v>969</v>
      </c>
      <c r="G347" s="10" t="s">
        <v>741</v>
      </c>
      <c r="H347" s="141">
        <v>75.349999999999994</v>
      </c>
      <c r="I347" s="10" t="s">
        <v>1030</v>
      </c>
      <c r="J347" s="141">
        <f t="shared" si="6"/>
        <v>75.349999999999994</v>
      </c>
    </row>
    <row r="348" spans="1:10">
      <c r="A348" s="14">
        <v>340</v>
      </c>
      <c r="B348" s="9">
        <v>930.2</v>
      </c>
      <c r="C348" s="10" t="s">
        <v>967</v>
      </c>
      <c r="D348" s="10" t="s">
        <v>1042</v>
      </c>
      <c r="E348" s="360">
        <v>45351</v>
      </c>
      <c r="F348" s="10">
        <v>958</v>
      </c>
      <c r="G348" s="10" t="s">
        <v>1007</v>
      </c>
      <c r="H348" s="141">
        <v>41.99</v>
      </c>
      <c r="I348" s="10" t="s">
        <v>1030</v>
      </c>
      <c r="J348" s="141">
        <f t="shared" si="6"/>
        <v>41.99</v>
      </c>
    </row>
    <row r="349" spans="1:10">
      <c r="A349" s="14">
        <v>341</v>
      </c>
      <c r="B349" s="9">
        <v>930.2</v>
      </c>
      <c r="C349" s="10" t="s">
        <v>967</v>
      </c>
      <c r="D349" s="10" t="s">
        <v>1042</v>
      </c>
      <c r="E349" s="360">
        <v>45351</v>
      </c>
      <c r="F349" s="10">
        <v>958</v>
      </c>
      <c r="G349" s="10" t="s">
        <v>1007</v>
      </c>
      <c r="H349" s="141">
        <v>99.94</v>
      </c>
      <c r="I349" s="10" t="s">
        <v>1030</v>
      </c>
      <c r="J349" s="141">
        <f t="shared" si="6"/>
        <v>99.94</v>
      </c>
    </row>
    <row r="350" spans="1:10">
      <c r="A350" s="14">
        <v>342</v>
      </c>
      <c r="B350" s="9">
        <v>930.2</v>
      </c>
      <c r="C350" s="10" t="s">
        <v>967</v>
      </c>
      <c r="D350" s="10" t="s">
        <v>1042</v>
      </c>
      <c r="E350" s="360">
        <v>45357</v>
      </c>
      <c r="F350" s="10">
        <v>951</v>
      </c>
      <c r="G350" s="10" t="s">
        <v>1006</v>
      </c>
      <c r="H350" s="141">
        <v>233.95</v>
      </c>
      <c r="I350" s="10" t="s">
        <v>1037</v>
      </c>
      <c r="J350" s="141">
        <f t="shared" si="6"/>
        <v>233.95</v>
      </c>
    </row>
    <row r="351" spans="1:10">
      <c r="A351" s="14">
        <v>343</v>
      </c>
      <c r="B351" s="9">
        <v>930.2</v>
      </c>
      <c r="C351" s="10" t="s">
        <v>967</v>
      </c>
      <c r="D351" s="10" t="s">
        <v>1042</v>
      </c>
      <c r="E351" s="360">
        <v>45357</v>
      </c>
      <c r="F351" s="10">
        <v>949</v>
      </c>
      <c r="G351" s="10" t="s">
        <v>772</v>
      </c>
      <c r="H351" s="141">
        <v>8.9600000000000009</v>
      </c>
      <c r="I351" s="10" t="s">
        <v>1037</v>
      </c>
      <c r="J351" s="141">
        <f t="shared" si="6"/>
        <v>8.9600000000000009</v>
      </c>
    </row>
    <row r="352" spans="1:10">
      <c r="A352" s="14">
        <v>344</v>
      </c>
      <c r="B352" s="9">
        <v>930.2</v>
      </c>
      <c r="C352" s="10" t="s">
        <v>967</v>
      </c>
      <c r="D352" s="10" t="s">
        <v>1042</v>
      </c>
      <c r="E352" s="360">
        <v>45357</v>
      </c>
      <c r="F352" s="10">
        <v>949</v>
      </c>
      <c r="G352" s="10" t="s">
        <v>772</v>
      </c>
      <c r="H352" s="141">
        <v>49.95</v>
      </c>
      <c r="I352" s="10" t="s">
        <v>1056</v>
      </c>
      <c r="J352" s="141">
        <f t="shared" si="6"/>
        <v>49.95</v>
      </c>
    </row>
    <row r="353" spans="1:10">
      <c r="A353" s="14">
        <v>345</v>
      </c>
      <c r="B353" s="9">
        <v>930.2</v>
      </c>
      <c r="C353" s="10" t="s">
        <v>967</v>
      </c>
      <c r="D353" s="10" t="s">
        <v>1042</v>
      </c>
      <c r="E353" s="360">
        <v>45357</v>
      </c>
      <c r="F353" s="10">
        <v>949</v>
      </c>
      <c r="G353" s="10" t="s">
        <v>772</v>
      </c>
      <c r="H353" s="141">
        <v>215.4</v>
      </c>
      <c r="I353" s="10" t="s">
        <v>1057</v>
      </c>
      <c r="J353" s="141">
        <f t="shared" si="6"/>
        <v>215.4</v>
      </c>
    </row>
    <row r="354" spans="1:10">
      <c r="A354" s="14">
        <v>346</v>
      </c>
      <c r="B354" s="9">
        <v>930.2</v>
      </c>
      <c r="C354" s="10" t="s">
        <v>967</v>
      </c>
      <c r="D354" s="10" t="s">
        <v>1042</v>
      </c>
      <c r="E354" s="360">
        <v>45357</v>
      </c>
      <c r="F354" s="10">
        <v>949</v>
      </c>
      <c r="G354" s="10" t="s">
        <v>772</v>
      </c>
      <c r="H354" s="141">
        <v>700</v>
      </c>
      <c r="I354" s="10" t="s">
        <v>1058</v>
      </c>
      <c r="J354" s="141">
        <f t="shared" si="6"/>
        <v>700</v>
      </c>
    </row>
    <row r="355" spans="1:10">
      <c r="A355" s="14">
        <v>347</v>
      </c>
      <c r="B355" s="9">
        <v>930.2</v>
      </c>
      <c r="C355" s="10" t="s">
        <v>967</v>
      </c>
      <c r="D355" s="10" t="s">
        <v>1042</v>
      </c>
      <c r="E355" s="360">
        <v>45357</v>
      </c>
      <c r="F355" s="10">
        <v>940</v>
      </c>
      <c r="G355" s="10" t="s">
        <v>740</v>
      </c>
      <c r="H355" s="141">
        <v>228.89</v>
      </c>
      <c r="I355" s="10" t="s">
        <v>1058</v>
      </c>
      <c r="J355" s="141">
        <f t="shared" si="6"/>
        <v>228.89</v>
      </c>
    </row>
    <row r="356" spans="1:10">
      <c r="A356" s="14">
        <v>348</v>
      </c>
      <c r="B356" s="9">
        <v>930.2</v>
      </c>
      <c r="C356" s="10" t="s">
        <v>967</v>
      </c>
      <c r="D356" s="10" t="s">
        <v>1042</v>
      </c>
      <c r="E356" s="360">
        <v>45329</v>
      </c>
      <c r="F356" s="10">
        <v>912</v>
      </c>
      <c r="G356" s="10" t="s">
        <v>1007</v>
      </c>
      <c r="H356" s="141">
        <v>95.94</v>
      </c>
      <c r="I356" s="10" t="s">
        <v>1059</v>
      </c>
      <c r="J356" s="141">
        <f t="shared" si="6"/>
        <v>95.94</v>
      </c>
    </row>
    <row r="357" spans="1:10">
      <c r="A357" s="14">
        <v>349</v>
      </c>
      <c r="B357" s="9">
        <v>930.2</v>
      </c>
      <c r="C357" s="10" t="s">
        <v>967</v>
      </c>
      <c r="D357" s="10" t="s">
        <v>1042</v>
      </c>
      <c r="E357" s="360">
        <v>45328</v>
      </c>
      <c r="F357" s="10">
        <v>908</v>
      </c>
      <c r="G357" s="10" t="s">
        <v>741</v>
      </c>
      <c r="H357" s="141">
        <v>90</v>
      </c>
      <c r="I357" s="10" t="s">
        <v>1030</v>
      </c>
      <c r="J357" s="141">
        <f t="shared" si="6"/>
        <v>90</v>
      </c>
    </row>
    <row r="358" spans="1:10">
      <c r="A358" s="14">
        <v>350</v>
      </c>
      <c r="B358" s="9">
        <v>930.2</v>
      </c>
      <c r="C358" s="10" t="s">
        <v>967</v>
      </c>
      <c r="D358" s="10" t="s">
        <v>1042</v>
      </c>
      <c r="E358" s="360">
        <v>45328</v>
      </c>
      <c r="F358" s="10">
        <v>900</v>
      </c>
      <c r="G358" s="10" t="s">
        <v>772</v>
      </c>
      <c r="H358" s="141">
        <v>53.85</v>
      </c>
      <c r="I358" s="10" t="s">
        <v>1057</v>
      </c>
      <c r="J358" s="141">
        <f t="shared" si="6"/>
        <v>53.85</v>
      </c>
    </row>
    <row r="359" spans="1:10">
      <c r="A359" s="14">
        <v>351</v>
      </c>
      <c r="B359" s="9">
        <v>930.2</v>
      </c>
      <c r="C359" s="10" t="s">
        <v>967</v>
      </c>
      <c r="D359" s="10" t="s">
        <v>1042</v>
      </c>
      <c r="E359" s="360">
        <v>45299</v>
      </c>
      <c r="F359" s="10">
        <v>886</v>
      </c>
      <c r="G359" s="10" t="s">
        <v>1007</v>
      </c>
      <c r="H359" s="141">
        <v>53</v>
      </c>
      <c r="I359" s="10" t="s">
        <v>1030</v>
      </c>
      <c r="J359" s="141">
        <f t="shared" si="6"/>
        <v>53</v>
      </c>
    </row>
    <row r="360" spans="1:10">
      <c r="A360" s="14">
        <v>352</v>
      </c>
      <c r="B360" s="9">
        <v>930.2</v>
      </c>
      <c r="C360" s="10" t="s">
        <v>967</v>
      </c>
      <c r="D360" s="10" t="s">
        <v>1042</v>
      </c>
      <c r="E360" s="360">
        <v>45299</v>
      </c>
      <c r="F360" s="10">
        <v>885</v>
      </c>
      <c r="G360" s="10" t="s">
        <v>1007</v>
      </c>
      <c r="H360" s="141">
        <v>23.28</v>
      </c>
      <c r="I360" s="10" t="s">
        <v>1030</v>
      </c>
      <c r="J360" s="141">
        <f t="shared" si="6"/>
        <v>23.28</v>
      </c>
    </row>
    <row r="361" spans="1:10">
      <c r="A361" s="14">
        <v>353</v>
      </c>
      <c r="B361" s="9">
        <v>930.2</v>
      </c>
      <c r="C361" s="10" t="s">
        <v>967</v>
      </c>
      <c r="D361" s="10" t="s">
        <v>1042</v>
      </c>
      <c r="E361" s="360">
        <v>45299</v>
      </c>
      <c r="F361" s="10">
        <v>873</v>
      </c>
      <c r="G361" s="10" t="s">
        <v>1060</v>
      </c>
      <c r="H361" s="141">
        <v>29.13</v>
      </c>
      <c r="I361" s="10" t="s">
        <v>1061</v>
      </c>
      <c r="J361" s="141">
        <f t="shared" si="6"/>
        <v>29.13</v>
      </c>
    </row>
    <row r="362" spans="1:10">
      <c r="A362" s="14">
        <v>354</v>
      </c>
      <c r="B362" s="9">
        <v>930.2</v>
      </c>
      <c r="C362" s="10" t="s">
        <v>967</v>
      </c>
      <c r="D362" s="10" t="s">
        <v>1042</v>
      </c>
      <c r="E362" s="360">
        <v>45299</v>
      </c>
      <c r="F362" s="10">
        <v>872</v>
      </c>
      <c r="G362" s="10" t="s">
        <v>1062</v>
      </c>
      <c r="H362" s="141">
        <v>277.79000000000002</v>
      </c>
      <c r="I362" s="10" t="s">
        <v>1063</v>
      </c>
      <c r="J362" s="141">
        <f t="shared" si="6"/>
        <v>277.79000000000002</v>
      </c>
    </row>
    <row r="363" spans="1:10">
      <c r="A363" s="14">
        <v>355</v>
      </c>
      <c r="B363" s="9">
        <v>930.2</v>
      </c>
      <c r="C363" s="10" t="s">
        <v>967</v>
      </c>
      <c r="D363" s="10" t="s">
        <v>1042</v>
      </c>
      <c r="E363" s="360">
        <v>45299</v>
      </c>
      <c r="F363" s="10">
        <v>861</v>
      </c>
      <c r="G363" s="10" t="s">
        <v>772</v>
      </c>
      <c r="H363" s="141">
        <v>21.95</v>
      </c>
      <c r="I363" s="10" t="s">
        <v>1037</v>
      </c>
      <c r="J363" s="141">
        <f t="shared" si="6"/>
        <v>21.95</v>
      </c>
    </row>
    <row r="364" spans="1:10">
      <c r="A364" s="14">
        <v>356</v>
      </c>
      <c r="B364" s="9">
        <v>930.2</v>
      </c>
      <c r="C364" s="10" t="s">
        <v>967</v>
      </c>
      <c r="D364" s="10" t="s">
        <v>1042</v>
      </c>
      <c r="E364" s="360">
        <v>45299</v>
      </c>
      <c r="F364" s="10">
        <v>861</v>
      </c>
      <c r="G364" s="10" t="s">
        <v>772</v>
      </c>
      <c r="H364" s="141">
        <v>197.45</v>
      </c>
      <c r="I364" s="10" t="s">
        <v>1057</v>
      </c>
      <c r="J364" s="141">
        <f t="shared" si="6"/>
        <v>197.45</v>
      </c>
    </row>
    <row r="365" spans="1:10">
      <c r="A365" s="14">
        <v>357</v>
      </c>
      <c r="B365" s="9">
        <v>930.2</v>
      </c>
      <c r="C365" s="10" t="s">
        <v>967</v>
      </c>
      <c r="D365" s="10" t="s">
        <v>1042</v>
      </c>
      <c r="E365" s="360">
        <v>45299</v>
      </c>
      <c r="F365" s="10">
        <v>855</v>
      </c>
      <c r="G365" s="10" t="s">
        <v>1064</v>
      </c>
      <c r="H365" s="141">
        <v>99.71</v>
      </c>
      <c r="I365" s="10" t="s">
        <v>1065</v>
      </c>
      <c r="J365" s="141">
        <f t="shared" si="6"/>
        <v>99.71</v>
      </c>
    </row>
    <row r="366" spans="1:10">
      <c r="A366" s="14">
        <v>358</v>
      </c>
      <c r="B366" s="9">
        <v>930.2</v>
      </c>
      <c r="C366" s="10" t="s">
        <v>967</v>
      </c>
      <c r="D366" s="10" t="s">
        <v>1042</v>
      </c>
      <c r="E366" s="360">
        <v>45276</v>
      </c>
      <c r="F366" s="10">
        <v>850</v>
      </c>
      <c r="G366" s="10" t="s">
        <v>1066</v>
      </c>
      <c r="H366" s="141">
        <v>1453.7</v>
      </c>
      <c r="I366" s="10" t="s">
        <v>1067</v>
      </c>
      <c r="J366" s="141">
        <f t="shared" si="6"/>
        <v>1453.7</v>
      </c>
    </row>
    <row r="367" spans="1:10">
      <c r="A367" s="14">
        <v>359</v>
      </c>
      <c r="B367" s="9">
        <v>930.2</v>
      </c>
      <c r="C367" s="10" t="s">
        <v>967</v>
      </c>
      <c r="D367" s="10" t="s">
        <v>1042</v>
      </c>
      <c r="E367" s="360">
        <v>45266</v>
      </c>
      <c r="F367" s="10">
        <v>833</v>
      </c>
      <c r="G367" s="10" t="s">
        <v>1033</v>
      </c>
      <c r="H367" s="141">
        <v>229.61</v>
      </c>
      <c r="I367" s="10" t="s">
        <v>1068</v>
      </c>
      <c r="J367" s="141">
        <f t="shared" si="6"/>
        <v>229.61</v>
      </c>
    </row>
    <row r="368" spans="1:10">
      <c r="A368" s="14">
        <v>360</v>
      </c>
      <c r="B368" s="9">
        <v>930.2</v>
      </c>
      <c r="C368" s="10" t="s">
        <v>967</v>
      </c>
      <c r="D368" s="10" t="s">
        <v>1042</v>
      </c>
      <c r="E368" s="360">
        <v>45266</v>
      </c>
      <c r="F368" s="10">
        <v>821</v>
      </c>
      <c r="G368" s="10" t="s">
        <v>772</v>
      </c>
      <c r="H368" s="141">
        <v>241.4</v>
      </c>
      <c r="I368" s="10" t="s">
        <v>1030</v>
      </c>
      <c r="J368" s="141">
        <f t="shared" si="6"/>
        <v>241.4</v>
      </c>
    </row>
    <row r="369" spans="1:10">
      <c r="A369" s="14">
        <v>361</v>
      </c>
      <c r="B369" s="9">
        <v>930.2</v>
      </c>
      <c r="C369" s="10" t="s">
        <v>967</v>
      </c>
      <c r="D369" s="10" t="s">
        <v>1042</v>
      </c>
      <c r="E369" s="360">
        <v>45266</v>
      </c>
      <c r="F369" s="10">
        <v>821</v>
      </c>
      <c r="G369" s="10" t="s">
        <v>772</v>
      </c>
      <c r="H369" s="141">
        <v>650</v>
      </c>
      <c r="I369" s="10" t="s">
        <v>1068</v>
      </c>
      <c r="J369" s="141">
        <f t="shared" si="6"/>
        <v>650</v>
      </c>
    </row>
    <row r="370" spans="1:10">
      <c r="A370" s="14">
        <v>362</v>
      </c>
      <c r="B370" s="9">
        <v>930.2</v>
      </c>
      <c r="C370" s="10" t="s">
        <v>967</v>
      </c>
      <c r="D370" s="10" t="s">
        <v>1042</v>
      </c>
      <c r="E370" s="360">
        <v>45266</v>
      </c>
      <c r="F370" s="10">
        <v>817</v>
      </c>
      <c r="G370" s="10" t="s">
        <v>740</v>
      </c>
      <c r="H370" s="141">
        <v>189.83</v>
      </c>
      <c r="I370" s="10" t="s">
        <v>1068</v>
      </c>
      <c r="J370" s="141">
        <f t="shared" si="6"/>
        <v>189.83</v>
      </c>
    </row>
    <row r="371" spans="1:10">
      <c r="A371" s="14">
        <v>363</v>
      </c>
      <c r="B371" s="9">
        <v>930.2</v>
      </c>
      <c r="C371" s="10" t="s">
        <v>967</v>
      </c>
      <c r="D371" s="10" t="s">
        <v>1042</v>
      </c>
      <c r="E371" s="360">
        <v>45236</v>
      </c>
      <c r="F371" s="10">
        <v>784</v>
      </c>
      <c r="G371" s="10" t="s">
        <v>772</v>
      </c>
      <c r="H371" s="141">
        <v>143.6</v>
      </c>
      <c r="I371" s="10" t="s">
        <v>1030</v>
      </c>
      <c r="J371" s="141">
        <f t="shared" si="6"/>
        <v>143.6</v>
      </c>
    </row>
    <row r="372" spans="1:10">
      <c r="A372" s="14">
        <v>364</v>
      </c>
      <c r="B372" s="9">
        <v>930.2</v>
      </c>
      <c r="C372" s="10" t="s">
        <v>967</v>
      </c>
      <c r="D372" s="10" t="s">
        <v>1042</v>
      </c>
      <c r="E372" s="360">
        <v>45205</v>
      </c>
      <c r="F372" s="10">
        <v>724</v>
      </c>
      <c r="G372" s="10" t="s">
        <v>772</v>
      </c>
      <c r="H372" s="141">
        <v>197.45</v>
      </c>
      <c r="I372" s="10" t="s">
        <v>1037</v>
      </c>
      <c r="J372" s="141">
        <f t="shared" si="6"/>
        <v>197.45</v>
      </c>
    </row>
    <row r="373" spans="1:10">
      <c r="A373" s="14">
        <v>365</v>
      </c>
      <c r="B373" s="9">
        <v>930.2</v>
      </c>
      <c r="C373" s="10" t="s">
        <v>967</v>
      </c>
      <c r="D373" s="10" t="s">
        <v>1042</v>
      </c>
      <c r="E373" s="360">
        <v>45175</v>
      </c>
      <c r="F373" s="10">
        <v>675</v>
      </c>
      <c r="G373" s="10" t="s">
        <v>772</v>
      </c>
      <c r="H373" s="141">
        <v>179.5</v>
      </c>
      <c r="I373" s="10" t="s">
        <v>1030</v>
      </c>
      <c r="J373" s="141">
        <f t="shared" si="6"/>
        <v>179.5</v>
      </c>
    </row>
    <row r="374" spans="1:10">
      <c r="A374" s="14">
        <v>366</v>
      </c>
      <c r="B374" s="9">
        <v>930.2</v>
      </c>
      <c r="C374" s="10" t="s">
        <v>967</v>
      </c>
      <c r="D374" s="10" t="s">
        <v>1042</v>
      </c>
      <c r="E374" s="360">
        <v>45145</v>
      </c>
      <c r="F374" s="10">
        <v>634</v>
      </c>
      <c r="G374" s="10" t="s">
        <v>772</v>
      </c>
      <c r="H374" s="141">
        <v>-125.65</v>
      </c>
      <c r="I374" s="10" t="s">
        <v>1037</v>
      </c>
      <c r="J374" s="141">
        <f t="shared" si="6"/>
        <v>-125.65</v>
      </c>
    </row>
    <row r="375" spans="1:10">
      <c r="A375" s="14">
        <v>367</v>
      </c>
      <c r="B375" s="9">
        <v>930.2</v>
      </c>
      <c r="C375" s="10" t="s">
        <v>967</v>
      </c>
      <c r="D375" s="10" t="s">
        <v>1042</v>
      </c>
      <c r="E375" s="360">
        <v>45145</v>
      </c>
      <c r="F375" s="10">
        <v>634</v>
      </c>
      <c r="G375" s="10" t="s">
        <v>772</v>
      </c>
      <c r="H375" s="141">
        <v>197.45</v>
      </c>
      <c r="I375" s="10" t="s">
        <v>1037</v>
      </c>
      <c r="J375" s="141">
        <f t="shared" si="6"/>
        <v>197.45</v>
      </c>
    </row>
    <row r="376" spans="1:10">
      <c r="A376" s="14">
        <v>368</v>
      </c>
      <c r="B376" s="9">
        <v>930.2</v>
      </c>
      <c r="C376" s="10" t="s">
        <v>967</v>
      </c>
      <c r="D376" s="10" t="s">
        <v>1069</v>
      </c>
      <c r="E376" s="360">
        <v>45441</v>
      </c>
      <c r="F376" s="10">
        <v>209178</v>
      </c>
      <c r="G376" s="10" t="s">
        <v>1070</v>
      </c>
      <c r="H376" s="141">
        <v>10790.8</v>
      </c>
      <c r="I376" s="10" t="s">
        <v>1071</v>
      </c>
      <c r="J376" s="141">
        <f t="shared" si="6"/>
        <v>10790.8</v>
      </c>
    </row>
    <row r="377" spans="1:10">
      <c r="A377" s="14">
        <v>369</v>
      </c>
      <c r="B377" s="9">
        <v>930.2</v>
      </c>
      <c r="C377" s="10" t="s">
        <v>967</v>
      </c>
      <c r="D377" s="10" t="s">
        <v>1069</v>
      </c>
      <c r="E377" s="360">
        <v>45246</v>
      </c>
      <c r="F377" s="10">
        <v>827</v>
      </c>
      <c r="G377" s="10" t="s">
        <v>1012</v>
      </c>
      <c r="H377" s="141">
        <v>200.34</v>
      </c>
      <c r="I377" s="10" t="s">
        <v>1072</v>
      </c>
      <c r="J377" s="141">
        <f t="shared" si="6"/>
        <v>200.34</v>
      </c>
    </row>
    <row r="378" spans="1:10">
      <c r="A378" s="14">
        <v>370</v>
      </c>
      <c r="B378" s="9">
        <v>930.2</v>
      </c>
      <c r="C378" s="10" t="s">
        <v>967</v>
      </c>
      <c r="D378" s="10" t="s">
        <v>1069</v>
      </c>
      <c r="E378" s="360">
        <v>45266</v>
      </c>
      <c r="F378" s="10">
        <v>817</v>
      </c>
      <c r="G378" s="10" t="s">
        <v>740</v>
      </c>
      <c r="H378" s="141">
        <v>63.6</v>
      </c>
      <c r="I378" s="10" t="s">
        <v>1072</v>
      </c>
      <c r="J378" s="141">
        <f t="shared" si="6"/>
        <v>63.6</v>
      </c>
    </row>
    <row r="379" spans="1:10">
      <c r="A379" s="14">
        <v>371</v>
      </c>
      <c r="B379" s="9">
        <v>930.2</v>
      </c>
      <c r="C379" s="10" t="s">
        <v>967</v>
      </c>
      <c r="D379" s="10" t="s">
        <v>1069</v>
      </c>
      <c r="E379" s="360">
        <v>45261</v>
      </c>
      <c r="F379" s="10">
        <v>809</v>
      </c>
      <c r="G379" s="10" t="s">
        <v>1017</v>
      </c>
      <c r="H379" s="141">
        <v>169.6</v>
      </c>
      <c r="I379" s="10" t="s">
        <v>1072</v>
      </c>
      <c r="J379" s="141">
        <f t="shared" si="6"/>
        <v>169.6</v>
      </c>
    </row>
    <row r="380" spans="1:10">
      <c r="A380" s="14">
        <v>372</v>
      </c>
      <c r="B380" s="9">
        <v>930.2</v>
      </c>
      <c r="C380" s="10" t="s">
        <v>967</v>
      </c>
      <c r="D380" s="10" t="s">
        <v>1069</v>
      </c>
      <c r="E380" s="360">
        <v>45083</v>
      </c>
      <c r="F380" s="10">
        <v>474</v>
      </c>
      <c r="G380" s="10" t="s">
        <v>772</v>
      </c>
      <c r="H380" s="141">
        <v>197.45</v>
      </c>
      <c r="I380" s="10" t="s">
        <v>279</v>
      </c>
      <c r="J380" s="141">
        <f t="shared" si="6"/>
        <v>197.45</v>
      </c>
    </row>
    <row r="381" spans="1:10">
      <c r="A381" s="14">
        <v>373</v>
      </c>
      <c r="B381" s="9">
        <v>930.2</v>
      </c>
      <c r="C381" s="10" t="s">
        <v>967</v>
      </c>
      <c r="D381" s="10" t="s">
        <v>1073</v>
      </c>
      <c r="E381" s="360">
        <v>45443</v>
      </c>
      <c r="F381" s="10">
        <v>209111</v>
      </c>
      <c r="G381" s="10" t="s">
        <v>1074</v>
      </c>
      <c r="H381" s="141">
        <v>174</v>
      </c>
      <c r="I381" s="10" t="s">
        <v>1075</v>
      </c>
    </row>
    <row r="382" spans="1:10">
      <c r="A382" s="14">
        <v>374</v>
      </c>
      <c r="B382" s="9">
        <v>930.2</v>
      </c>
      <c r="C382" s="10" t="s">
        <v>967</v>
      </c>
      <c r="D382" s="10" t="s">
        <v>1073</v>
      </c>
      <c r="E382" s="360">
        <v>45443</v>
      </c>
      <c r="F382" s="10">
        <v>209108</v>
      </c>
      <c r="G382" s="10" t="s">
        <v>840</v>
      </c>
      <c r="H382" s="141">
        <v>178.75</v>
      </c>
      <c r="I382" s="10" t="s">
        <v>1076</v>
      </c>
    </row>
    <row r="383" spans="1:10">
      <c r="A383" s="14">
        <v>375</v>
      </c>
      <c r="B383" s="9">
        <v>930.2</v>
      </c>
      <c r="C383" s="10" t="s">
        <v>967</v>
      </c>
      <c r="D383" s="10" t="s">
        <v>1073</v>
      </c>
      <c r="E383" s="360">
        <v>45352</v>
      </c>
      <c r="F383" s="10">
        <v>208391</v>
      </c>
      <c r="G383" s="10" t="s">
        <v>1077</v>
      </c>
      <c r="H383" s="141">
        <v>350</v>
      </c>
      <c r="I383" s="10" t="s">
        <v>1078</v>
      </c>
    </row>
    <row r="384" spans="1:10">
      <c r="A384" s="14">
        <v>376</v>
      </c>
      <c r="B384" s="9">
        <v>930.2</v>
      </c>
      <c r="C384" s="10" t="s">
        <v>967</v>
      </c>
      <c r="D384" s="10" t="s">
        <v>1073</v>
      </c>
      <c r="E384" s="360">
        <v>45352</v>
      </c>
      <c r="F384" s="10">
        <v>208389</v>
      </c>
      <c r="G384" s="10" t="s">
        <v>1079</v>
      </c>
      <c r="H384" s="141">
        <v>550</v>
      </c>
      <c r="I384" s="10" t="s">
        <v>1078</v>
      </c>
    </row>
    <row r="385" spans="1:9">
      <c r="A385" s="14">
        <v>377</v>
      </c>
      <c r="B385" s="9">
        <v>930.2</v>
      </c>
      <c r="C385" s="10" t="s">
        <v>967</v>
      </c>
      <c r="D385" s="10" t="s">
        <v>1073</v>
      </c>
      <c r="E385" s="360">
        <v>45352</v>
      </c>
      <c r="F385" s="10">
        <v>208388</v>
      </c>
      <c r="G385" s="10" t="s">
        <v>1080</v>
      </c>
      <c r="H385" s="141">
        <v>417</v>
      </c>
      <c r="I385" s="10" t="s">
        <v>1078</v>
      </c>
    </row>
    <row r="386" spans="1:9">
      <c r="A386" s="14">
        <v>378</v>
      </c>
      <c r="B386" s="9">
        <v>930.2</v>
      </c>
      <c r="C386" s="10" t="s">
        <v>967</v>
      </c>
      <c r="D386" s="10" t="s">
        <v>1073</v>
      </c>
      <c r="E386" s="360">
        <v>45224</v>
      </c>
      <c r="F386" s="10">
        <v>206888</v>
      </c>
      <c r="G386" s="10" t="s">
        <v>1081</v>
      </c>
      <c r="H386" s="141">
        <v>248.39</v>
      </c>
      <c r="I386" s="10" t="s">
        <v>1082</v>
      </c>
    </row>
    <row r="387" spans="1:9">
      <c r="A387" s="14">
        <v>379</v>
      </c>
      <c r="B387" s="9">
        <v>930.2</v>
      </c>
      <c r="C387" s="10" t="s">
        <v>967</v>
      </c>
      <c r="D387" s="10" t="s">
        <v>1073</v>
      </c>
      <c r="E387" s="360">
        <v>45141</v>
      </c>
      <c r="F387" s="10">
        <v>206152</v>
      </c>
      <c r="G387" s="10" t="s">
        <v>1077</v>
      </c>
      <c r="H387" s="141">
        <v>1700</v>
      </c>
      <c r="I387" s="10" t="s">
        <v>1078</v>
      </c>
    </row>
    <row r="388" spans="1:9">
      <c r="A388" s="14">
        <v>380</v>
      </c>
      <c r="B388" s="9">
        <v>930.2</v>
      </c>
      <c r="C388" s="10" t="s">
        <v>967</v>
      </c>
      <c r="D388" s="10" t="s">
        <v>1073</v>
      </c>
      <c r="E388" s="360">
        <v>45141</v>
      </c>
      <c r="F388" s="10">
        <v>206151</v>
      </c>
      <c r="G388" s="10" t="s">
        <v>1079</v>
      </c>
      <c r="H388" s="141">
        <v>1900</v>
      </c>
      <c r="I388" s="10" t="s">
        <v>1078</v>
      </c>
    </row>
    <row r="389" spans="1:9">
      <c r="A389" s="14">
        <v>381</v>
      </c>
      <c r="B389" s="9">
        <v>930.2</v>
      </c>
      <c r="C389" s="10" t="s">
        <v>967</v>
      </c>
      <c r="D389" s="10" t="s">
        <v>1073</v>
      </c>
      <c r="E389" s="360">
        <v>45141</v>
      </c>
      <c r="F389" s="10">
        <v>206150</v>
      </c>
      <c r="G389" s="10" t="s">
        <v>1080</v>
      </c>
      <c r="H389" s="141">
        <v>1831</v>
      </c>
      <c r="I389" s="10" t="s">
        <v>1078</v>
      </c>
    </row>
    <row r="390" spans="1:9">
      <c r="A390" s="14">
        <v>382</v>
      </c>
      <c r="B390" s="9">
        <v>930.2</v>
      </c>
      <c r="C390" s="10" t="s">
        <v>967</v>
      </c>
      <c r="D390" s="10" t="s">
        <v>1073</v>
      </c>
      <c r="E390" s="360">
        <v>45110</v>
      </c>
      <c r="F390" s="10">
        <v>205981</v>
      </c>
      <c r="G390" s="10" t="s">
        <v>1083</v>
      </c>
      <c r="H390" s="141">
        <v>559</v>
      </c>
      <c r="I390" s="10" t="s">
        <v>1084</v>
      </c>
    </row>
    <row r="391" spans="1:9">
      <c r="A391" s="14">
        <v>383</v>
      </c>
      <c r="B391" s="9">
        <v>930.2</v>
      </c>
      <c r="C391" s="10" t="s">
        <v>967</v>
      </c>
      <c r="D391" s="10" t="s">
        <v>1073</v>
      </c>
      <c r="E391" s="360">
        <v>45107</v>
      </c>
      <c r="F391" s="10">
        <v>205971</v>
      </c>
      <c r="G391" s="10" t="s">
        <v>1074</v>
      </c>
      <c r="H391" s="141">
        <v>310</v>
      </c>
      <c r="I391" s="10" t="s">
        <v>1084</v>
      </c>
    </row>
    <row r="392" spans="1:9">
      <c r="A392" s="14">
        <v>384</v>
      </c>
      <c r="B392" s="9">
        <v>930.2</v>
      </c>
      <c r="C392" s="10" t="s">
        <v>967</v>
      </c>
      <c r="D392" s="10" t="s">
        <v>1073</v>
      </c>
      <c r="E392" s="360">
        <v>45106</v>
      </c>
      <c r="F392" s="10">
        <v>205968</v>
      </c>
      <c r="G392" s="10" t="s">
        <v>1085</v>
      </c>
      <c r="H392" s="141">
        <v>280</v>
      </c>
      <c r="I392" s="10" t="s">
        <v>1084</v>
      </c>
    </row>
    <row r="393" spans="1:9">
      <c r="A393" s="14">
        <v>385</v>
      </c>
      <c r="B393" s="9">
        <v>930.2</v>
      </c>
      <c r="C393" s="10" t="s">
        <v>967</v>
      </c>
      <c r="D393" s="10" t="s">
        <v>1073</v>
      </c>
      <c r="E393" s="360">
        <v>45090</v>
      </c>
      <c r="F393" s="10">
        <v>205687</v>
      </c>
      <c r="G393" s="10" t="s">
        <v>1086</v>
      </c>
      <c r="H393" s="141">
        <v>2058</v>
      </c>
      <c r="I393" s="10" t="s">
        <v>1087</v>
      </c>
    </row>
    <row r="394" spans="1:9">
      <c r="A394" s="14">
        <v>386</v>
      </c>
      <c r="B394" s="9">
        <v>930.2</v>
      </c>
      <c r="C394" s="10" t="s">
        <v>967</v>
      </c>
      <c r="D394" s="10" t="s">
        <v>1073</v>
      </c>
      <c r="E394" s="360">
        <v>45078</v>
      </c>
      <c r="F394" s="10">
        <v>205662</v>
      </c>
      <c r="G394" s="10" t="s">
        <v>1083</v>
      </c>
      <c r="H394" s="141">
        <v>731</v>
      </c>
      <c r="I394" s="10" t="s">
        <v>1084</v>
      </c>
    </row>
    <row r="395" spans="1:9">
      <c r="A395" s="14">
        <v>387</v>
      </c>
      <c r="B395" s="9">
        <v>930.2</v>
      </c>
      <c r="C395" s="10" t="s">
        <v>967</v>
      </c>
      <c r="D395" s="10" t="s">
        <v>1073</v>
      </c>
      <c r="E395" s="360">
        <v>45078</v>
      </c>
      <c r="F395" s="10">
        <v>205646</v>
      </c>
      <c r="G395" s="10" t="s">
        <v>1085</v>
      </c>
      <c r="H395" s="141">
        <v>95</v>
      </c>
      <c r="I395" s="10" t="s">
        <v>1084</v>
      </c>
    </row>
    <row r="396" spans="1:9">
      <c r="A396" s="14">
        <v>388</v>
      </c>
      <c r="B396" s="9">
        <v>930.2</v>
      </c>
      <c r="C396" s="10" t="s">
        <v>967</v>
      </c>
      <c r="D396" s="10" t="s">
        <v>1073</v>
      </c>
      <c r="E396" s="360">
        <v>45078</v>
      </c>
      <c r="F396" s="10">
        <v>205646</v>
      </c>
      <c r="G396" s="10" t="s">
        <v>1085</v>
      </c>
      <c r="H396" s="141">
        <v>225</v>
      </c>
      <c r="I396" s="10" t="s">
        <v>1084</v>
      </c>
    </row>
    <row r="397" spans="1:9">
      <c r="A397" s="14">
        <v>389</v>
      </c>
      <c r="B397" s="9">
        <v>930.2</v>
      </c>
      <c r="C397" s="10" t="s">
        <v>967</v>
      </c>
      <c r="D397" s="10" t="s">
        <v>1073</v>
      </c>
      <c r="E397" s="360">
        <v>45087</v>
      </c>
      <c r="F397" s="10">
        <v>205643</v>
      </c>
      <c r="G397" s="10" t="s">
        <v>1088</v>
      </c>
      <c r="H397" s="141">
        <v>225</v>
      </c>
      <c r="I397" s="10" t="s">
        <v>1087</v>
      </c>
    </row>
    <row r="398" spans="1:9">
      <c r="A398" s="14">
        <v>390</v>
      </c>
      <c r="B398" s="9">
        <v>930.2</v>
      </c>
      <c r="C398" s="10" t="s">
        <v>967</v>
      </c>
      <c r="D398" s="10" t="s">
        <v>1073</v>
      </c>
      <c r="E398" s="360">
        <v>45085</v>
      </c>
      <c r="F398" s="10">
        <v>205557</v>
      </c>
      <c r="G398" s="10" t="s">
        <v>1089</v>
      </c>
      <c r="H398" s="141">
        <v>6700</v>
      </c>
      <c r="I398" s="10" t="s">
        <v>1090</v>
      </c>
    </row>
    <row r="399" spans="1:9">
      <c r="A399" s="14">
        <v>391</v>
      </c>
      <c r="B399" s="9">
        <v>930.2</v>
      </c>
      <c r="C399" s="10" t="s">
        <v>967</v>
      </c>
      <c r="D399" s="10" t="s">
        <v>1073</v>
      </c>
      <c r="E399" s="360">
        <v>45322</v>
      </c>
      <c r="F399" s="10">
        <v>7651</v>
      </c>
      <c r="G399" s="10" t="s">
        <v>1091</v>
      </c>
      <c r="H399" s="141">
        <v>317.52999999999997</v>
      </c>
      <c r="I399" s="10" t="s">
        <v>1092</v>
      </c>
    </row>
    <row r="400" spans="1:9">
      <c r="A400" s="14">
        <v>392</v>
      </c>
      <c r="B400" s="9">
        <v>930.2</v>
      </c>
      <c r="C400" s="10" t="s">
        <v>967</v>
      </c>
      <c r="D400" s="10" t="s">
        <v>1073</v>
      </c>
      <c r="E400" s="360">
        <v>45293</v>
      </c>
      <c r="F400" s="10">
        <v>7523</v>
      </c>
      <c r="G400" s="10" t="s">
        <v>1093</v>
      </c>
      <c r="H400" s="141">
        <v>10917</v>
      </c>
      <c r="I400" s="10" t="s">
        <v>1094</v>
      </c>
    </row>
    <row r="401" spans="1:10">
      <c r="A401" s="14">
        <v>393</v>
      </c>
      <c r="B401" s="9">
        <v>930.2</v>
      </c>
      <c r="C401" s="10" t="s">
        <v>967</v>
      </c>
      <c r="D401" s="10" t="s">
        <v>1073</v>
      </c>
      <c r="E401" s="360">
        <v>45200</v>
      </c>
      <c r="F401" s="10">
        <v>7361</v>
      </c>
      <c r="G401" s="10" t="s">
        <v>1095</v>
      </c>
      <c r="H401" s="141">
        <v>27.79</v>
      </c>
      <c r="I401" s="10" t="s">
        <v>1096</v>
      </c>
    </row>
    <row r="402" spans="1:10">
      <c r="A402" s="14">
        <v>394</v>
      </c>
      <c r="B402" s="9">
        <v>930.2</v>
      </c>
      <c r="C402" s="10" t="s">
        <v>967</v>
      </c>
      <c r="D402" s="10" t="s">
        <v>1073</v>
      </c>
      <c r="E402" s="360">
        <v>45088</v>
      </c>
      <c r="F402" s="10">
        <v>7050</v>
      </c>
      <c r="G402" s="10" t="s">
        <v>1066</v>
      </c>
      <c r="H402" s="141">
        <v>149.34</v>
      </c>
      <c r="I402" s="10" t="s">
        <v>1097</v>
      </c>
      <c r="J402" s="141">
        <f>H402</f>
        <v>149.34</v>
      </c>
    </row>
    <row r="403" spans="1:10">
      <c r="A403" s="14">
        <v>395</v>
      </c>
      <c r="B403" s="9">
        <v>930.2</v>
      </c>
      <c r="C403" s="10" t="s">
        <v>967</v>
      </c>
      <c r="D403" s="10" t="s">
        <v>1073</v>
      </c>
      <c r="E403" s="360">
        <v>45085</v>
      </c>
      <c r="F403" s="10">
        <v>530</v>
      </c>
      <c r="G403" s="10" t="s">
        <v>1066</v>
      </c>
      <c r="H403" s="141">
        <v>14.95</v>
      </c>
      <c r="I403" s="10" t="s">
        <v>1098</v>
      </c>
      <c r="J403" s="141">
        <f>H403</f>
        <v>14.95</v>
      </c>
    </row>
    <row r="404" spans="1:10">
      <c r="A404" s="14">
        <v>396</v>
      </c>
      <c r="B404" s="9">
        <v>930.2</v>
      </c>
      <c r="C404" s="10" t="s">
        <v>967</v>
      </c>
      <c r="D404" s="10" t="s">
        <v>1073</v>
      </c>
      <c r="E404" s="360">
        <v>45086</v>
      </c>
      <c r="F404" s="10">
        <v>529</v>
      </c>
      <c r="G404" s="10" t="s">
        <v>1066</v>
      </c>
      <c r="H404" s="141">
        <v>110.23</v>
      </c>
      <c r="I404" s="10" t="s">
        <v>1098</v>
      </c>
      <c r="J404" s="141">
        <f>H404</f>
        <v>110.23</v>
      </c>
    </row>
    <row r="405" spans="1:10">
      <c r="A405" s="14">
        <v>397</v>
      </c>
      <c r="B405" s="9">
        <v>930.2</v>
      </c>
      <c r="C405" s="10" t="s">
        <v>967</v>
      </c>
      <c r="D405" s="10" t="s">
        <v>1073</v>
      </c>
      <c r="E405" s="360">
        <v>45086</v>
      </c>
      <c r="F405" s="10">
        <v>486</v>
      </c>
      <c r="G405" s="10" t="s">
        <v>1007</v>
      </c>
      <c r="H405" s="141">
        <v>542.85</v>
      </c>
      <c r="I405" s="10" t="s">
        <v>1005</v>
      </c>
    </row>
    <row r="406" spans="1:10">
      <c r="A406" s="14">
        <v>398</v>
      </c>
      <c r="B406" s="9">
        <v>930.2</v>
      </c>
      <c r="C406" s="10" t="s">
        <v>967</v>
      </c>
      <c r="D406" s="10" t="s">
        <v>1073</v>
      </c>
      <c r="E406" s="360">
        <v>45084</v>
      </c>
      <c r="F406" s="10">
        <v>477</v>
      </c>
      <c r="G406" s="10" t="s">
        <v>1066</v>
      </c>
      <c r="H406" s="141">
        <v>330.69</v>
      </c>
      <c r="I406" s="10" t="s">
        <v>1098</v>
      </c>
      <c r="J406" s="141">
        <f>H406</f>
        <v>330.69</v>
      </c>
    </row>
    <row r="407" spans="1:10">
      <c r="A407" s="14">
        <v>399</v>
      </c>
      <c r="B407" s="9">
        <v>930.2</v>
      </c>
      <c r="C407" s="10" t="s">
        <v>967</v>
      </c>
      <c r="D407" s="10" t="s">
        <v>1073</v>
      </c>
      <c r="E407" s="360">
        <v>45084</v>
      </c>
      <c r="F407" s="10">
        <v>476</v>
      </c>
      <c r="G407" s="10" t="s">
        <v>1066</v>
      </c>
      <c r="H407" s="141">
        <v>40.700000000000003</v>
      </c>
      <c r="I407" s="10" t="s">
        <v>1098</v>
      </c>
      <c r="J407" s="141">
        <f>H407</f>
        <v>40.700000000000003</v>
      </c>
    </row>
    <row r="408" spans="1:10">
      <c r="A408" s="14">
        <v>400</v>
      </c>
      <c r="B408" s="9">
        <v>930.2</v>
      </c>
      <c r="C408" s="10" t="s">
        <v>967</v>
      </c>
      <c r="D408" s="10" t="s">
        <v>1073</v>
      </c>
      <c r="E408" s="360">
        <v>45310</v>
      </c>
      <c r="F408" s="10">
        <v>0</v>
      </c>
      <c r="H408" s="141">
        <v>-60</v>
      </c>
      <c r="I408" s="10" t="s">
        <v>833</v>
      </c>
    </row>
    <row r="409" spans="1:10">
      <c r="A409" s="14">
        <v>401</v>
      </c>
      <c r="B409" s="9">
        <v>930.2</v>
      </c>
      <c r="C409" s="10" t="s">
        <v>967</v>
      </c>
      <c r="D409" s="10" t="s">
        <v>1073</v>
      </c>
      <c r="E409" s="360">
        <v>45310</v>
      </c>
      <c r="F409" s="10">
        <v>0</v>
      </c>
      <c r="H409" s="141">
        <v>-60</v>
      </c>
      <c r="I409" s="10" t="s">
        <v>833</v>
      </c>
    </row>
    <row r="410" spans="1:10">
      <c r="A410" s="14">
        <v>402</v>
      </c>
      <c r="B410" s="9">
        <v>930.2</v>
      </c>
      <c r="C410" s="10" t="s">
        <v>967</v>
      </c>
      <c r="D410" s="10" t="s">
        <v>1073</v>
      </c>
      <c r="E410" s="360">
        <v>45310</v>
      </c>
      <c r="F410" s="10">
        <v>0</v>
      </c>
      <c r="H410" s="141">
        <v>-60</v>
      </c>
      <c r="I410" s="10" t="s">
        <v>833</v>
      </c>
    </row>
    <row r="411" spans="1:10">
      <c r="A411" s="14">
        <v>403</v>
      </c>
      <c r="B411" s="9">
        <v>930.2</v>
      </c>
      <c r="C411" s="10" t="s">
        <v>967</v>
      </c>
      <c r="D411" s="10" t="s">
        <v>1073</v>
      </c>
      <c r="E411" s="360">
        <v>45310</v>
      </c>
      <c r="F411" s="10">
        <v>0</v>
      </c>
      <c r="H411" s="141">
        <v>-60</v>
      </c>
      <c r="I411" s="10" t="s">
        <v>833</v>
      </c>
    </row>
    <row r="412" spans="1:10">
      <c r="A412" s="14">
        <v>404</v>
      </c>
      <c r="B412" s="9">
        <v>930.2</v>
      </c>
      <c r="C412" s="10" t="s">
        <v>967</v>
      </c>
      <c r="D412" s="10" t="s">
        <v>1073</v>
      </c>
      <c r="E412" s="360">
        <v>45443</v>
      </c>
      <c r="F412" s="10">
        <v>0</v>
      </c>
      <c r="G412" s="10" t="s">
        <v>840</v>
      </c>
      <c r="H412" s="141">
        <v>-42</v>
      </c>
      <c r="I412" s="10" t="s">
        <v>1076</v>
      </c>
    </row>
    <row r="413" spans="1:10">
      <c r="A413" s="14">
        <v>405</v>
      </c>
      <c r="B413" s="9">
        <v>930.2</v>
      </c>
      <c r="C413" s="10" t="s">
        <v>967</v>
      </c>
      <c r="D413" s="10" t="s">
        <v>1073</v>
      </c>
      <c r="E413" s="360">
        <v>45443</v>
      </c>
      <c r="F413" s="10">
        <v>0</v>
      </c>
      <c r="G413" s="10" t="s">
        <v>840</v>
      </c>
      <c r="H413" s="141">
        <v>42</v>
      </c>
      <c r="I413" s="10" t="s">
        <v>1076</v>
      </c>
    </row>
    <row r="414" spans="1:10">
      <c r="A414" s="14">
        <v>406</v>
      </c>
      <c r="B414" s="9">
        <v>930.2</v>
      </c>
      <c r="C414" s="10" t="s">
        <v>967</v>
      </c>
      <c r="D414" s="10" t="s">
        <v>1099</v>
      </c>
      <c r="E414" s="360">
        <v>45302</v>
      </c>
      <c r="F414" s="10">
        <v>207805</v>
      </c>
      <c r="G414" s="10" t="s">
        <v>1100</v>
      </c>
      <c r="H414" s="141">
        <v>250</v>
      </c>
      <c r="I414" s="10" t="s">
        <v>1101</v>
      </c>
      <c r="J414" s="141">
        <f>H414</f>
        <v>250</v>
      </c>
    </row>
    <row r="415" spans="1:10">
      <c r="A415" s="14">
        <v>407</v>
      </c>
      <c r="B415" s="9">
        <v>930.2</v>
      </c>
      <c r="C415" s="10" t="s">
        <v>967</v>
      </c>
      <c r="D415" s="10" t="s">
        <v>1099</v>
      </c>
      <c r="E415" s="360">
        <v>45390</v>
      </c>
      <c r="F415" s="10">
        <v>985</v>
      </c>
      <c r="G415" s="10" t="s">
        <v>772</v>
      </c>
      <c r="H415" s="141">
        <v>100</v>
      </c>
      <c r="I415" s="10" t="s">
        <v>1102</v>
      </c>
      <c r="J415" s="141">
        <f>H415</f>
        <v>100</v>
      </c>
    </row>
    <row r="416" spans="1:10">
      <c r="A416" s="14">
        <v>408</v>
      </c>
      <c r="B416" s="10">
        <v>426.5</v>
      </c>
      <c r="C416" s="10" t="s">
        <v>823</v>
      </c>
      <c r="D416" s="10" t="s">
        <v>824</v>
      </c>
      <c r="E416" s="360">
        <v>45310</v>
      </c>
      <c r="F416" s="10">
        <v>7593</v>
      </c>
      <c r="G416" s="10" t="s">
        <v>807</v>
      </c>
      <c r="H416" s="10">
        <v>807</v>
      </c>
      <c r="I416" s="10" t="s">
        <v>825</v>
      </c>
      <c r="J416" s="141">
        <f>H416</f>
        <v>807</v>
      </c>
    </row>
    <row r="418" spans="8:10">
      <c r="H418" s="24">
        <f>SUM(H9:H416)</f>
        <v>729583.77999999863</v>
      </c>
      <c r="J418" s="24">
        <f>SUM(J9:J416)</f>
        <v>668128.66999999864</v>
      </c>
    </row>
    <row r="420" spans="8:10">
      <c r="I420" s="10" t="s">
        <v>15</v>
      </c>
      <c r="J420" s="24">
        <f>-J418</f>
        <v>-668128.66999999864</v>
      </c>
    </row>
  </sheetData>
  <mergeCells count="3">
    <mergeCell ref="B3:J3"/>
    <mergeCell ref="B4:J4"/>
    <mergeCell ref="B6:J6"/>
  </mergeCells>
  <printOptions horizontalCentered="1"/>
  <pageMargins left="0.7" right="0.7" top="0.75" bottom="0.75" header="0.3" footer="0.3"/>
  <pageSetup scale="55" fitToHeight="7" orientation="landscape" r:id="rId1"/>
  <headerFooter alignWithMargins="0">
    <oddFooter>&amp;RExhibit  JW-2
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C06D0-5CEC-4CB8-83C2-E8EAC56644E7}">
  <sheetPr>
    <pageSetUpPr fitToPage="1"/>
  </sheetPr>
  <dimension ref="A1:L26"/>
  <sheetViews>
    <sheetView view="pageBreakPreview" zoomScaleNormal="100" zoomScaleSheetLayoutView="100" workbookViewId="0">
      <selection activeCell="D19" sqref="D19"/>
    </sheetView>
  </sheetViews>
  <sheetFormatPr defaultColWidth="8.85546875" defaultRowHeight="12.75"/>
  <cols>
    <col min="1" max="1" width="8.85546875" style="10"/>
    <col min="2" max="2" width="58.140625" style="10" customWidth="1"/>
    <col min="3" max="3" width="23.5703125" style="10" customWidth="1"/>
    <col min="4" max="12" width="18.140625" style="10" customWidth="1"/>
    <col min="13" max="13" width="10.5703125" style="10" bestFit="1" customWidth="1"/>
    <col min="14" max="16384" width="8.85546875" style="10"/>
  </cols>
  <sheetData>
    <row r="1" spans="1:12">
      <c r="C1" s="7" t="s">
        <v>1214</v>
      </c>
    </row>
    <row r="2" spans="1:12">
      <c r="K2" s="5"/>
    </row>
    <row r="3" spans="1:12">
      <c r="K3" s="5"/>
    </row>
    <row r="4" spans="1:12">
      <c r="A4" s="447" t="str">
        <f>RevReq!A1</f>
        <v>SOUTH KENTUCKY R.E.C.C.</v>
      </c>
      <c r="B4" s="447"/>
      <c r="C4" s="447"/>
      <c r="D4" s="7"/>
      <c r="E4" s="7"/>
      <c r="F4" s="7"/>
      <c r="G4" s="7"/>
      <c r="H4" s="7"/>
      <c r="I4" s="7"/>
      <c r="J4" s="7"/>
      <c r="K4" s="7"/>
    </row>
    <row r="5" spans="1:12">
      <c r="A5" s="447" t="str">
        <f>RevReq!A3</f>
        <v>For the 12 Months Ended May 2024</v>
      </c>
      <c r="B5" s="447"/>
      <c r="C5" s="447"/>
      <c r="D5" s="7"/>
      <c r="E5" s="7"/>
      <c r="F5" s="7"/>
      <c r="G5" s="7"/>
      <c r="H5" s="7"/>
      <c r="I5" s="7"/>
      <c r="J5" s="7"/>
      <c r="K5" s="7"/>
      <c r="L5" s="7"/>
    </row>
    <row r="6" spans="1:12">
      <c r="A6" s="7"/>
      <c r="B6" s="7"/>
      <c r="C6" s="7"/>
      <c r="D6" s="7"/>
      <c r="E6" s="7"/>
      <c r="F6" s="7"/>
      <c r="G6" s="7"/>
      <c r="H6" s="7"/>
      <c r="I6" s="7"/>
      <c r="J6" s="7"/>
      <c r="K6" s="7"/>
      <c r="L6" s="7"/>
    </row>
    <row r="7" spans="1:12">
      <c r="A7" s="448" t="s">
        <v>1134</v>
      </c>
      <c r="B7" s="448"/>
      <c r="C7" s="448"/>
      <c r="D7" s="135"/>
      <c r="E7" s="135"/>
      <c r="F7" s="135"/>
      <c r="G7" s="135"/>
      <c r="H7" s="135"/>
      <c r="I7" s="135"/>
      <c r="J7" s="135"/>
      <c r="K7" s="135"/>
    </row>
    <row r="8" spans="1:12">
      <c r="A8" s="151"/>
      <c r="B8" s="151"/>
      <c r="C8" s="386"/>
      <c r="D8" s="135"/>
      <c r="E8" s="135"/>
      <c r="F8" s="135"/>
      <c r="G8" s="135"/>
      <c r="H8" s="135"/>
      <c r="I8" s="135"/>
      <c r="J8" s="135"/>
      <c r="K8" s="135"/>
    </row>
    <row r="9" spans="1:12">
      <c r="B9" s="9"/>
      <c r="C9" s="27"/>
      <c r="D9" s="139"/>
      <c r="E9" s="139"/>
      <c r="F9" s="139"/>
      <c r="G9" s="139"/>
      <c r="H9" s="139"/>
      <c r="I9" s="139"/>
      <c r="J9" s="139"/>
      <c r="K9" s="139"/>
      <c r="L9" s="139"/>
    </row>
    <row r="10" spans="1:12">
      <c r="A10" s="353" t="s">
        <v>21</v>
      </c>
      <c r="B10" s="11" t="s">
        <v>40</v>
      </c>
      <c r="C10" s="12" t="s">
        <v>400</v>
      </c>
      <c r="D10" s="289"/>
      <c r="E10" s="289"/>
      <c r="F10" s="289"/>
      <c r="G10" s="289"/>
      <c r="H10" s="289"/>
      <c r="I10" s="289"/>
      <c r="J10" s="289"/>
      <c r="K10" s="289"/>
      <c r="L10" s="289"/>
    </row>
    <row r="11" spans="1:12">
      <c r="A11" s="14"/>
      <c r="B11" s="52"/>
      <c r="C11" s="289"/>
      <c r="D11" s="289"/>
      <c r="E11" s="289"/>
      <c r="F11" s="289"/>
      <c r="G11" s="289"/>
      <c r="H11" s="289"/>
      <c r="I11" s="289"/>
      <c r="J11" s="289"/>
      <c r="K11" s="289"/>
      <c r="L11" s="289"/>
    </row>
    <row r="12" spans="1:12">
      <c r="A12" s="14">
        <v>1</v>
      </c>
      <c r="B12" s="9" t="s">
        <v>1135</v>
      </c>
      <c r="C12" s="290">
        <f>255688.94+164996</f>
        <v>420684.94</v>
      </c>
      <c r="D12" s="291"/>
      <c r="E12" s="289"/>
      <c r="F12" s="289"/>
      <c r="G12" s="289"/>
      <c r="H12" s="289"/>
      <c r="I12" s="289"/>
      <c r="J12" s="289"/>
      <c r="K12" s="289"/>
      <c r="L12" s="289"/>
    </row>
    <row r="13" spans="1:12">
      <c r="A13" s="14">
        <f>A12+1</f>
        <v>2</v>
      </c>
      <c r="B13" s="9" t="s">
        <v>1136</v>
      </c>
      <c r="C13" s="290">
        <v>1416873.33</v>
      </c>
      <c r="D13" s="291"/>
      <c r="E13" s="289"/>
      <c r="F13" s="289"/>
      <c r="G13" s="289"/>
      <c r="H13" s="289"/>
      <c r="I13" s="289"/>
      <c r="J13" s="289"/>
      <c r="K13" s="289"/>
      <c r="L13" s="289"/>
    </row>
    <row r="14" spans="1:12">
      <c r="A14" s="14">
        <f>A13+1</f>
        <v>3</v>
      </c>
      <c r="B14" s="147" t="s">
        <v>15</v>
      </c>
      <c r="C14" s="292">
        <f>+C13-C12</f>
        <v>996188.39000000013</v>
      </c>
      <c r="D14" s="291"/>
      <c r="E14" s="289"/>
      <c r="F14" s="289"/>
      <c r="G14" s="289"/>
      <c r="H14" s="289"/>
      <c r="I14" s="289"/>
      <c r="J14" s="289"/>
      <c r="K14" s="289"/>
      <c r="L14" s="289"/>
    </row>
    <row r="15" spans="1:12">
      <c r="B15" s="52"/>
      <c r="D15" s="291"/>
      <c r="E15" s="289"/>
      <c r="F15" s="289"/>
      <c r="G15" s="289"/>
      <c r="H15" s="289"/>
      <c r="I15" s="289"/>
      <c r="J15" s="289"/>
      <c r="K15" s="289"/>
      <c r="L15" s="289"/>
    </row>
    <row r="16" spans="1:12">
      <c r="B16" s="354" t="s">
        <v>1137</v>
      </c>
      <c r="C16" s="293"/>
      <c r="D16" s="293"/>
      <c r="E16" s="293"/>
      <c r="F16" s="293"/>
      <c r="G16" s="293"/>
      <c r="H16" s="293"/>
      <c r="I16" s="293"/>
      <c r="J16" s="293"/>
      <c r="K16" s="293"/>
      <c r="L16" s="293"/>
    </row>
    <row r="17" spans="2:8">
      <c r="B17" s="354"/>
      <c r="C17" s="29"/>
      <c r="D17" s="29"/>
      <c r="E17" s="29"/>
      <c r="F17" s="29"/>
      <c r="G17" s="29"/>
      <c r="H17" s="29"/>
    </row>
    <row r="18" spans="2:8">
      <c r="C18" s="29"/>
      <c r="D18" s="29"/>
      <c r="E18" s="29"/>
      <c r="F18" s="29"/>
      <c r="G18" s="29"/>
      <c r="H18" s="29"/>
    </row>
    <row r="19" spans="2:8">
      <c r="B19" s="81"/>
      <c r="C19" s="22"/>
      <c r="D19" s="22"/>
      <c r="E19" s="22"/>
      <c r="F19" s="22"/>
      <c r="G19" s="22"/>
      <c r="H19" s="22"/>
    </row>
    <row r="20" spans="2:8">
      <c r="C20" s="22"/>
      <c r="D20" s="22"/>
      <c r="E20" s="22"/>
      <c r="F20" s="22"/>
      <c r="G20" s="22"/>
      <c r="H20" s="22"/>
    </row>
    <row r="21" spans="2:8">
      <c r="C21" s="22"/>
      <c r="D21" s="22"/>
      <c r="E21" s="22"/>
      <c r="F21" s="22"/>
      <c r="G21" s="22"/>
      <c r="H21" s="22"/>
    </row>
    <row r="22" spans="2:8">
      <c r="C22" s="22"/>
      <c r="D22" s="22"/>
      <c r="E22" s="22"/>
      <c r="F22" s="22"/>
      <c r="G22" s="22"/>
      <c r="H22" s="25"/>
    </row>
    <row r="23" spans="2:8">
      <c r="C23" s="22"/>
      <c r="D23" s="22"/>
      <c r="E23" s="22"/>
      <c r="F23" s="22"/>
      <c r="G23" s="22"/>
      <c r="H23" s="22"/>
    </row>
    <row r="24" spans="2:8">
      <c r="C24" s="22"/>
      <c r="D24" s="22"/>
      <c r="E24" s="22"/>
      <c r="F24" s="22"/>
      <c r="G24" s="22"/>
      <c r="H24" s="22"/>
    </row>
    <row r="25" spans="2:8">
      <c r="C25" s="22"/>
      <c r="D25" s="22"/>
      <c r="E25" s="22"/>
      <c r="F25" s="22"/>
      <c r="G25" s="22"/>
      <c r="H25" s="22"/>
    </row>
    <row r="26" spans="2:8">
      <c r="C26" s="22"/>
      <c r="D26" s="22"/>
      <c r="E26" s="22"/>
      <c r="F26" s="22"/>
      <c r="G26" s="22"/>
      <c r="H26" s="22"/>
    </row>
  </sheetData>
  <mergeCells count="3">
    <mergeCell ref="A4:C4"/>
    <mergeCell ref="A5:C5"/>
    <mergeCell ref="A7:C7"/>
  </mergeCells>
  <printOptions horizontalCentered="1"/>
  <pageMargins left="0.7" right="0.7" top="0.75" bottom="0.75" header="0.3" footer="0.3"/>
  <pageSetup scale="99" orientation="portrait" r:id="rId1"/>
  <headerFooter>
    <oddFooter>&amp;RExhibit  JW-2
Page &amp;P of &amp;N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81E12-9C60-4BCB-9C83-E9EEFE502A49}">
  <sheetPr>
    <pageSetUpPr fitToPage="1"/>
  </sheetPr>
  <dimension ref="A1:N46"/>
  <sheetViews>
    <sheetView view="pageBreakPreview" zoomScale="75" zoomScaleNormal="100" zoomScaleSheetLayoutView="75" workbookViewId="0">
      <selection activeCell="G34" sqref="G34"/>
    </sheetView>
  </sheetViews>
  <sheetFormatPr defaultColWidth="9.140625" defaultRowHeight="14.25"/>
  <cols>
    <col min="1" max="1" width="5.28515625" style="110" customWidth="1"/>
    <col min="2" max="2" width="64.28515625" style="110" customWidth="1"/>
    <col min="3" max="3" width="13.85546875" style="110" bestFit="1" customWidth="1"/>
    <col min="4" max="4" width="12" style="110" bestFit="1" customWidth="1"/>
    <col min="5" max="5" width="13.5703125" style="110" bestFit="1" customWidth="1"/>
    <col min="6" max="8" width="12.7109375" style="110" bestFit="1" customWidth="1"/>
    <col min="9" max="9" width="13.140625" style="110" bestFit="1" customWidth="1"/>
    <col min="10" max="10" width="15.85546875" style="110" customWidth="1"/>
    <col min="11" max="11" width="13.85546875" style="110" bestFit="1" customWidth="1"/>
    <col min="12" max="12" width="14.140625" style="110" customWidth="1"/>
    <col min="13" max="13" width="13.140625" style="110" bestFit="1" customWidth="1"/>
    <col min="14" max="16384" width="9.140625" style="110"/>
  </cols>
  <sheetData>
    <row r="1" spans="1:13" s="10" customFormat="1" ht="12.75">
      <c r="L1" s="5" t="s">
        <v>28</v>
      </c>
    </row>
    <row r="2" spans="1:13" s="10" customFormat="1" ht="12.75">
      <c r="L2" s="5"/>
    </row>
    <row r="3" spans="1:13" s="10" customFormat="1" ht="12.75">
      <c r="L3" s="5"/>
    </row>
    <row r="4" spans="1:13" s="10" customFormat="1" ht="12.75">
      <c r="A4" s="447" t="str">
        <f>RevReq!A1</f>
        <v>SOUTH KENTUCKY R.E.C.C.</v>
      </c>
      <c r="B4" s="447"/>
      <c r="C4" s="447"/>
      <c r="D4" s="447"/>
      <c r="E4" s="447"/>
      <c r="F4" s="447"/>
      <c r="G4" s="447"/>
      <c r="H4" s="447"/>
      <c r="I4" s="447"/>
      <c r="J4" s="447"/>
      <c r="K4" s="447"/>
      <c r="L4" s="447"/>
    </row>
    <row r="5" spans="1:13" s="10" customFormat="1" ht="12.75">
      <c r="A5" s="447" t="str">
        <f>RevReq!A3</f>
        <v>For the 12 Months Ended May 2024</v>
      </c>
      <c r="B5" s="447"/>
      <c r="C5" s="447"/>
      <c r="D5" s="447"/>
      <c r="E5" s="447"/>
      <c r="F5" s="447"/>
      <c r="G5" s="447"/>
      <c r="H5" s="447"/>
      <c r="I5" s="447"/>
      <c r="J5" s="447"/>
      <c r="K5" s="447"/>
      <c r="L5" s="447"/>
      <c r="M5" s="7"/>
    </row>
    <row r="6" spans="1:13" s="10" customFormat="1" ht="12.75">
      <c r="A6" s="7"/>
      <c r="B6" s="7"/>
      <c r="C6" s="7"/>
      <c r="D6" s="7"/>
      <c r="E6" s="7"/>
      <c r="F6" s="7"/>
      <c r="G6" s="7"/>
      <c r="H6" s="7"/>
      <c r="I6" s="7"/>
      <c r="J6" s="7"/>
      <c r="K6" s="7"/>
      <c r="L6" s="7"/>
      <c r="M6" s="7"/>
    </row>
    <row r="7" spans="1:13" s="10" customFormat="1" ht="12.75">
      <c r="A7" s="448" t="s">
        <v>229</v>
      </c>
      <c r="B7" s="448"/>
      <c r="C7" s="448"/>
      <c r="D7" s="448"/>
      <c r="E7" s="448"/>
      <c r="F7" s="448"/>
      <c r="G7" s="448"/>
      <c r="H7" s="448"/>
      <c r="I7" s="448"/>
      <c r="J7" s="448"/>
      <c r="K7" s="448"/>
      <c r="L7" s="448"/>
    </row>
    <row r="8" spans="1:13" s="10" customFormat="1" ht="12.75"/>
    <row r="9" spans="1:13" ht="45">
      <c r="A9" s="157" t="s">
        <v>21</v>
      </c>
      <c r="B9" s="111" t="s">
        <v>40</v>
      </c>
      <c r="C9" s="111" t="s">
        <v>712</v>
      </c>
      <c r="D9" s="111" t="s">
        <v>713</v>
      </c>
      <c r="E9" s="111" t="s">
        <v>714</v>
      </c>
      <c r="F9" s="111" t="s">
        <v>715</v>
      </c>
      <c r="G9" s="111" t="s">
        <v>716</v>
      </c>
      <c r="H9" s="111" t="s">
        <v>717</v>
      </c>
      <c r="I9" s="111" t="s">
        <v>718</v>
      </c>
      <c r="J9" s="111" t="s">
        <v>719</v>
      </c>
      <c r="K9" s="340" t="s">
        <v>720</v>
      </c>
      <c r="L9" s="340" t="s">
        <v>14</v>
      </c>
    </row>
    <row r="10" spans="1:13">
      <c r="A10" s="112">
        <v>1</v>
      </c>
      <c r="B10" s="112" t="s">
        <v>721</v>
      </c>
      <c r="C10" s="423">
        <v>1350</v>
      </c>
      <c r="D10" s="423">
        <v>4050</v>
      </c>
      <c r="E10" s="423">
        <v>19350</v>
      </c>
      <c r="F10" s="423">
        <v>19350</v>
      </c>
      <c r="G10" s="423">
        <v>21750</v>
      </c>
      <c r="H10" s="423">
        <v>18000</v>
      </c>
      <c r="I10" s="423">
        <v>19350</v>
      </c>
      <c r="J10" s="423">
        <v>19350</v>
      </c>
      <c r="K10" s="423"/>
      <c r="L10" s="423">
        <f>SUM(C10:K10)</f>
        <v>122550</v>
      </c>
      <c r="M10" s="113"/>
    </row>
    <row r="11" spans="1:13">
      <c r="A11" s="112">
        <v>2</v>
      </c>
      <c r="B11" s="112" t="s">
        <v>722</v>
      </c>
      <c r="C11" s="423">
        <v>15.72</v>
      </c>
      <c r="D11" s="423">
        <v>110.04</v>
      </c>
      <c r="E11" s="423">
        <v>831.6</v>
      </c>
      <c r="F11" s="423">
        <v>426.78</v>
      </c>
      <c r="G11" s="423"/>
      <c r="H11" s="423">
        <v>145.31</v>
      </c>
      <c r="I11" s="423">
        <v>790.9</v>
      </c>
      <c r="J11" s="423">
        <v>714.85</v>
      </c>
      <c r="K11" s="423"/>
      <c r="L11" s="423">
        <f t="shared" ref="L11:L25" si="0">SUM(C11:K11)</f>
        <v>3035.2</v>
      </c>
      <c r="M11" s="113"/>
    </row>
    <row r="12" spans="1:13">
      <c r="A12" s="112">
        <v>3</v>
      </c>
      <c r="B12" s="110" t="s">
        <v>723</v>
      </c>
      <c r="C12" s="423"/>
      <c r="D12" s="423"/>
      <c r="E12" s="423">
        <v>4200</v>
      </c>
      <c r="F12" s="423">
        <v>2800</v>
      </c>
      <c r="G12" s="423">
        <v>6800</v>
      </c>
      <c r="H12" s="423">
        <v>3500</v>
      </c>
      <c r="I12" s="423"/>
      <c r="J12" s="423">
        <v>1050</v>
      </c>
      <c r="K12" s="423">
        <f>822+600</f>
        <v>1422</v>
      </c>
      <c r="L12" s="423">
        <f t="shared" si="0"/>
        <v>19772</v>
      </c>
      <c r="M12" s="113"/>
    </row>
    <row r="13" spans="1:13">
      <c r="A13" s="112">
        <v>4</v>
      </c>
      <c r="B13" s="112" t="s">
        <v>724</v>
      </c>
      <c r="C13" s="423"/>
      <c r="D13" s="423"/>
      <c r="E13" s="423"/>
      <c r="F13" s="423"/>
      <c r="G13" s="423">
        <v>690</v>
      </c>
      <c r="H13" s="423">
        <v>690</v>
      </c>
      <c r="I13" s="423"/>
      <c r="J13" s="423">
        <v>1500</v>
      </c>
      <c r="K13" s="423"/>
      <c r="L13" s="423">
        <f t="shared" si="0"/>
        <v>2880</v>
      </c>
      <c r="M13" s="113"/>
    </row>
    <row r="14" spans="1:13">
      <c r="A14" s="112">
        <v>5</v>
      </c>
      <c r="B14" s="112" t="s">
        <v>725</v>
      </c>
      <c r="C14" s="423"/>
      <c r="D14" s="423"/>
      <c r="E14" s="423"/>
      <c r="F14" s="423"/>
      <c r="G14" s="423">
        <f>350+2525</f>
        <v>2875</v>
      </c>
      <c r="H14" s="423">
        <v>715</v>
      </c>
      <c r="I14" s="423"/>
      <c r="J14" s="423"/>
      <c r="K14" s="423"/>
      <c r="L14" s="423">
        <f t="shared" si="0"/>
        <v>3590</v>
      </c>
      <c r="M14" s="113"/>
    </row>
    <row r="15" spans="1:13">
      <c r="A15" s="112">
        <v>6</v>
      </c>
      <c r="B15" s="112" t="s">
        <v>726</v>
      </c>
      <c r="C15" s="423">
        <f>167.14</f>
        <v>167.14</v>
      </c>
      <c r="D15" s="423"/>
      <c r="E15" s="423">
        <f>1329.5+1240.79</f>
        <v>2570.29</v>
      </c>
      <c r="F15" s="423">
        <f>270.37+823.53+401.6</f>
        <v>1495.5</v>
      </c>
      <c r="G15" s="423">
        <f>1539.92-230.34+213.47+5+737.43+172.95+263.92+175.32+336.26+165.91+156.18+617.7+175.32+194.74</f>
        <v>4523.78</v>
      </c>
      <c r="H15" s="423">
        <f>941.9+636.85+240.81+240.81+263.92</f>
        <v>2324.29</v>
      </c>
      <c r="I15" s="423"/>
      <c r="J15" s="423">
        <f>281+480.26+263.92</f>
        <v>1025.18</v>
      </c>
      <c r="K15" s="423"/>
      <c r="L15" s="423">
        <f t="shared" si="0"/>
        <v>12106.18</v>
      </c>
      <c r="M15" s="113"/>
    </row>
    <row r="16" spans="1:13">
      <c r="A16" s="112">
        <v>7</v>
      </c>
      <c r="B16" s="112" t="s">
        <v>727</v>
      </c>
      <c r="C16" s="423"/>
      <c r="D16" s="423"/>
      <c r="E16" s="423">
        <v>549</v>
      </c>
      <c r="F16" s="423"/>
      <c r="G16" s="423">
        <f>549</f>
        <v>549</v>
      </c>
      <c r="H16" s="423">
        <v>690</v>
      </c>
      <c r="I16" s="423"/>
      <c r="J16" s="423"/>
      <c r="K16" s="423"/>
      <c r="L16" s="423">
        <f t="shared" si="0"/>
        <v>1788</v>
      </c>
      <c r="M16" s="113"/>
    </row>
    <row r="17" spans="1:13">
      <c r="A17" s="112">
        <v>8</v>
      </c>
      <c r="B17" s="112" t="s">
        <v>728</v>
      </c>
      <c r="C17" s="423"/>
      <c r="D17" s="423"/>
      <c r="E17" s="423">
        <v>533.22</v>
      </c>
      <c r="F17" s="423"/>
      <c r="G17" s="423">
        <v>596.92999999999995</v>
      </c>
      <c r="H17" s="423">
        <v>264.79000000000002</v>
      </c>
      <c r="I17" s="423"/>
      <c r="J17" s="423"/>
      <c r="K17" s="423"/>
      <c r="L17" s="423">
        <f t="shared" si="0"/>
        <v>1394.94</v>
      </c>
      <c r="M17" s="113"/>
    </row>
    <row r="18" spans="1:13">
      <c r="A18" s="112">
        <v>9</v>
      </c>
      <c r="B18" s="112" t="s">
        <v>1215</v>
      </c>
      <c r="C18" s="423"/>
      <c r="D18" s="423"/>
      <c r="E18" s="423"/>
      <c r="F18" s="423"/>
      <c r="G18" s="423"/>
      <c r="H18" s="423"/>
      <c r="J18" s="423"/>
      <c r="K18" s="423">
        <v>6069.74</v>
      </c>
      <c r="L18" s="423">
        <f t="shared" si="0"/>
        <v>6069.74</v>
      </c>
      <c r="M18" s="113"/>
    </row>
    <row r="19" spans="1:13">
      <c r="A19" s="112">
        <v>10</v>
      </c>
      <c r="B19" s="112" t="s">
        <v>729</v>
      </c>
      <c r="C19" s="423"/>
      <c r="D19" s="423"/>
      <c r="E19" s="423"/>
      <c r="F19" s="423"/>
      <c r="G19" s="423"/>
      <c r="H19" s="423"/>
      <c r="I19" s="423"/>
      <c r="J19" s="423"/>
      <c r="K19" s="423">
        <f>698.15+25</f>
        <v>723.15</v>
      </c>
      <c r="L19" s="423">
        <f t="shared" si="0"/>
        <v>723.15</v>
      </c>
      <c r="M19" s="113"/>
    </row>
    <row r="20" spans="1:13">
      <c r="A20" s="112">
        <v>11</v>
      </c>
      <c r="B20" s="112" t="s">
        <v>730</v>
      </c>
      <c r="C20" s="423"/>
      <c r="D20" s="423"/>
      <c r="E20" s="423"/>
      <c r="F20" s="423"/>
      <c r="G20" s="423"/>
      <c r="H20" s="423"/>
      <c r="I20" s="423"/>
      <c r="J20" s="423"/>
      <c r="K20" s="423">
        <v>11.19</v>
      </c>
      <c r="L20" s="423">
        <f t="shared" si="0"/>
        <v>11.19</v>
      </c>
      <c r="M20" s="113"/>
    </row>
    <row r="21" spans="1:13">
      <c r="A21" s="112">
        <v>12</v>
      </c>
      <c r="B21" s="112" t="s">
        <v>731</v>
      </c>
      <c r="C21" s="423"/>
      <c r="D21" s="423"/>
      <c r="E21" s="423"/>
      <c r="F21" s="423"/>
      <c r="G21" s="423"/>
      <c r="H21" s="423"/>
      <c r="I21" s="423"/>
      <c r="J21" s="423"/>
      <c r="K21" s="423">
        <v>60.58</v>
      </c>
      <c r="L21" s="423">
        <f t="shared" si="0"/>
        <v>60.58</v>
      </c>
      <c r="M21" s="113"/>
    </row>
    <row r="22" spans="1:13">
      <c r="A22" s="112">
        <v>13</v>
      </c>
      <c r="B22" s="112" t="s">
        <v>732</v>
      </c>
      <c r="C22" s="423"/>
      <c r="D22" s="423"/>
      <c r="E22" s="423"/>
      <c r="F22" s="423"/>
      <c r="G22" s="423"/>
      <c r="H22" s="423"/>
      <c r="I22" s="423"/>
      <c r="J22" s="423"/>
      <c r="K22" s="423">
        <v>301</v>
      </c>
      <c r="L22" s="423">
        <f t="shared" si="0"/>
        <v>301</v>
      </c>
      <c r="M22" s="113"/>
    </row>
    <row r="23" spans="1:13">
      <c r="A23" s="112">
        <v>14</v>
      </c>
      <c r="B23" s="112" t="s">
        <v>733</v>
      </c>
      <c r="C23" s="423"/>
      <c r="D23" s="423"/>
      <c r="E23" s="423"/>
      <c r="F23" s="423"/>
      <c r="G23" s="423"/>
      <c r="H23" s="423"/>
      <c r="I23" s="423"/>
      <c r="J23" s="423"/>
      <c r="K23" s="423">
        <f>13.86+213.92</f>
        <v>227.77999999999997</v>
      </c>
      <c r="L23" s="423">
        <f t="shared" si="0"/>
        <v>227.77999999999997</v>
      </c>
      <c r="M23" s="113"/>
    </row>
    <row r="24" spans="1:13">
      <c r="A24" s="112">
        <v>15</v>
      </c>
      <c r="B24" s="112" t="s">
        <v>734</v>
      </c>
      <c r="C24" s="423"/>
      <c r="D24" s="423"/>
      <c r="E24" s="423"/>
      <c r="F24" s="423"/>
      <c r="G24" s="423"/>
      <c r="H24" s="423"/>
      <c r="I24" s="423"/>
      <c r="J24" s="423"/>
      <c r="K24" s="423">
        <v>15955</v>
      </c>
      <c r="L24" s="423">
        <f t="shared" si="0"/>
        <v>15955</v>
      </c>
      <c r="M24" s="113"/>
    </row>
    <row r="25" spans="1:13">
      <c r="A25" s="112">
        <v>16</v>
      </c>
      <c r="B25" s="112" t="s">
        <v>735</v>
      </c>
      <c r="C25" s="423"/>
      <c r="D25" s="423"/>
      <c r="E25" s="423"/>
      <c r="F25" s="423"/>
      <c r="G25" s="423"/>
      <c r="H25" s="423"/>
      <c r="I25" s="423"/>
      <c r="J25" s="423"/>
      <c r="K25" s="423">
        <v>3475.01</v>
      </c>
      <c r="L25" s="423">
        <f t="shared" si="0"/>
        <v>3475.01</v>
      </c>
      <c r="M25" s="113"/>
    </row>
    <row r="26" spans="1:13">
      <c r="A26" s="112">
        <v>17</v>
      </c>
      <c r="C26" s="424">
        <f t="shared" ref="C26:J26" si="1">SUM(C10:C23)</f>
        <v>1532.8600000000001</v>
      </c>
      <c r="D26" s="424">
        <f t="shared" si="1"/>
        <v>4160.04</v>
      </c>
      <c r="E26" s="424">
        <f t="shared" si="1"/>
        <v>28034.11</v>
      </c>
      <c r="F26" s="424">
        <f t="shared" si="1"/>
        <v>24072.28</v>
      </c>
      <c r="G26" s="424">
        <f t="shared" si="1"/>
        <v>37784.71</v>
      </c>
      <c r="H26" s="424">
        <f t="shared" si="1"/>
        <v>26329.390000000003</v>
      </c>
      <c r="I26" s="424">
        <f t="shared" si="1"/>
        <v>20140.900000000001</v>
      </c>
      <c r="J26" s="424">
        <f t="shared" si="1"/>
        <v>23640.03</v>
      </c>
      <c r="K26" s="424">
        <f>SUM(K10:K25)</f>
        <v>28245.450000000004</v>
      </c>
      <c r="L26" s="424">
        <f>SUM(C26:K26)</f>
        <v>193939.77000000002</v>
      </c>
      <c r="M26" s="113"/>
    </row>
    <row r="27" spans="1:13">
      <c r="A27" s="112">
        <v>18</v>
      </c>
      <c r="C27" s="114"/>
      <c r="D27" s="114"/>
      <c r="E27" s="114"/>
      <c r="F27" s="114"/>
      <c r="G27" s="114"/>
      <c r="H27" s="114"/>
      <c r="I27" s="114"/>
      <c r="J27" s="114"/>
      <c r="L27" s="113"/>
      <c r="M27" s="113"/>
    </row>
    <row r="28" spans="1:13">
      <c r="A28" s="112">
        <v>19</v>
      </c>
      <c r="B28" s="114"/>
      <c r="C28" s="114"/>
      <c r="D28" s="114"/>
      <c r="E28" s="114"/>
      <c r="F28" s="114"/>
      <c r="G28" s="114"/>
      <c r="H28" s="114"/>
      <c r="I28" s="114"/>
      <c r="J28" s="114"/>
      <c r="L28" s="113"/>
      <c r="M28" s="113"/>
    </row>
    <row r="29" spans="1:13">
      <c r="A29" s="112">
        <v>20</v>
      </c>
      <c r="C29" s="114"/>
      <c r="D29" s="114"/>
      <c r="E29" s="114"/>
      <c r="F29" s="114"/>
      <c r="G29" s="114"/>
      <c r="H29" s="114"/>
      <c r="I29" s="114"/>
      <c r="J29" s="114"/>
      <c r="L29" s="113"/>
      <c r="M29" s="113"/>
    </row>
    <row r="30" spans="1:13" ht="15">
      <c r="A30" s="112">
        <v>21</v>
      </c>
      <c r="B30" s="158" t="s">
        <v>266</v>
      </c>
      <c r="C30" s="111" t="s">
        <v>267</v>
      </c>
      <c r="D30" s="341"/>
      <c r="E30" s="341"/>
      <c r="F30" s="114"/>
      <c r="G30" s="114"/>
      <c r="H30" s="114"/>
      <c r="I30" s="114"/>
      <c r="J30" s="114"/>
      <c r="K30" s="113"/>
      <c r="L30" s="113"/>
      <c r="M30" s="113"/>
    </row>
    <row r="31" spans="1:13">
      <c r="A31" s="112">
        <v>22</v>
      </c>
      <c r="B31" s="110" t="s">
        <v>736</v>
      </c>
      <c r="C31" s="425">
        <f>F12+H12+J12+K12</f>
        <v>8772</v>
      </c>
      <c r="D31" s="114"/>
      <c r="E31" s="114"/>
      <c r="F31" s="114"/>
      <c r="G31" s="114"/>
      <c r="K31" s="113"/>
      <c r="L31" s="113"/>
      <c r="M31" s="113"/>
    </row>
    <row r="32" spans="1:13" ht="15">
      <c r="A32" s="112">
        <v>23</v>
      </c>
      <c r="B32" s="112" t="s">
        <v>265</v>
      </c>
      <c r="C32" s="425">
        <f>K18</f>
        <v>6069.74</v>
      </c>
      <c r="D32" s="114"/>
      <c r="E32" s="114"/>
      <c r="F32" s="114"/>
      <c r="G32" s="114"/>
      <c r="H32" s="342" t="s">
        <v>36</v>
      </c>
      <c r="I32" s="342"/>
      <c r="J32" s="343">
        <v>193939.77</v>
      </c>
    </row>
    <row r="33" spans="1:14" ht="15">
      <c r="A33" s="112">
        <v>24</v>
      </c>
      <c r="D33" s="114"/>
      <c r="E33" s="114"/>
      <c r="F33" s="114"/>
      <c r="G33" s="114"/>
      <c r="H33" s="342"/>
      <c r="I33" s="342"/>
      <c r="J33" s="343"/>
    </row>
    <row r="34" spans="1:14" ht="15">
      <c r="A34" s="112">
        <v>25</v>
      </c>
      <c r="B34" s="344" t="s">
        <v>268</v>
      </c>
      <c r="C34" s="426">
        <f>SUM(C31:C33)</f>
        <v>14841.74</v>
      </c>
      <c r="D34" s="113"/>
      <c r="E34" s="113"/>
      <c r="F34" s="114"/>
      <c r="G34" s="114"/>
      <c r="H34" s="342" t="s">
        <v>147</v>
      </c>
      <c r="I34" s="342"/>
      <c r="J34" s="346">
        <f>J32-C34+C39</f>
        <v>191478.91</v>
      </c>
    </row>
    <row r="35" spans="1:14" ht="15">
      <c r="A35" s="112">
        <v>26</v>
      </c>
      <c r="C35" s="113"/>
      <c r="D35" s="113"/>
      <c r="E35" s="113"/>
      <c r="F35" s="114"/>
      <c r="G35" s="114"/>
      <c r="H35" s="342"/>
      <c r="I35" s="342"/>
      <c r="J35" s="346"/>
    </row>
    <row r="36" spans="1:14" ht="15.75" thickBot="1">
      <c r="A36" s="112">
        <v>27</v>
      </c>
      <c r="B36" s="158" t="s">
        <v>269</v>
      </c>
      <c r="C36" s="111" t="s">
        <v>267</v>
      </c>
      <c r="D36" s="341"/>
      <c r="E36" s="341"/>
      <c r="F36" s="114"/>
      <c r="G36" s="114"/>
      <c r="H36" s="347" t="s">
        <v>15</v>
      </c>
      <c r="I36" s="347"/>
      <c r="J36" s="348">
        <f>J34-J32</f>
        <v>-2460.859999999986</v>
      </c>
    </row>
    <row r="37" spans="1:14" ht="15" thickTop="1">
      <c r="A37" s="112">
        <v>28</v>
      </c>
      <c r="B37" s="112" t="s">
        <v>737</v>
      </c>
      <c r="C37" s="423" cm="1">
        <f t="array" ref="C37">(1350*9)+((SUM(C11:J11-D11)/7)*9/12)</f>
        <v>12380.88</v>
      </c>
      <c r="D37" s="113" t="s">
        <v>1217</v>
      </c>
      <c r="E37" s="113"/>
      <c r="F37" s="114"/>
      <c r="G37" s="114"/>
    </row>
    <row r="38" spans="1:14" ht="14.25" customHeight="1">
      <c r="A38" s="112">
        <v>29</v>
      </c>
      <c r="C38" s="349"/>
      <c r="D38" s="349"/>
      <c r="E38" s="349"/>
      <c r="F38" s="152"/>
      <c r="G38" s="152"/>
      <c r="H38" s="152"/>
      <c r="I38" s="152"/>
      <c r="J38" s="152"/>
      <c r="K38" s="152"/>
      <c r="L38" s="152"/>
      <c r="M38" s="152"/>
      <c r="N38" s="152"/>
    </row>
    <row r="39" spans="1:14" ht="14.25" customHeight="1">
      <c r="A39" s="112">
        <v>30</v>
      </c>
      <c r="B39" s="344" t="s">
        <v>270</v>
      </c>
      <c r="C39" s="345">
        <f>SUM(C37:C37)</f>
        <v>12380.88</v>
      </c>
      <c r="D39" s="113"/>
      <c r="E39" s="113"/>
      <c r="F39" s="152"/>
      <c r="G39" s="152"/>
      <c r="H39" s="423" t="s">
        <v>1216</v>
      </c>
      <c r="I39" s="152"/>
      <c r="J39" s="152"/>
      <c r="K39" s="152"/>
      <c r="L39" s="152"/>
      <c r="M39" s="152"/>
      <c r="N39" s="152"/>
    </row>
    <row r="40" spans="1:14" ht="14.25" customHeight="1">
      <c r="C40" s="114"/>
      <c r="D40" s="114"/>
      <c r="E40" s="114"/>
      <c r="F40" s="152"/>
      <c r="G40" s="152"/>
      <c r="H40" s="152"/>
      <c r="I40" s="152"/>
      <c r="J40" s="152"/>
      <c r="K40" s="152"/>
      <c r="L40" s="152"/>
      <c r="M40" s="152"/>
      <c r="N40" s="152"/>
    </row>
    <row r="41" spans="1:14" ht="14.25" customHeight="1">
      <c r="F41" s="152"/>
      <c r="G41" s="152"/>
      <c r="H41" s="152"/>
      <c r="I41" s="152"/>
      <c r="J41" s="152"/>
      <c r="K41" s="152"/>
      <c r="L41" s="152"/>
      <c r="M41" s="152"/>
      <c r="N41" s="152"/>
    </row>
    <row r="42" spans="1:14" ht="14.25" customHeight="1">
      <c r="B42" s="350" t="s">
        <v>230</v>
      </c>
      <c r="C42" s="152"/>
      <c r="D42" s="152"/>
      <c r="E42" s="152"/>
      <c r="F42" s="152"/>
      <c r="G42" s="152"/>
      <c r="H42" s="152"/>
      <c r="I42" s="152"/>
      <c r="J42" s="152"/>
      <c r="K42" s="152"/>
      <c r="L42" s="152"/>
      <c r="M42" s="152"/>
      <c r="N42" s="152"/>
    </row>
    <row r="43" spans="1:14" ht="14.25" customHeight="1">
      <c r="F43" s="152"/>
      <c r="G43" s="152"/>
      <c r="H43" s="152"/>
      <c r="I43" s="152"/>
      <c r="J43" s="152"/>
      <c r="K43" s="152"/>
      <c r="L43" s="152"/>
      <c r="M43" s="152"/>
      <c r="N43" s="152"/>
    </row>
    <row r="44" spans="1:14">
      <c r="F44" s="114"/>
      <c r="G44" s="114"/>
      <c r="H44" s="114"/>
      <c r="I44" s="114"/>
      <c r="J44" s="114"/>
    </row>
    <row r="45" spans="1:14">
      <c r="F45" s="114"/>
      <c r="G45" s="114"/>
      <c r="H45" s="114"/>
      <c r="I45" s="114"/>
      <c r="J45" s="114"/>
    </row>
    <row r="46" spans="1:14" ht="14.25" customHeight="1">
      <c r="C46" s="410"/>
      <c r="D46" s="114"/>
      <c r="E46" s="114"/>
      <c r="F46" s="152"/>
      <c r="G46" s="152"/>
      <c r="H46" s="152"/>
      <c r="I46" s="152"/>
      <c r="J46" s="152"/>
      <c r="K46" s="152"/>
    </row>
  </sheetData>
  <mergeCells count="3">
    <mergeCell ref="A4:L4"/>
    <mergeCell ref="A5:L5"/>
    <mergeCell ref="A7:L7"/>
  </mergeCells>
  <printOptions horizontalCentered="1"/>
  <pageMargins left="0.7" right="0.7" top="0.75" bottom="0.75" header="0.3" footer="0.3"/>
  <pageSetup scale="60" orientation="landscape" r:id="rId1"/>
  <headerFooter>
    <oddFooter>&amp;RExhibit  JW-2
Page &amp;P of &amp;N</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55FAF-77C7-4534-8CE4-67D77990C2DB}">
  <dimension ref="A1:M214"/>
  <sheetViews>
    <sheetView view="pageBreakPreview" topLeftCell="A188" zoomScaleNormal="80" zoomScaleSheetLayoutView="100" workbookViewId="0">
      <selection activeCell="H33" sqref="H33"/>
    </sheetView>
  </sheetViews>
  <sheetFormatPr defaultColWidth="9.140625" defaultRowHeight="12.75"/>
  <cols>
    <col min="1" max="1" width="5.85546875" style="10" customWidth="1"/>
    <col min="2" max="2" width="2.28515625" style="10" customWidth="1"/>
    <col min="3" max="3" width="9.5703125" style="10" customWidth="1"/>
    <col min="4" max="4" width="7.5703125" style="9" customWidth="1"/>
    <col min="5" max="5" width="7.5703125" style="9" hidden="1" customWidth="1"/>
    <col min="6" max="6" width="6.28515625" style="9" hidden="1" customWidth="1"/>
    <col min="7" max="7" width="5.85546875" style="10" customWidth="1"/>
    <col min="8" max="8" width="12.85546875" style="10" customWidth="1"/>
    <col min="9" max="9" width="11.7109375" style="10" customWidth="1"/>
    <col min="10" max="10" width="13.7109375" style="10" customWidth="1"/>
    <col min="11" max="11" width="12.85546875" style="10" bestFit="1" customWidth="1"/>
    <col min="12" max="12" width="11.42578125" style="10" customWidth="1"/>
    <col min="13" max="13" width="11.28515625" style="10" bestFit="1" customWidth="1"/>
    <col min="14" max="16384" width="9.140625" style="10"/>
  </cols>
  <sheetData>
    <row r="1" spans="1:13">
      <c r="M1" s="5" t="s">
        <v>371</v>
      </c>
    </row>
    <row r="2" spans="1:13" ht="20.25" customHeight="1"/>
    <row r="3" spans="1:13">
      <c r="A3" s="447" t="str">
        <f>RevReq!A1</f>
        <v>SOUTH KENTUCKY R.E.C.C.</v>
      </c>
      <c r="B3" s="447"/>
      <c r="C3" s="447"/>
      <c r="D3" s="447"/>
      <c r="E3" s="447"/>
      <c r="F3" s="447"/>
      <c r="G3" s="447"/>
      <c r="H3" s="447"/>
      <c r="I3" s="447"/>
      <c r="J3" s="447"/>
      <c r="K3" s="447"/>
      <c r="L3" s="447"/>
      <c r="M3" s="447"/>
    </row>
    <row r="4" spans="1:13">
      <c r="A4" s="447" t="str">
        <f>RevReq!A3</f>
        <v>For the 12 Months Ended May 2024</v>
      </c>
      <c r="B4" s="447"/>
      <c r="C4" s="447"/>
      <c r="D4" s="447"/>
      <c r="E4" s="447"/>
      <c r="F4" s="447"/>
      <c r="G4" s="447"/>
      <c r="H4" s="447"/>
      <c r="I4" s="447"/>
      <c r="J4" s="447"/>
      <c r="K4" s="447"/>
      <c r="L4" s="447"/>
      <c r="M4" s="447"/>
    </row>
    <row r="6" spans="1:13" s="6" customFormat="1" ht="15" customHeight="1">
      <c r="A6" s="448" t="s">
        <v>350</v>
      </c>
      <c r="B6" s="448"/>
      <c r="C6" s="448"/>
      <c r="D6" s="448"/>
      <c r="E6" s="448"/>
      <c r="F6" s="448"/>
      <c r="G6" s="448"/>
      <c r="H6" s="448"/>
      <c r="I6" s="448"/>
      <c r="J6" s="448"/>
      <c r="K6" s="448"/>
      <c r="L6" s="448"/>
      <c r="M6" s="448"/>
    </row>
    <row r="8" spans="1:13">
      <c r="G8" s="9"/>
      <c r="H8" s="9"/>
      <c r="L8" s="46" t="s">
        <v>351</v>
      </c>
      <c r="M8" s="107">
        <f>0.2771+0.0115</f>
        <v>0.28860000000000002</v>
      </c>
    </row>
    <row r="9" spans="1:13">
      <c r="G9" s="9"/>
      <c r="H9" s="9"/>
      <c r="L9" s="46" t="s">
        <v>414</v>
      </c>
      <c r="M9" s="294">
        <v>0.02</v>
      </c>
    </row>
    <row r="10" spans="1:13">
      <c r="G10" s="9"/>
      <c r="H10" s="9"/>
      <c r="L10" s="46"/>
      <c r="M10" s="231"/>
    </row>
    <row r="11" spans="1:13" s="2" customFormat="1" ht="20.25" customHeight="1">
      <c r="A11" s="1"/>
      <c r="C11" s="455" t="s">
        <v>242</v>
      </c>
      <c r="D11" s="455"/>
      <c r="E11" s="455"/>
      <c r="F11" s="455"/>
      <c r="G11" s="455"/>
      <c r="H11" s="1"/>
      <c r="I11" s="1"/>
      <c r="J11" s="1"/>
      <c r="K11" s="455" t="s">
        <v>352</v>
      </c>
      <c r="L11" s="455"/>
      <c r="M11" s="455"/>
    </row>
    <row r="12" spans="1:13" s="2" customFormat="1" ht="54.75" customHeight="1">
      <c r="A12" s="1" t="s">
        <v>0</v>
      </c>
      <c r="C12" s="9" t="s">
        <v>294</v>
      </c>
      <c r="D12" s="1" t="s">
        <v>235</v>
      </c>
      <c r="E12" s="1"/>
      <c r="F12" s="1" t="s">
        <v>236</v>
      </c>
      <c r="G12" s="1" t="s">
        <v>241</v>
      </c>
      <c r="H12" s="295" t="s">
        <v>415</v>
      </c>
      <c r="I12" s="35" t="s">
        <v>416</v>
      </c>
      <c r="J12" s="35" t="s">
        <v>417</v>
      </c>
      <c r="K12" s="35" t="s">
        <v>353</v>
      </c>
      <c r="L12" s="35" t="s">
        <v>354</v>
      </c>
      <c r="M12" s="35" t="s">
        <v>355</v>
      </c>
    </row>
    <row r="13" spans="1:13" s="2" customFormat="1">
      <c r="A13" s="36" t="s">
        <v>21</v>
      </c>
      <c r="C13" s="396">
        <v>1</v>
      </c>
      <c r="D13" s="37">
        <f>C13+1</f>
        <v>2</v>
      </c>
      <c r="E13" s="37"/>
      <c r="F13" s="37"/>
      <c r="G13" s="37">
        <f>D13+1</f>
        <v>3</v>
      </c>
      <c r="H13" s="37" t="s">
        <v>25</v>
      </c>
      <c r="I13" s="37" t="s">
        <v>47</v>
      </c>
      <c r="J13" s="37" t="s">
        <v>48</v>
      </c>
      <c r="K13" s="37">
        <v>7</v>
      </c>
      <c r="L13" s="37">
        <f>K13+1</f>
        <v>8</v>
      </c>
      <c r="M13" s="37">
        <f>L13+1</f>
        <v>9</v>
      </c>
    </row>
    <row r="14" spans="1:13" s="2" customFormat="1">
      <c r="A14" s="1"/>
      <c r="C14" s="351" t="s">
        <v>329</v>
      </c>
      <c r="D14" s="1"/>
      <c r="E14" s="1"/>
      <c r="F14" s="1"/>
      <c r="G14" s="99"/>
      <c r="H14" s="99"/>
      <c r="I14" s="99"/>
      <c r="J14" s="99"/>
    </row>
    <row r="15" spans="1:13" s="2" customFormat="1">
      <c r="A15" s="1"/>
      <c r="C15" s="351"/>
      <c r="D15" s="1"/>
      <c r="E15" s="1"/>
      <c r="F15" s="1"/>
      <c r="G15" s="99"/>
      <c r="H15" s="99"/>
      <c r="I15" s="99"/>
      <c r="J15" s="99"/>
    </row>
    <row r="16" spans="1:13" s="2" customFormat="1">
      <c r="A16" s="1">
        <v>1</v>
      </c>
      <c r="C16" s="9">
        <v>1</v>
      </c>
      <c r="D16" s="1" t="s">
        <v>418</v>
      </c>
      <c r="E16" s="1"/>
      <c r="F16" s="1">
        <v>258</v>
      </c>
      <c r="G16" s="1" t="s">
        <v>123</v>
      </c>
      <c r="H16" s="296">
        <v>34119.15</v>
      </c>
      <c r="I16" s="296">
        <v>0</v>
      </c>
      <c r="J16" s="296">
        <v>596.15000000000009</v>
      </c>
      <c r="K16" s="206">
        <v>0</v>
      </c>
      <c r="L16" s="107">
        <f>$M$8</f>
        <v>0.28860000000000002</v>
      </c>
      <c r="M16" s="297">
        <f>K16*L16</f>
        <v>0</v>
      </c>
    </row>
    <row r="17" spans="1:13" s="2" customFormat="1">
      <c r="A17" s="1">
        <v>2</v>
      </c>
      <c r="C17" s="9">
        <v>1</v>
      </c>
      <c r="D17" s="1" t="s">
        <v>419</v>
      </c>
      <c r="E17" s="1"/>
      <c r="F17" s="1">
        <v>284</v>
      </c>
      <c r="G17" s="1"/>
      <c r="H17" s="296">
        <v>144766.56</v>
      </c>
      <c r="I17" s="296">
        <v>0</v>
      </c>
      <c r="J17" s="296">
        <v>2895.23</v>
      </c>
      <c r="K17" s="206">
        <v>155000</v>
      </c>
      <c r="L17" s="107">
        <f>M9</f>
        <v>0.02</v>
      </c>
      <c r="M17" s="297">
        <f>K17*L17</f>
        <v>3100</v>
      </c>
    </row>
    <row r="18" spans="1:13" s="2" customFormat="1">
      <c r="A18" s="1">
        <v>3</v>
      </c>
      <c r="C18" s="9">
        <v>1</v>
      </c>
      <c r="D18" s="1" t="s">
        <v>420</v>
      </c>
      <c r="E18" s="1"/>
      <c r="F18" s="1">
        <v>297</v>
      </c>
      <c r="G18" s="1"/>
      <c r="H18" s="296">
        <v>125562.00000000001</v>
      </c>
      <c r="I18" s="296">
        <v>0</v>
      </c>
      <c r="J18" s="296">
        <v>2511.2799999999997</v>
      </c>
      <c r="K18" s="206">
        <v>130697</v>
      </c>
      <c r="L18" s="107">
        <f>M9</f>
        <v>0.02</v>
      </c>
      <c r="M18" s="297">
        <f t="shared" ref="M18:M38" si="0">K18*L18</f>
        <v>2613.94</v>
      </c>
    </row>
    <row r="19" spans="1:13" s="2" customFormat="1">
      <c r="A19" s="1">
        <v>4</v>
      </c>
      <c r="C19" s="9">
        <v>1</v>
      </c>
      <c r="D19" s="1" t="s">
        <v>421</v>
      </c>
      <c r="E19" s="1"/>
      <c r="F19" s="1">
        <v>384</v>
      </c>
      <c r="G19" s="1"/>
      <c r="H19" s="296">
        <v>115618.4</v>
      </c>
      <c r="I19" s="296">
        <v>0</v>
      </c>
      <c r="J19" s="296">
        <v>2312.46</v>
      </c>
      <c r="K19" s="206">
        <v>130697</v>
      </c>
      <c r="L19" s="107">
        <f>M9</f>
        <v>0.02</v>
      </c>
      <c r="M19" s="297">
        <f t="shared" si="0"/>
        <v>2613.94</v>
      </c>
    </row>
    <row r="20" spans="1:13" s="2" customFormat="1">
      <c r="A20" s="1">
        <v>5</v>
      </c>
      <c r="C20" s="9">
        <v>1</v>
      </c>
      <c r="D20" s="1" t="s">
        <v>422</v>
      </c>
      <c r="E20" s="1"/>
      <c r="F20" s="1">
        <v>387</v>
      </c>
      <c r="G20" s="1"/>
      <c r="H20" s="296">
        <v>240121.04</v>
      </c>
      <c r="I20" s="296">
        <v>62805.509999999995</v>
      </c>
      <c r="J20" s="296">
        <v>4802.3599999999997</v>
      </c>
      <c r="K20" s="206">
        <v>325000</v>
      </c>
      <c r="L20" s="107">
        <f>M9</f>
        <v>0.02</v>
      </c>
      <c r="M20" s="297">
        <f t="shared" si="0"/>
        <v>6500</v>
      </c>
    </row>
    <row r="21" spans="1:13" s="2" customFormat="1">
      <c r="A21" s="1">
        <v>6</v>
      </c>
      <c r="C21" s="9">
        <v>1</v>
      </c>
      <c r="D21" s="1" t="s">
        <v>423</v>
      </c>
      <c r="E21" s="1"/>
      <c r="F21" s="1">
        <v>457</v>
      </c>
      <c r="G21" s="1"/>
      <c r="H21" s="296">
        <v>97802.16</v>
      </c>
      <c r="I21" s="296">
        <v>27417.82</v>
      </c>
      <c r="J21" s="296">
        <v>1956.04</v>
      </c>
      <c r="K21" s="206">
        <v>109862</v>
      </c>
      <c r="L21" s="107">
        <f t="shared" ref="L21:L38" si="1">$M$8</f>
        <v>0.28860000000000002</v>
      </c>
      <c r="M21" s="297">
        <f t="shared" si="0"/>
        <v>31706.173200000001</v>
      </c>
    </row>
    <row r="22" spans="1:13" s="2" customFormat="1">
      <c r="A22" s="1">
        <v>7</v>
      </c>
      <c r="C22" s="9">
        <v>1</v>
      </c>
      <c r="D22" s="1" t="s">
        <v>424</v>
      </c>
      <c r="E22" s="1"/>
      <c r="F22" s="1">
        <v>507</v>
      </c>
      <c r="G22" s="1"/>
      <c r="H22" s="296">
        <v>84848.8</v>
      </c>
      <c r="I22" s="296">
        <v>25486.41</v>
      </c>
      <c r="J22" s="296">
        <v>1697.01</v>
      </c>
      <c r="K22" s="206">
        <v>106403</v>
      </c>
      <c r="L22" s="107">
        <f t="shared" si="1"/>
        <v>0.28860000000000002</v>
      </c>
      <c r="M22" s="297">
        <f t="shared" si="0"/>
        <v>30707.905800000004</v>
      </c>
    </row>
    <row r="23" spans="1:13" s="2" customFormat="1">
      <c r="A23" s="1">
        <v>8</v>
      </c>
      <c r="C23" s="9">
        <v>1</v>
      </c>
      <c r="D23" s="1" t="s">
        <v>425</v>
      </c>
      <c r="E23" s="1"/>
      <c r="F23" s="1">
        <v>508</v>
      </c>
      <c r="G23" s="1"/>
      <c r="H23" s="296">
        <v>93908.15</v>
      </c>
      <c r="I23" s="296">
        <v>25796.090000000004</v>
      </c>
      <c r="J23" s="296">
        <v>1878.1499999999999</v>
      </c>
      <c r="K23" s="206">
        <v>120870</v>
      </c>
      <c r="L23" s="107">
        <f t="shared" si="1"/>
        <v>0.28860000000000002</v>
      </c>
      <c r="M23" s="297">
        <f t="shared" si="0"/>
        <v>34883.082000000002</v>
      </c>
    </row>
    <row r="24" spans="1:13" s="2" customFormat="1">
      <c r="A24" s="1">
        <v>9</v>
      </c>
      <c r="C24" s="9">
        <v>1</v>
      </c>
      <c r="D24" s="1" t="s">
        <v>426</v>
      </c>
      <c r="E24" s="1"/>
      <c r="F24" s="1">
        <v>564</v>
      </c>
      <c r="G24" s="1"/>
      <c r="H24" s="296">
        <v>117873.60000000001</v>
      </c>
      <c r="I24" s="296">
        <v>33819.009999999995</v>
      </c>
      <c r="J24" s="296">
        <v>2357.42</v>
      </c>
      <c r="K24" s="206">
        <v>117874</v>
      </c>
      <c r="L24" s="107">
        <f t="shared" si="1"/>
        <v>0.28860000000000002</v>
      </c>
      <c r="M24" s="297">
        <f t="shared" si="0"/>
        <v>34018.436400000006</v>
      </c>
    </row>
    <row r="25" spans="1:13" s="2" customFormat="1">
      <c r="A25" s="1">
        <v>10</v>
      </c>
      <c r="C25" s="9">
        <v>1</v>
      </c>
      <c r="D25" s="1" t="s">
        <v>427</v>
      </c>
      <c r="E25" s="1"/>
      <c r="F25" s="1">
        <v>581</v>
      </c>
      <c r="G25" s="1"/>
      <c r="H25" s="296">
        <v>88118.58</v>
      </c>
      <c r="I25" s="296">
        <v>24614.61</v>
      </c>
      <c r="J25" s="296">
        <v>1762.29</v>
      </c>
      <c r="K25" s="206">
        <v>94726</v>
      </c>
      <c r="L25" s="107">
        <f t="shared" si="1"/>
        <v>0.28860000000000002</v>
      </c>
      <c r="M25" s="297">
        <f t="shared" si="0"/>
        <v>27337.923600000002</v>
      </c>
    </row>
    <row r="26" spans="1:13" s="2" customFormat="1">
      <c r="A26" s="1">
        <v>11</v>
      </c>
      <c r="C26" s="9">
        <v>1</v>
      </c>
      <c r="D26" s="1" t="s">
        <v>428</v>
      </c>
      <c r="E26" s="1"/>
      <c r="F26" s="1">
        <v>582</v>
      </c>
      <c r="G26" s="1"/>
      <c r="H26" s="296">
        <v>88099.199999999997</v>
      </c>
      <c r="I26" s="296">
        <v>23647.829999999998</v>
      </c>
      <c r="J26" s="296">
        <v>1761.95</v>
      </c>
      <c r="K26" s="206">
        <v>109862</v>
      </c>
      <c r="L26" s="107">
        <f t="shared" si="1"/>
        <v>0.28860000000000002</v>
      </c>
      <c r="M26" s="297">
        <f t="shared" si="0"/>
        <v>31706.173200000001</v>
      </c>
    </row>
    <row r="27" spans="1:13" s="2" customFormat="1">
      <c r="A27" s="1">
        <v>12</v>
      </c>
      <c r="C27" s="9">
        <v>1</v>
      </c>
      <c r="D27" s="1" t="s">
        <v>429</v>
      </c>
      <c r="E27" s="1"/>
      <c r="F27" s="1">
        <v>598</v>
      </c>
      <c r="G27" s="1"/>
      <c r="H27" s="296">
        <v>119031.62</v>
      </c>
      <c r="I27" s="296">
        <v>28762.410000000003</v>
      </c>
      <c r="J27" s="296">
        <v>2380.6799999999998</v>
      </c>
      <c r="K27" s="206">
        <v>130697</v>
      </c>
      <c r="L27" s="107">
        <f t="shared" si="1"/>
        <v>0.28860000000000002</v>
      </c>
      <c r="M27" s="297">
        <f t="shared" si="0"/>
        <v>37719.154200000004</v>
      </c>
    </row>
    <row r="28" spans="1:13" s="2" customFormat="1">
      <c r="A28" s="1">
        <v>13</v>
      </c>
      <c r="C28" s="9">
        <v>1</v>
      </c>
      <c r="D28" s="1" t="s">
        <v>430</v>
      </c>
      <c r="E28" s="1"/>
      <c r="F28" s="1">
        <v>624</v>
      </c>
      <c r="G28" s="1"/>
      <c r="H28" s="296">
        <v>95546.28</v>
      </c>
      <c r="I28" s="296">
        <v>25772.560000000001</v>
      </c>
      <c r="J28" s="296">
        <v>1910.8400000000001</v>
      </c>
      <c r="K28" s="206">
        <v>97500</v>
      </c>
      <c r="L28" s="107">
        <f t="shared" si="1"/>
        <v>0.28860000000000002</v>
      </c>
      <c r="M28" s="297">
        <f t="shared" si="0"/>
        <v>28138.500000000004</v>
      </c>
    </row>
    <row r="29" spans="1:13" s="2" customFormat="1">
      <c r="A29" s="1">
        <v>14</v>
      </c>
      <c r="C29" s="9">
        <v>1</v>
      </c>
      <c r="D29" s="1" t="s">
        <v>431</v>
      </c>
      <c r="E29" s="1"/>
      <c r="F29" s="1">
        <v>688</v>
      </c>
      <c r="G29" s="1"/>
      <c r="H29" s="296">
        <v>115516.43000000001</v>
      </c>
      <c r="I29" s="296">
        <v>32290.960000000003</v>
      </c>
      <c r="J29" s="296">
        <v>2310.41</v>
      </c>
      <c r="K29" s="206">
        <v>130697</v>
      </c>
      <c r="L29" s="107">
        <f t="shared" si="1"/>
        <v>0.28860000000000002</v>
      </c>
      <c r="M29" s="297">
        <f t="shared" si="0"/>
        <v>37719.154200000004</v>
      </c>
    </row>
    <row r="30" spans="1:13" s="2" customFormat="1">
      <c r="A30" s="1">
        <v>15</v>
      </c>
      <c r="C30" s="9">
        <v>1</v>
      </c>
      <c r="D30" s="1" t="s">
        <v>432</v>
      </c>
      <c r="E30" s="1"/>
      <c r="F30" s="1">
        <v>698</v>
      </c>
      <c r="G30" s="1"/>
      <c r="H30" s="296">
        <v>98559.51</v>
      </c>
      <c r="I30" s="296">
        <v>26215.38</v>
      </c>
      <c r="J30" s="296">
        <v>1971.2099999999998</v>
      </c>
      <c r="K30" s="206">
        <v>118603</v>
      </c>
      <c r="L30" s="107">
        <f t="shared" si="1"/>
        <v>0.28860000000000002</v>
      </c>
      <c r="M30" s="297">
        <f t="shared" si="0"/>
        <v>34228.825800000006</v>
      </c>
    </row>
    <row r="31" spans="1:13" s="2" customFormat="1">
      <c r="A31" s="1">
        <v>16</v>
      </c>
      <c r="C31" s="9">
        <v>1</v>
      </c>
      <c r="D31" s="1" t="s">
        <v>433</v>
      </c>
      <c r="E31" s="1"/>
      <c r="F31" s="1">
        <v>704</v>
      </c>
      <c r="G31" s="1"/>
      <c r="H31" s="296">
        <v>148964.29</v>
      </c>
      <c r="I31" s="296">
        <v>41540.28</v>
      </c>
      <c r="J31" s="296">
        <v>2979.1800000000003</v>
      </c>
      <c r="K31" s="206">
        <v>177000</v>
      </c>
      <c r="L31" s="107">
        <f t="shared" si="1"/>
        <v>0.28860000000000002</v>
      </c>
      <c r="M31" s="297">
        <f t="shared" si="0"/>
        <v>51082.200000000004</v>
      </c>
    </row>
    <row r="32" spans="1:13" s="2" customFormat="1">
      <c r="A32" s="1">
        <v>17</v>
      </c>
      <c r="C32" s="9">
        <v>1</v>
      </c>
      <c r="D32" s="1" t="s">
        <v>434</v>
      </c>
      <c r="E32" s="1"/>
      <c r="F32" s="1">
        <v>735</v>
      </c>
      <c r="G32" s="1"/>
      <c r="H32" s="296">
        <v>141559.47000000003</v>
      </c>
      <c r="I32" s="296">
        <v>37806.589999999997</v>
      </c>
      <c r="J32" s="296">
        <v>2831.2400000000002</v>
      </c>
      <c r="K32" s="206">
        <v>155875</v>
      </c>
      <c r="L32" s="107">
        <f t="shared" si="1"/>
        <v>0.28860000000000002</v>
      </c>
      <c r="M32" s="297">
        <f t="shared" si="0"/>
        <v>44985.525000000001</v>
      </c>
    </row>
    <row r="33" spans="1:13" s="2" customFormat="1">
      <c r="A33" s="1">
        <v>18</v>
      </c>
      <c r="C33" s="9">
        <v>1</v>
      </c>
      <c r="D33" s="1" t="s">
        <v>435</v>
      </c>
      <c r="E33" s="1"/>
      <c r="F33" s="1">
        <v>748</v>
      </c>
      <c r="G33" s="1" t="s">
        <v>123</v>
      </c>
      <c r="H33" s="296">
        <v>144394.31000000003</v>
      </c>
      <c r="I33" s="296">
        <v>38302.1</v>
      </c>
      <c r="J33" s="296">
        <v>2887.9</v>
      </c>
      <c r="K33" s="206">
        <v>0</v>
      </c>
      <c r="L33" s="107">
        <f t="shared" si="1"/>
        <v>0.28860000000000002</v>
      </c>
      <c r="M33" s="297">
        <f t="shared" si="0"/>
        <v>0</v>
      </c>
    </row>
    <row r="34" spans="1:13" s="2" customFormat="1">
      <c r="A34" s="1">
        <v>19</v>
      </c>
      <c r="C34" s="9">
        <v>1</v>
      </c>
      <c r="D34" s="1" t="s">
        <v>436</v>
      </c>
      <c r="E34" s="1"/>
      <c r="F34" s="1">
        <v>763</v>
      </c>
      <c r="G34" s="1" t="s">
        <v>225</v>
      </c>
      <c r="H34" s="296">
        <v>91877.5</v>
      </c>
      <c r="I34" s="296">
        <v>24750</v>
      </c>
      <c r="J34" s="296">
        <v>1837.6</v>
      </c>
      <c r="K34" s="206">
        <v>133000</v>
      </c>
      <c r="L34" s="107">
        <f t="shared" si="1"/>
        <v>0.28860000000000002</v>
      </c>
      <c r="M34" s="297">
        <f t="shared" si="0"/>
        <v>38383.800000000003</v>
      </c>
    </row>
    <row r="35" spans="1:13" s="2" customFormat="1">
      <c r="A35" s="1">
        <v>20</v>
      </c>
      <c r="C35" s="9">
        <v>1</v>
      </c>
      <c r="D35" s="1" t="s">
        <v>437</v>
      </c>
      <c r="E35" s="1"/>
      <c r="F35" s="1">
        <v>769</v>
      </c>
      <c r="G35" s="1" t="s">
        <v>225</v>
      </c>
      <c r="H35" s="296">
        <v>48167.839999999997</v>
      </c>
      <c r="I35" s="296">
        <v>0</v>
      </c>
      <c r="J35" s="296">
        <v>0</v>
      </c>
      <c r="K35" s="206">
        <v>109862</v>
      </c>
      <c r="L35" s="107">
        <f t="shared" si="1"/>
        <v>0.28860000000000002</v>
      </c>
      <c r="M35" s="297">
        <f t="shared" si="0"/>
        <v>31706.173200000001</v>
      </c>
    </row>
    <row r="36" spans="1:13" s="2" customFormat="1">
      <c r="A36" s="1">
        <v>21</v>
      </c>
      <c r="C36" s="9">
        <v>1</v>
      </c>
      <c r="D36" s="1" t="s">
        <v>438</v>
      </c>
      <c r="E36" s="1"/>
      <c r="F36" s="1">
        <v>776</v>
      </c>
      <c r="G36" s="1" t="s">
        <v>225</v>
      </c>
      <c r="H36" s="296">
        <v>63461.96</v>
      </c>
      <c r="I36" s="296">
        <v>0</v>
      </c>
      <c r="J36" s="296">
        <v>0</v>
      </c>
      <c r="K36" s="206">
        <v>139600</v>
      </c>
      <c r="L36" s="107">
        <f t="shared" si="1"/>
        <v>0.28860000000000002</v>
      </c>
      <c r="M36" s="297">
        <f t="shared" si="0"/>
        <v>40288.560000000005</v>
      </c>
    </row>
    <row r="37" spans="1:13" s="2" customFormat="1">
      <c r="A37" s="1">
        <v>22</v>
      </c>
      <c r="C37" s="9">
        <v>1</v>
      </c>
      <c r="D37" s="1" t="s">
        <v>439</v>
      </c>
      <c r="E37" s="1"/>
      <c r="F37" s="1">
        <v>785</v>
      </c>
      <c r="G37" s="1" t="s">
        <v>225</v>
      </c>
      <c r="H37" s="296">
        <v>6227.36</v>
      </c>
      <c r="I37" s="296">
        <v>0</v>
      </c>
      <c r="J37" s="296">
        <v>0</v>
      </c>
      <c r="K37" s="206">
        <v>124870</v>
      </c>
      <c r="L37" s="107">
        <f t="shared" si="1"/>
        <v>0.28860000000000002</v>
      </c>
      <c r="M37" s="297">
        <f t="shared" si="0"/>
        <v>36037.482000000004</v>
      </c>
    </row>
    <row r="38" spans="1:13" s="2" customFormat="1">
      <c r="A38" s="1">
        <v>23</v>
      </c>
      <c r="C38" s="9">
        <v>1</v>
      </c>
      <c r="D38" s="1" t="s">
        <v>440</v>
      </c>
      <c r="E38" s="1"/>
      <c r="F38" s="1">
        <v>786</v>
      </c>
      <c r="G38" s="1" t="s">
        <v>225</v>
      </c>
      <c r="H38" s="296">
        <v>0</v>
      </c>
      <c r="I38" s="296">
        <v>0</v>
      </c>
      <c r="J38" s="296">
        <v>0</v>
      </c>
      <c r="K38" s="206">
        <v>190000</v>
      </c>
      <c r="L38" s="107">
        <f t="shared" si="1"/>
        <v>0.28860000000000002</v>
      </c>
      <c r="M38" s="297">
        <f t="shared" si="0"/>
        <v>54834.000000000007</v>
      </c>
    </row>
    <row r="39" spans="1:13" s="2" customFormat="1">
      <c r="A39" s="1">
        <v>24</v>
      </c>
      <c r="C39" s="147">
        <f>SUM(C16:C38)</f>
        <v>23</v>
      </c>
      <c r="D39" s="4" t="s">
        <v>22</v>
      </c>
      <c r="E39" s="4"/>
      <c r="F39" s="4"/>
      <c r="G39" s="4"/>
      <c r="H39" s="176">
        <f>SUM(H16:H38)</f>
        <v>2304144.21</v>
      </c>
      <c r="I39" s="176">
        <f>SUM(I16:I38)</f>
        <v>479027.55999999994</v>
      </c>
      <c r="J39" s="176">
        <f>SUM(J16:J38)</f>
        <v>43639.4</v>
      </c>
      <c r="K39" s="176">
        <f>SUM(K16:K38)</f>
        <v>2908695</v>
      </c>
      <c r="L39" s="299"/>
      <c r="M39" s="208">
        <f>SUM(M16:M38)</f>
        <v>640310.9486</v>
      </c>
    </row>
    <row r="40" spans="1:13" s="2" customFormat="1">
      <c r="A40" s="1">
        <v>25</v>
      </c>
      <c r="C40" s="9"/>
      <c r="D40" s="1"/>
      <c r="E40" s="1"/>
      <c r="F40" s="1"/>
      <c r="G40" s="1"/>
      <c r="H40" s="1"/>
      <c r="I40" s="1"/>
      <c r="J40" s="1"/>
      <c r="K40" s="125"/>
      <c r="M40" s="206"/>
    </row>
    <row r="41" spans="1:13" s="2" customFormat="1">
      <c r="A41" s="1">
        <v>26</v>
      </c>
      <c r="C41" s="351" t="s">
        <v>297</v>
      </c>
      <c r="D41" s="1"/>
      <c r="E41" s="1"/>
      <c r="F41" s="1"/>
      <c r="G41" s="99"/>
      <c r="H41" s="99"/>
      <c r="I41" s="99"/>
      <c r="J41" s="99"/>
      <c r="K41" s="87"/>
      <c r="M41" s="206"/>
    </row>
    <row r="42" spans="1:13" s="2" customFormat="1">
      <c r="A42" s="1">
        <v>27</v>
      </c>
      <c r="C42" s="9">
        <v>1</v>
      </c>
      <c r="D42" s="1" t="str">
        <f>'1.10 Wages'!D38</f>
        <v>H01</v>
      </c>
      <c r="E42" s="1"/>
      <c r="F42" s="1">
        <v>320</v>
      </c>
      <c r="G42" s="1" t="s">
        <v>123</v>
      </c>
      <c r="H42" s="296">
        <v>0</v>
      </c>
      <c r="I42" s="296">
        <v>0</v>
      </c>
      <c r="J42" s="296">
        <v>0</v>
      </c>
      <c r="K42" s="126">
        <v>0</v>
      </c>
      <c r="L42" s="107">
        <f>$M$8</f>
        <v>0.28860000000000002</v>
      </c>
      <c r="M42" s="206">
        <f>K42*L42</f>
        <v>0</v>
      </c>
    </row>
    <row r="43" spans="1:13" s="2" customFormat="1">
      <c r="A43" s="1">
        <v>28</v>
      </c>
      <c r="C43" s="9">
        <v>1</v>
      </c>
      <c r="D43" s="1" t="str">
        <f>'1.10 Wages'!D39</f>
        <v>H02</v>
      </c>
      <c r="E43" s="1"/>
      <c r="F43" s="1">
        <v>343</v>
      </c>
      <c r="G43" s="1"/>
      <c r="H43" s="296">
        <v>93928</v>
      </c>
      <c r="I43" s="296">
        <v>0</v>
      </c>
      <c r="J43" s="296">
        <v>1878.6399999999999</v>
      </c>
      <c r="K43" s="126">
        <v>100713.60000000001</v>
      </c>
      <c r="L43" s="107">
        <f>M9</f>
        <v>0.02</v>
      </c>
      <c r="M43" s="206">
        <f t="shared" ref="M43:M106" si="2">K43*L43</f>
        <v>2014.2720000000002</v>
      </c>
    </row>
    <row r="44" spans="1:13" s="2" customFormat="1">
      <c r="A44" s="1">
        <v>29</v>
      </c>
      <c r="C44" s="9">
        <v>1</v>
      </c>
      <c r="D44" s="1" t="str">
        <f>'1.10 Wages'!D40</f>
        <v>H03</v>
      </c>
      <c r="E44" s="1"/>
      <c r="F44" s="1">
        <v>377</v>
      </c>
      <c r="G44" s="1" t="s">
        <v>123</v>
      </c>
      <c r="H44" s="296">
        <v>113165.6</v>
      </c>
      <c r="I44" s="296">
        <v>0</v>
      </c>
      <c r="J44" s="296">
        <v>2263.2200000000003</v>
      </c>
      <c r="K44" s="126">
        <v>0</v>
      </c>
      <c r="L44" s="107">
        <f t="shared" ref="L44:L106" si="3">$M$8</f>
        <v>0.28860000000000002</v>
      </c>
      <c r="M44" s="206">
        <f t="shared" si="2"/>
        <v>0</v>
      </c>
    </row>
    <row r="45" spans="1:13" s="2" customFormat="1">
      <c r="A45" s="1">
        <v>30</v>
      </c>
      <c r="C45" s="9">
        <v>1</v>
      </c>
      <c r="D45" s="1" t="str">
        <f>'1.10 Wages'!D41</f>
        <v>H04</v>
      </c>
      <c r="E45" s="1"/>
      <c r="F45" s="1">
        <v>397</v>
      </c>
      <c r="G45" s="1" t="s">
        <v>123</v>
      </c>
      <c r="H45" s="296">
        <v>67388</v>
      </c>
      <c r="I45" s="296">
        <v>14077.62</v>
      </c>
      <c r="J45" s="296">
        <v>1347.76</v>
      </c>
      <c r="K45" s="126">
        <v>0</v>
      </c>
      <c r="L45" s="107">
        <f t="shared" si="3"/>
        <v>0.28860000000000002</v>
      </c>
      <c r="M45" s="206">
        <f t="shared" si="2"/>
        <v>0</v>
      </c>
    </row>
    <row r="46" spans="1:13" s="2" customFormat="1">
      <c r="A46" s="1">
        <v>31</v>
      </c>
      <c r="C46" s="9">
        <v>1</v>
      </c>
      <c r="D46" s="1" t="str">
        <f>'1.10 Wages'!D42</f>
        <v>H05</v>
      </c>
      <c r="E46" s="1"/>
      <c r="F46" s="1">
        <v>431</v>
      </c>
      <c r="G46" s="1"/>
      <c r="H46" s="296">
        <v>59868.800000000003</v>
      </c>
      <c r="I46" s="296">
        <v>16943.509999999998</v>
      </c>
      <c r="J46" s="296">
        <v>1197.4099999999999</v>
      </c>
      <c r="K46" s="126">
        <v>61568</v>
      </c>
      <c r="L46" s="107">
        <f t="shared" si="3"/>
        <v>0.28860000000000002</v>
      </c>
      <c r="M46" s="206">
        <f t="shared" si="2"/>
        <v>17768.524800000003</v>
      </c>
    </row>
    <row r="47" spans="1:13" s="2" customFormat="1">
      <c r="A47" s="1">
        <v>32</v>
      </c>
      <c r="C47" s="9">
        <v>1</v>
      </c>
      <c r="D47" s="1" t="str">
        <f>'1.10 Wages'!D43</f>
        <v>H06</v>
      </c>
      <c r="E47" s="1"/>
      <c r="F47" s="1">
        <v>440</v>
      </c>
      <c r="G47" s="1" t="s">
        <v>123</v>
      </c>
      <c r="H47" s="296">
        <v>18398.439999999999</v>
      </c>
      <c r="I47" s="296">
        <v>4719.8999999999996</v>
      </c>
      <c r="J47" s="296">
        <v>361.89</v>
      </c>
      <c r="K47" s="126">
        <v>0</v>
      </c>
      <c r="L47" s="107">
        <f t="shared" si="3"/>
        <v>0.28860000000000002</v>
      </c>
      <c r="M47" s="206">
        <f t="shared" si="2"/>
        <v>0</v>
      </c>
    </row>
    <row r="48" spans="1:13" s="2" customFormat="1">
      <c r="A48" s="1">
        <v>33</v>
      </c>
      <c r="C48" s="9">
        <v>1</v>
      </c>
      <c r="D48" s="1" t="str">
        <f>'1.10 Wages'!D44</f>
        <v>H07</v>
      </c>
      <c r="E48" s="1"/>
      <c r="F48" s="1">
        <v>451</v>
      </c>
      <c r="G48" s="1"/>
      <c r="H48" s="296">
        <v>93928</v>
      </c>
      <c r="I48" s="296">
        <v>26581.96</v>
      </c>
      <c r="J48" s="296">
        <v>1878.6399999999999</v>
      </c>
      <c r="K48" s="126">
        <v>100713.60000000001</v>
      </c>
      <c r="L48" s="107">
        <f t="shared" si="3"/>
        <v>0.28860000000000002</v>
      </c>
      <c r="M48" s="206">
        <f t="shared" si="2"/>
        <v>29065.944960000004</v>
      </c>
    </row>
    <row r="49" spans="1:13" s="2" customFormat="1">
      <c r="A49" s="1">
        <v>34</v>
      </c>
      <c r="C49" s="9">
        <v>1</v>
      </c>
      <c r="D49" s="1" t="str">
        <f>'1.10 Wages'!D45</f>
        <v>H08</v>
      </c>
      <c r="E49" s="1"/>
      <c r="F49" s="1">
        <v>460</v>
      </c>
      <c r="G49" s="1"/>
      <c r="H49" s="296">
        <v>8942.82</v>
      </c>
      <c r="I49" s="296">
        <v>12365.01</v>
      </c>
      <c r="J49" s="296">
        <v>136.97000000000003</v>
      </c>
      <c r="K49" s="126">
        <v>0</v>
      </c>
      <c r="L49" s="107">
        <f t="shared" si="3"/>
        <v>0.28860000000000002</v>
      </c>
      <c r="M49" s="206">
        <f t="shared" si="2"/>
        <v>0</v>
      </c>
    </row>
    <row r="50" spans="1:13" s="2" customFormat="1">
      <c r="A50" s="1">
        <v>35</v>
      </c>
      <c r="C50" s="9">
        <v>1</v>
      </c>
      <c r="D50" s="1" t="str">
        <f>'1.10 Wages'!D46</f>
        <v>H09</v>
      </c>
      <c r="E50" s="1"/>
      <c r="F50" s="1">
        <v>461</v>
      </c>
      <c r="G50" s="1"/>
      <c r="H50" s="296">
        <v>123350.55</v>
      </c>
      <c r="I50" s="296">
        <v>34908.949999999997</v>
      </c>
      <c r="J50" s="296">
        <v>2467.12</v>
      </c>
      <c r="K50" s="126">
        <v>91748.800000000003</v>
      </c>
      <c r="L50" s="107">
        <f t="shared" si="3"/>
        <v>0.28860000000000002</v>
      </c>
      <c r="M50" s="206">
        <f t="shared" si="2"/>
        <v>26478.703680000002</v>
      </c>
    </row>
    <row r="51" spans="1:13" s="2" customFormat="1">
      <c r="A51" s="1">
        <v>36</v>
      </c>
      <c r="C51" s="9">
        <v>1</v>
      </c>
      <c r="D51" s="1" t="str">
        <f>'1.10 Wages'!D47</f>
        <v>H10</v>
      </c>
      <c r="E51" s="1"/>
      <c r="F51" s="1">
        <v>464</v>
      </c>
      <c r="G51" s="1"/>
      <c r="H51" s="296">
        <v>59868.800000000003</v>
      </c>
      <c r="I51" s="296">
        <v>16943.509999999998</v>
      </c>
      <c r="J51" s="296">
        <v>1197.4099999999999</v>
      </c>
      <c r="K51" s="126">
        <v>62774.400000000001</v>
      </c>
      <c r="L51" s="107">
        <f t="shared" si="3"/>
        <v>0.28860000000000002</v>
      </c>
      <c r="M51" s="206">
        <f t="shared" si="2"/>
        <v>18116.691840000003</v>
      </c>
    </row>
    <row r="52" spans="1:13" s="2" customFormat="1">
      <c r="A52" s="1">
        <v>37</v>
      </c>
      <c r="C52" s="9">
        <v>1</v>
      </c>
      <c r="D52" s="1" t="str">
        <f>'1.10 Wages'!D48</f>
        <v>H11</v>
      </c>
      <c r="E52" s="1"/>
      <c r="F52" s="1">
        <v>477</v>
      </c>
      <c r="G52" s="1"/>
      <c r="H52" s="296">
        <v>59999.26</v>
      </c>
      <c r="I52" s="296">
        <v>15916.43</v>
      </c>
      <c r="J52" s="296">
        <v>1200.02</v>
      </c>
      <c r="K52" s="126">
        <v>71489.599999999991</v>
      </c>
      <c r="L52" s="107">
        <f t="shared" si="3"/>
        <v>0.28860000000000002</v>
      </c>
      <c r="M52" s="206">
        <f t="shared" si="2"/>
        <v>20631.898559999998</v>
      </c>
    </row>
    <row r="53" spans="1:13" s="2" customFormat="1">
      <c r="A53" s="1">
        <v>38</v>
      </c>
      <c r="C53" s="9">
        <v>1</v>
      </c>
      <c r="D53" s="1" t="str">
        <f>'1.10 Wages'!D49</f>
        <v>H12</v>
      </c>
      <c r="E53" s="1"/>
      <c r="F53" s="1">
        <v>478</v>
      </c>
      <c r="G53" s="1"/>
      <c r="H53" s="296">
        <v>90665.68</v>
      </c>
      <c r="I53" s="296">
        <v>26581.96</v>
      </c>
      <c r="J53" s="296">
        <v>1813.39</v>
      </c>
      <c r="K53" s="126">
        <v>100713.60000000001</v>
      </c>
      <c r="L53" s="107">
        <f t="shared" si="3"/>
        <v>0.28860000000000002</v>
      </c>
      <c r="M53" s="206">
        <f t="shared" si="2"/>
        <v>29065.944960000004</v>
      </c>
    </row>
    <row r="54" spans="1:13" s="2" customFormat="1">
      <c r="A54" s="1">
        <v>39</v>
      </c>
      <c r="C54" s="9">
        <v>1</v>
      </c>
      <c r="D54" s="1" t="str">
        <f>'1.10 Wages'!D50</f>
        <v>H13</v>
      </c>
      <c r="E54" s="1"/>
      <c r="F54" s="1">
        <v>489</v>
      </c>
      <c r="G54" s="1"/>
      <c r="H54" s="296">
        <v>89098.4</v>
      </c>
      <c r="I54" s="296">
        <v>25215.74</v>
      </c>
      <c r="J54" s="296">
        <v>1782.02</v>
      </c>
      <c r="K54" s="126">
        <v>96241.600000000006</v>
      </c>
      <c r="L54" s="107">
        <f t="shared" si="3"/>
        <v>0.28860000000000002</v>
      </c>
      <c r="M54" s="206">
        <f t="shared" si="2"/>
        <v>27775.325760000003</v>
      </c>
    </row>
    <row r="55" spans="1:13" s="2" customFormat="1">
      <c r="A55" s="1">
        <v>40</v>
      </c>
      <c r="C55" s="9">
        <v>1</v>
      </c>
      <c r="D55" s="1" t="str">
        <f>'1.10 Wages'!D51</f>
        <v>H14</v>
      </c>
      <c r="E55" s="1"/>
      <c r="F55" s="1">
        <v>506</v>
      </c>
      <c r="G55" s="1"/>
      <c r="H55" s="296">
        <v>76162.399999999994</v>
      </c>
      <c r="I55" s="296">
        <v>21554.36</v>
      </c>
      <c r="J55" s="296">
        <v>1523.15</v>
      </c>
      <c r="K55" s="126">
        <v>80704</v>
      </c>
      <c r="L55" s="107">
        <f t="shared" si="3"/>
        <v>0.28860000000000002</v>
      </c>
      <c r="M55" s="206">
        <f t="shared" si="2"/>
        <v>23291.174400000004</v>
      </c>
    </row>
    <row r="56" spans="1:13" s="2" customFormat="1">
      <c r="A56" s="1">
        <v>41</v>
      </c>
      <c r="C56" s="9">
        <v>1</v>
      </c>
      <c r="D56" s="1" t="str">
        <f>'1.10 Wages'!D52</f>
        <v>H15</v>
      </c>
      <c r="E56" s="1"/>
      <c r="F56" s="1">
        <v>519</v>
      </c>
      <c r="G56" s="1"/>
      <c r="H56" s="296">
        <v>86691.520000000004</v>
      </c>
      <c r="I56" s="296">
        <v>25215.74</v>
      </c>
      <c r="J56" s="296">
        <v>1733.8600000000001</v>
      </c>
      <c r="K56" s="126">
        <v>96241.600000000006</v>
      </c>
      <c r="L56" s="107">
        <f t="shared" si="3"/>
        <v>0.28860000000000002</v>
      </c>
      <c r="M56" s="206">
        <f t="shared" si="2"/>
        <v>27775.325760000003</v>
      </c>
    </row>
    <row r="57" spans="1:13" s="2" customFormat="1">
      <c r="A57" s="1">
        <v>42</v>
      </c>
      <c r="C57" s="9">
        <v>1</v>
      </c>
      <c r="D57" s="1" t="str">
        <f>'1.10 Wages'!D53</f>
        <v>H16</v>
      </c>
      <c r="E57" s="1"/>
      <c r="F57" s="1">
        <v>523</v>
      </c>
      <c r="G57" s="1"/>
      <c r="H57" s="296">
        <v>89098.4</v>
      </c>
      <c r="I57" s="296">
        <v>25215.74</v>
      </c>
      <c r="J57" s="296">
        <v>1782.02</v>
      </c>
      <c r="K57" s="126">
        <v>96241.600000000006</v>
      </c>
      <c r="L57" s="107">
        <f t="shared" si="3"/>
        <v>0.28860000000000002</v>
      </c>
      <c r="M57" s="206">
        <f t="shared" si="2"/>
        <v>27775.325760000003</v>
      </c>
    </row>
    <row r="58" spans="1:13" s="2" customFormat="1">
      <c r="A58" s="1">
        <v>43</v>
      </c>
      <c r="C58" s="9">
        <v>1</v>
      </c>
      <c r="D58" s="1" t="str">
        <f>'1.10 Wages'!D54</f>
        <v>H17</v>
      </c>
      <c r="E58" s="1"/>
      <c r="F58" s="1">
        <v>524</v>
      </c>
      <c r="G58" s="1"/>
      <c r="H58" s="296">
        <v>89098.4</v>
      </c>
      <c r="I58" s="296">
        <v>25215.74</v>
      </c>
      <c r="J58" s="296">
        <v>1782.02</v>
      </c>
      <c r="K58" s="126">
        <v>96241.600000000006</v>
      </c>
      <c r="L58" s="107">
        <f t="shared" si="3"/>
        <v>0.28860000000000002</v>
      </c>
      <c r="M58" s="206">
        <f t="shared" si="2"/>
        <v>27775.325760000003</v>
      </c>
    </row>
    <row r="59" spans="1:13" s="2" customFormat="1">
      <c r="A59" s="1">
        <v>44</v>
      </c>
      <c r="C59" s="9">
        <v>1</v>
      </c>
      <c r="D59" s="1" t="str">
        <f>'1.10 Wages'!D55</f>
        <v>H18</v>
      </c>
      <c r="E59" s="1"/>
      <c r="F59" s="1">
        <v>526</v>
      </c>
      <c r="G59" s="1"/>
      <c r="H59" s="296">
        <v>76162.399999999994</v>
      </c>
      <c r="I59" s="296">
        <v>21554.36</v>
      </c>
      <c r="J59" s="296">
        <v>1523.15</v>
      </c>
      <c r="K59" s="126">
        <v>80704</v>
      </c>
      <c r="L59" s="107">
        <f t="shared" si="3"/>
        <v>0.28860000000000002</v>
      </c>
      <c r="M59" s="206">
        <f t="shared" si="2"/>
        <v>23291.174400000004</v>
      </c>
    </row>
    <row r="60" spans="1:13" s="2" customFormat="1">
      <c r="A60" s="1">
        <v>45</v>
      </c>
      <c r="C60" s="9">
        <v>1</v>
      </c>
      <c r="D60" s="1" t="str">
        <f>'1.10 Wages'!D56</f>
        <v>H19</v>
      </c>
      <c r="E60" s="1"/>
      <c r="F60" s="1">
        <v>528</v>
      </c>
      <c r="G60" s="1"/>
      <c r="H60" s="296">
        <v>93928</v>
      </c>
      <c r="I60" s="296">
        <v>26581.96</v>
      </c>
      <c r="J60" s="296">
        <v>1878.6399999999999</v>
      </c>
      <c r="K60" s="126">
        <v>100713.60000000001</v>
      </c>
      <c r="L60" s="107">
        <f t="shared" si="3"/>
        <v>0.28860000000000002</v>
      </c>
      <c r="M60" s="206">
        <f t="shared" si="2"/>
        <v>29065.944960000004</v>
      </c>
    </row>
    <row r="61" spans="1:13" s="2" customFormat="1">
      <c r="A61" s="1">
        <v>46</v>
      </c>
      <c r="C61" s="9">
        <v>1</v>
      </c>
      <c r="D61" s="1" t="str">
        <f>'1.10 Wages'!D57</f>
        <v>H20</v>
      </c>
      <c r="E61" s="1"/>
      <c r="F61" s="1">
        <v>545</v>
      </c>
      <c r="G61" s="1" t="s">
        <v>123</v>
      </c>
      <c r="H61" s="296">
        <v>82595.199999999997</v>
      </c>
      <c r="I61" s="296">
        <v>22360.81</v>
      </c>
      <c r="J61" s="296">
        <v>1651.8400000000001</v>
      </c>
      <c r="K61" s="126">
        <v>0</v>
      </c>
      <c r="L61" s="107">
        <f t="shared" si="3"/>
        <v>0.28860000000000002</v>
      </c>
      <c r="M61" s="206">
        <f t="shared" si="2"/>
        <v>0</v>
      </c>
    </row>
    <row r="62" spans="1:13" s="2" customFormat="1">
      <c r="A62" s="1">
        <v>47</v>
      </c>
      <c r="C62" s="9">
        <v>1</v>
      </c>
      <c r="D62" s="1" t="str">
        <f>'1.10 Wages'!D58</f>
        <v>H21</v>
      </c>
      <c r="E62" s="1"/>
      <c r="F62" s="1">
        <v>546</v>
      </c>
      <c r="G62" s="1"/>
      <c r="H62" s="296">
        <v>75282.399999999994</v>
      </c>
      <c r="I62" s="296">
        <v>20822.849999999999</v>
      </c>
      <c r="J62" s="296">
        <v>1505.6</v>
      </c>
      <c r="K62" s="126">
        <v>80704</v>
      </c>
      <c r="L62" s="107">
        <f t="shared" si="3"/>
        <v>0.28860000000000002</v>
      </c>
      <c r="M62" s="206">
        <f t="shared" si="2"/>
        <v>23291.174400000004</v>
      </c>
    </row>
    <row r="63" spans="1:13" s="2" customFormat="1">
      <c r="A63" s="1">
        <v>48</v>
      </c>
      <c r="C63" s="9">
        <v>1</v>
      </c>
      <c r="D63" s="1" t="str">
        <f>'1.10 Wages'!D59</f>
        <v>H22</v>
      </c>
      <c r="E63" s="1"/>
      <c r="F63" s="1">
        <v>562</v>
      </c>
      <c r="G63" s="1" t="s">
        <v>123</v>
      </c>
      <c r="H63" s="296">
        <v>4280.3999999999996</v>
      </c>
      <c r="I63" s="296">
        <v>1766.4300000000003</v>
      </c>
      <c r="J63" s="296">
        <v>85.610000000000014</v>
      </c>
      <c r="K63" s="126">
        <v>0</v>
      </c>
      <c r="L63" s="107">
        <f t="shared" si="3"/>
        <v>0.28860000000000002</v>
      </c>
      <c r="M63" s="206">
        <f t="shared" si="2"/>
        <v>0</v>
      </c>
    </row>
    <row r="64" spans="1:13" s="2" customFormat="1">
      <c r="A64" s="1">
        <v>49</v>
      </c>
      <c r="C64" s="9">
        <v>1</v>
      </c>
      <c r="D64" s="1" t="str">
        <f>'1.10 Wages'!D60</f>
        <v>H23</v>
      </c>
      <c r="E64" s="1"/>
      <c r="F64" s="1">
        <v>569</v>
      </c>
      <c r="G64" s="1"/>
      <c r="H64" s="296">
        <v>86347.68</v>
      </c>
      <c r="I64" s="296">
        <v>25215.74</v>
      </c>
      <c r="J64" s="296">
        <v>1726.98</v>
      </c>
      <c r="K64" s="126">
        <v>96241.600000000006</v>
      </c>
      <c r="L64" s="107">
        <f t="shared" si="3"/>
        <v>0.28860000000000002</v>
      </c>
      <c r="M64" s="206">
        <f t="shared" si="2"/>
        <v>27775.325760000003</v>
      </c>
    </row>
    <row r="65" spans="1:13" s="2" customFormat="1">
      <c r="A65" s="1">
        <v>50</v>
      </c>
      <c r="C65" s="9">
        <v>1</v>
      </c>
      <c r="D65" s="1" t="str">
        <f>'1.10 Wages'!D61</f>
        <v>H24</v>
      </c>
      <c r="E65" s="1"/>
      <c r="F65" s="1">
        <v>570</v>
      </c>
      <c r="G65" s="1"/>
      <c r="H65" s="296">
        <v>93392</v>
      </c>
      <c r="I65" s="296">
        <v>25557.31</v>
      </c>
      <c r="J65" s="296">
        <v>1867.91</v>
      </c>
      <c r="K65" s="206">
        <v>96844.800000000003</v>
      </c>
      <c r="L65" s="107">
        <f t="shared" si="3"/>
        <v>0.28860000000000002</v>
      </c>
      <c r="M65" s="206">
        <f t="shared" si="2"/>
        <v>27949.409280000003</v>
      </c>
    </row>
    <row r="66" spans="1:13" s="2" customFormat="1">
      <c r="A66" s="1">
        <v>51</v>
      </c>
      <c r="C66" s="9">
        <v>1</v>
      </c>
      <c r="D66" s="1" t="str">
        <f>'1.10 Wages'!D62</f>
        <v>H25</v>
      </c>
      <c r="E66" s="1"/>
      <c r="F66" s="1">
        <v>571</v>
      </c>
      <c r="G66" s="1"/>
      <c r="H66" s="296">
        <v>98321.600000000006</v>
      </c>
      <c r="I66" s="296">
        <v>28209.48</v>
      </c>
      <c r="J66" s="296">
        <v>1966.38</v>
      </c>
      <c r="K66" s="126">
        <v>98321.600000000006</v>
      </c>
      <c r="L66" s="107">
        <f t="shared" si="3"/>
        <v>0.28860000000000002</v>
      </c>
      <c r="M66" s="206">
        <f t="shared" si="2"/>
        <v>28375.613760000004</v>
      </c>
    </row>
    <row r="67" spans="1:13" s="2" customFormat="1">
      <c r="A67" s="1">
        <v>52</v>
      </c>
      <c r="C67" s="9">
        <v>1</v>
      </c>
      <c r="D67" s="1" t="str">
        <f>'1.10 Wages'!D63</f>
        <v>H26</v>
      </c>
      <c r="E67" s="1"/>
      <c r="F67" s="1">
        <v>578</v>
      </c>
      <c r="G67" s="1"/>
      <c r="H67" s="296">
        <v>76162.399999999994</v>
      </c>
      <c r="I67" s="296">
        <v>21554.36</v>
      </c>
      <c r="J67" s="296">
        <v>1523.15</v>
      </c>
      <c r="K67" s="206">
        <v>78520</v>
      </c>
      <c r="L67" s="107">
        <f t="shared" si="3"/>
        <v>0.28860000000000002</v>
      </c>
      <c r="M67" s="206">
        <f t="shared" si="2"/>
        <v>22660.872000000003</v>
      </c>
    </row>
    <row r="68" spans="1:13" s="2" customFormat="1">
      <c r="A68" s="1">
        <v>53</v>
      </c>
      <c r="C68" s="9">
        <v>1</v>
      </c>
      <c r="D68" s="1" t="str">
        <f>'1.10 Wages'!D64</f>
        <v>H27</v>
      </c>
      <c r="E68" s="1"/>
      <c r="F68" s="1">
        <v>592</v>
      </c>
      <c r="G68" s="1" t="s">
        <v>123</v>
      </c>
      <c r="H68" s="296">
        <v>20342.64</v>
      </c>
      <c r="I68" s="296">
        <v>6535.2899999999991</v>
      </c>
      <c r="J68" s="296">
        <v>452.69999999999993</v>
      </c>
      <c r="K68" s="126">
        <v>0</v>
      </c>
      <c r="L68" s="107">
        <f t="shared" si="3"/>
        <v>0.28860000000000002</v>
      </c>
      <c r="M68" s="206">
        <f t="shared" si="2"/>
        <v>0</v>
      </c>
    </row>
    <row r="69" spans="1:13" s="2" customFormat="1">
      <c r="A69" s="1">
        <v>54</v>
      </c>
      <c r="C69" s="9">
        <v>1</v>
      </c>
      <c r="D69" s="1" t="str">
        <f>'1.10 Wages'!D65</f>
        <v>H28</v>
      </c>
      <c r="E69" s="1"/>
      <c r="F69" s="1">
        <v>594</v>
      </c>
      <c r="G69" s="1"/>
      <c r="H69" s="296">
        <v>88668.4</v>
      </c>
      <c r="I69" s="296">
        <v>22099.96</v>
      </c>
      <c r="J69" s="296">
        <v>1773.4</v>
      </c>
      <c r="K69" s="126">
        <v>87484.800000000003</v>
      </c>
      <c r="L69" s="107">
        <f t="shared" si="3"/>
        <v>0.28860000000000002</v>
      </c>
      <c r="M69" s="206">
        <f t="shared" si="2"/>
        <v>25248.113280000001</v>
      </c>
    </row>
    <row r="70" spans="1:13" s="2" customFormat="1">
      <c r="A70" s="1">
        <v>55</v>
      </c>
      <c r="C70" s="9">
        <v>1</v>
      </c>
      <c r="D70" s="1" t="str">
        <f>'1.10 Wages'!D66</f>
        <v>H29</v>
      </c>
      <c r="E70" s="1"/>
      <c r="F70" s="1">
        <v>599</v>
      </c>
      <c r="G70" s="1"/>
      <c r="H70" s="296">
        <v>89098.4</v>
      </c>
      <c r="I70" s="296">
        <v>25215.74</v>
      </c>
      <c r="J70" s="296">
        <v>1782.02</v>
      </c>
      <c r="K70" s="126">
        <v>96241.600000000006</v>
      </c>
      <c r="L70" s="107">
        <f t="shared" si="3"/>
        <v>0.28860000000000002</v>
      </c>
      <c r="M70" s="206">
        <f t="shared" si="2"/>
        <v>27775.325760000003</v>
      </c>
    </row>
    <row r="71" spans="1:13" s="2" customFormat="1">
      <c r="A71" s="1">
        <v>56</v>
      </c>
      <c r="C71" s="9">
        <v>1</v>
      </c>
      <c r="D71" s="1" t="str">
        <f>'1.10 Wages'!D67</f>
        <v>H30</v>
      </c>
      <c r="E71" s="1"/>
      <c r="F71" s="1">
        <v>616</v>
      </c>
      <c r="G71" s="1"/>
      <c r="H71" s="296">
        <v>76162.399999999994</v>
      </c>
      <c r="I71" s="296">
        <v>21554.36</v>
      </c>
      <c r="J71" s="296">
        <v>1523.15</v>
      </c>
      <c r="K71" s="126">
        <v>80704</v>
      </c>
      <c r="L71" s="107">
        <f t="shared" si="3"/>
        <v>0.28860000000000002</v>
      </c>
      <c r="M71" s="206">
        <f t="shared" si="2"/>
        <v>23291.174400000004</v>
      </c>
    </row>
    <row r="72" spans="1:13" s="2" customFormat="1">
      <c r="A72" s="1">
        <v>57</v>
      </c>
      <c r="C72" s="9">
        <v>1</v>
      </c>
      <c r="D72" s="1" t="str">
        <f>'1.10 Wages'!D68</f>
        <v>H31</v>
      </c>
      <c r="E72" s="1"/>
      <c r="F72" s="1">
        <v>622</v>
      </c>
      <c r="G72" s="1"/>
      <c r="H72" s="296">
        <v>67829.600000000006</v>
      </c>
      <c r="I72" s="296">
        <v>19197.05</v>
      </c>
      <c r="J72" s="296">
        <v>1356.54</v>
      </c>
      <c r="K72" s="126">
        <v>69929.599999999991</v>
      </c>
      <c r="L72" s="107">
        <f t="shared" si="3"/>
        <v>0.28860000000000002</v>
      </c>
      <c r="M72" s="206">
        <f t="shared" si="2"/>
        <v>20181.682559999997</v>
      </c>
    </row>
    <row r="73" spans="1:13" s="2" customFormat="1">
      <c r="A73" s="1">
        <v>58</v>
      </c>
      <c r="C73" s="9">
        <v>1</v>
      </c>
      <c r="D73" s="1" t="str">
        <f>'1.10 Wages'!D69</f>
        <v>H32</v>
      </c>
      <c r="E73" s="1"/>
      <c r="F73" s="1">
        <v>626</v>
      </c>
      <c r="G73" s="1"/>
      <c r="H73" s="296">
        <v>89098.4</v>
      </c>
      <c r="I73" s="296">
        <v>25215.74</v>
      </c>
      <c r="J73" s="296">
        <v>1782.02</v>
      </c>
      <c r="K73" s="126">
        <v>96241.600000000006</v>
      </c>
      <c r="L73" s="107">
        <f t="shared" si="3"/>
        <v>0.28860000000000002</v>
      </c>
      <c r="M73" s="206">
        <f t="shared" si="2"/>
        <v>27775.325760000003</v>
      </c>
    </row>
    <row r="74" spans="1:13" s="2" customFormat="1">
      <c r="A74" s="1">
        <v>59</v>
      </c>
      <c r="C74" s="9">
        <v>1</v>
      </c>
      <c r="D74" s="1" t="str">
        <f>'1.10 Wages'!D70</f>
        <v>H33</v>
      </c>
      <c r="E74" s="1"/>
      <c r="F74" s="1">
        <v>629</v>
      </c>
      <c r="G74" s="1"/>
      <c r="H74" s="296">
        <v>93928</v>
      </c>
      <c r="I74" s="296">
        <v>26581.96</v>
      </c>
      <c r="J74" s="296">
        <v>1878.6399999999999</v>
      </c>
      <c r="K74" s="126">
        <v>100713.60000000001</v>
      </c>
      <c r="L74" s="107">
        <f t="shared" si="3"/>
        <v>0.28860000000000002</v>
      </c>
      <c r="M74" s="206">
        <f t="shared" si="2"/>
        <v>29065.944960000004</v>
      </c>
    </row>
    <row r="75" spans="1:13" s="2" customFormat="1">
      <c r="A75" s="1">
        <v>60</v>
      </c>
      <c r="C75" s="9">
        <v>1</v>
      </c>
      <c r="D75" s="1" t="str">
        <f>'1.10 Wages'!D71</f>
        <v>H34</v>
      </c>
      <c r="E75" s="1"/>
      <c r="F75" s="1">
        <v>630</v>
      </c>
      <c r="G75" s="1"/>
      <c r="H75" s="296">
        <v>52261.599999999999</v>
      </c>
      <c r="I75" s="296">
        <v>14791.439999999999</v>
      </c>
      <c r="J75" s="296">
        <v>1045.33</v>
      </c>
      <c r="K75" s="126">
        <v>53539.199999999997</v>
      </c>
      <c r="L75" s="107">
        <f t="shared" si="3"/>
        <v>0.28860000000000002</v>
      </c>
      <c r="M75" s="206">
        <f t="shared" si="2"/>
        <v>15451.413120000001</v>
      </c>
    </row>
    <row r="76" spans="1:13" s="2" customFormat="1">
      <c r="A76" s="1">
        <v>61</v>
      </c>
      <c r="C76" s="9">
        <v>1</v>
      </c>
      <c r="D76" s="1" t="str">
        <f>'1.10 Wages'!D72</f>
        <v>H35</v>
      </c>
      <c r="E76" s="1"/>
      <c r="F76" s="1">
        <v>631</v>
      </c>
      <c r="G76" s="1"/>
      <c r="H76" s="296">
        <v>59868.800000000003</v>
      </c>
      <c r="I76" s="296">
        <v>16943.509999999998</v>
      </c>
      <c r="J76" s="296">
        <v>1197.4099999999999</v>
      </c>
      <c r="K76" s="126">
        <v>61568</v>
      </c>
      <c r="L76" s="107">
        <f t="shared" si="3"/>
        <v>0.28860000000000002</v>
      </c>
      <c r="M76" s="206">
        <f t="shared" si="2"/>
        <v>17768.524800000003</v>
      </c>
    </row>
    <row r="77" spans="1:13" s="2" customFormat="1">
      <c r="A77" s="1">
        <v>62</v>
      </c>
      <c r="C77" s="9">
        <v>1</v>
      </c>
      <c r="D77" s="1" t="str">
        <f>'1.10 Wages'!D73</f>
        <v>H36</v>
      </c>
      <c r="E77" s="1"/>
      <c r="F77" s="1">
        <v>633</v>
      </c>
      <c r="G77" s="1"/>
      <c r="H77" s="296">
        <v>52261.65</v>
      </c>
      <c r="I77" s="296">
        <v>14791.439999999999</v>
      </c>
      <c r="J77" s="296">
        <v>1045.33</v>
      </c>
      <c r="K77" s="126">
        <v>53539.199999999997</v>
      </c>
      <c r="L77" s="107">
        <f t="shared" si="3"/>
        <v>0.28860000000000002</v>
      </c>
      <c r="M77" s="206">
        <f t="shared" si="2"/>
        <v>15451.413120000001</v>
      </c>
    </row>
    <row r="78" spans="1:13" s="2" customFormat="1">
      <c r="A78" s="1">
        <v>63</v>
      </c>
      <c r="C78" s="9">
        <v>1</v>
      </c>
      <c r="D78" s="1" t="str">
        <f>'1.10 Wages'!D74</f>
        <v>H37</v>
      </c>
      <c r="E78" s="1"/>
      <c r="F78" s="1">
        <v>634</v>
      </c>
      <c r="G78" s="1"/>
      <c r="H78" s="296">
        <v>89098.4</v>
      </c>
      <c r="I78" s="296">
        <v>25215.74</v>
      </c>
      <c r="J78" s="296">
        <v>0</v>
      </c>
      <c r="K78" s="126">
        <v>96241.600000000006</v>
      </c>
      <c r="L78" s="107">
        <f t="shared" si="3"/>
        <v>0.28860000000000002</v>
      </c>
      <c r="M78" s="206">
        <f>K78*L78</f>
        <v>27775.325760000003</v>
      </c>
    </row>
    <row r="79" spans="1:13" s="2" customFormat="1">
      <c r="A79" s="1">
        <v>64</v>
      </c>
      <c r="C79" s="9">
        <v>1</v>
      </c>
      <c r="D79" s="1" t="str">
        <f>'1.10 Wages'!D75</f>
        <v>H38</v>
      </c>
      <c r="E79" s="1"/>
      <c r="F79" s="1">
        <v>635</v>
      </c>
      <c r="G79" s="1"/>
      <c r="H79" s="296">
        <v>89098.4</v>
      </c>
      <c r="I79" s="296">
        <v>25215.74</v>
      </c>
      <c r="J79" s="296">
        <v>1782.02</v>
      </c>
      <c r="K79" s="126">
        <v>96241.600000000006</v>
      </c>
      <c r="L79" s="107">
        <f t="shared" si="3"/>
        <v>0.28860000000000002</v>
      </c>
      <c r="M79" s="206">
        <f t="shared" si="2"/>
        <v>27775.325760000003</v>
      </c>
    </row>
    <row r="80" spans="1:13" s="2" customFormat="1">
      <c r="A80" s="1">
        <v>65</v>
      </c>
      <c r="C80" s="9">
        <v>1</v>
      </c>
      <c r="D80" s="1" t="str">
        <f>'1.10 Wages'!D76</f>
        <v>H39</v>
      </c>
      <c r="E80" s="1"/>
      <c r="F80" s="1">
        <v>644</v>
      </c>
      <c r="G80" s="1"/>
      <c r="H80" s="296">
        <v>70813.350000000006</v>
      </c>
      <c r="I80" s="296">
        <v>19704.05</v>
      </c>
      <c r="J80" s="296">
        <v>1416.34</v>
      </c>
      <c r="K80" s="126">
        <v>78520</v>
      </c>
      <c r="L80" s="107">
        <f t="shared" si="3"/>
        <v>0.28860000000000002</v>
      </c>
      <c r="M80" s="206">
        <f t="shared" si="2"/>
        <v>22660.872000000003</v>
      </c>
    </row>
    <row r="81" spans="1:13" s="2" customFormat="1">
      <c r="A81" s="1">
        <v>66</v>
      </c>
      <c r="C81" s="9">
        <v>1</v>
      </c>
      <c r="D81" s="1" t="str">
        <f>'1.10 Wages'!D77</f>
        <v>H40</v>
      </c>
      <c r="E81" s="1"/>
      <c r="F81" s="1">
        <v>645</v>
      </c>
      <c r="G81" s="1"/>
      <c r="H81" s="296">
        <v>52261.599999999999</v>
      </c>
      <c r="I81" s="296">
        <v>14791.439999999999</v>
      </c>
      <c r="J81" s="296">
        <v>1045.33</v>
      </c>
      <c r="K81" s="126">
        <v>53539.199999999997</v>
      </c>
      <c r="L81" s="107">
        <f t="shared" si="3"/>
        <v>0.28860000000000002</v>
      </c>
      <c r="M81" s="206">
        <f t="shared" si="2"/>
        <v>15451.413120000001</v>
      </c>
    </row>
    <row r="82" spans="1:13" s="2" customFormat="1">
      <c r="A82" s="1">
        <v>67</v>
      </c>
      <c r="C82" s="9">
        <v>1</v>
      </c>
      <c r="D82" s="1" t="str">
        <f>'1.10 Wages'!D78</f>
        <v>H41</v>
      </c>
      <c r="E82" s="1"/>
      <c r="F82" s="1">
        <v>652</v>
      </c>
      <c r="G82" s="1"/>
      <c r="H82" s="296">
        <v>62513.49</v>
      </c>
      <c r="I82" s="296">
        <v>21554.36</v>
      </c>
      <c r="J82" s="296">
        <v>1250.1999999999998</v>
      </c>
      <c r="K82" s="126">
        <v>78520</v>
      </c>
      <c r="L82" s="107">
        <f t="shared" si="3"/>
        <v>0.28860000000000002</v>
      </c>
      <c r="M82" s="206">
        <f t="shared" si="2"/>
        <v>22660.872000000003</v>
      </c>
    </row>
    <row r="83" spans="1:13" s="2" customFormat="1">
      <c r="A83" s="1">
        <v>68</v>
      </c>
      <c r="C83" s="9">
        <v>1</v>
      </c>
      <c r="D83" s="1" t="str">
        <f>'1.10 Wages'!D79</f>
        <v>H42</v>
      </c>
      <c r="E83" s="1"/>
      <c r="F83" s="1">
        <v>653</v>
      </c>
      <c r="G83" s="1" t="s">
        <v>123</v>
      </c>
      <c r="H83" s="296">
        <v>0</v>
      </c>
      <c r="I83" s="296">
        <v>2453.7800000000007</v>
      </c>
      <c r="J83" s="296">
        <v>0</v>
      </c>
      <c r="K83" s="126">
        <v>0</v>
      </c>
      <c r="L83" s="107">
        <f t="shared" si="3"/>
        <v>0.28860000000000002</v>
      </c>
      <c r="M83" s="206">
        <f t="shared" si="2"/>
        <v>0</v>
      </c>
    </row>
    <row r="84" spans="1:13" s="2" customFormat="1">
      <c r="A84" s="1">
        <v>69</v>
      </c>
      <c r="C84" s="9">
        <v>1</v>
      </c>
      <c r="D84" s="1" t="str">
        <f>'1.10 Wages'!D80</f>
        <v>H43</v>
      </c>
      <c r="E84" s="1"/>
      <c r="F84" s="1">
        <v>656</v>
      </c>
      <c r="G84" s="1"/>
      <c r="H84" s="296">
        <v>86347.68</v>
      </c>
      <c r="I84" s="296">
        <v>25215.74</v>
      </c>
      <c r="J84" s="296">
        <v>1726.98</v>
      </c>
      <c r="K84" s="126">
        <v>96241.600000000006</v>
      </c>
      <c r="L84" s="107">
        <f t="shared" si="3"/>
        <v>0.28860000000000002</v>
      </c>
      <c r="M84" s="206">
        <f t="shared" si="2"/>
        <v>27775.325760000003</v>
      </c>
    </row>
    <row r="85" spans="1:13" s="2" customFormat="1">
      <c r="A85" s="1">
        <v>70</v>
      </c>
      <c r="C85" s="9">
        <v>1</v>
      </c>
      <c r="D85" s="1" t="str">
        <f>'1.10 Wages'!D81</f>
        <v>H44</v>
      </c>
      <c r="E85" s="1"/>
      <c r="F85" s="1">
        <v>657</v>
      </c>
      <c r="G85" s="1"/>
      <c r="H85" s="296">
        <v>76162.399999999994</v>
      </c>
      <c r="I85" s="296">
        <v>21554.36</v>
      </c>
      <c r="J85" s="296">
        <v>1523.15</v>
      </c>
      <c r="K85" s="126">
        <v>78520</v>
      </c>
      <c r="L85" s="107">
        <f t="shared" si="3"/>
        <v>0.28860000000000002</v>
      </c>
      <c r="M85" s="206">
        <f t="shared" si="2"/>
        <v>22660.872000000003</v>
      </c>
    </row>
    <row r="86" spans="1:13" s="2" customFormat="1">
      <c r="A86" s="1">
        <v>71</v>
      </c>
      <c r="C86" s="9">
        <v>1</v>
      </c>
      <c r="D86" s="1" t="str">
        <f>'1.10 Wages'!D82</f>
        <v>H45</v>
      </c>
      <c r="E86" s="1"/>
      <c r="F86" s="1">
        <v>660</v>
      </c>
      <c r="G86" s="1"/>
      <c r="H86" s="296">
        <v>53724.36</v>
      </c>
      <c r="I86" s="296">
        <v>14791.439999999999</v>
      </c>
      <c r="J86" s="296">
        <v>1074.47</v>
      </c>
      <c r="K86" s="126">
        <v>59009.599999999999</v>
      </c>
      <c r="L86" s="107">
        <f t="shared" si="3"/>
        <v>0.28860000000000002</v>
      </c>
      <c r="M86" s="206">
        <f t="shared" si="2"/>
        <v>17030.170560000002</v>
      </c>
    </row>
    <row r="87" spans="1:13" s="2" customFormat="1">
      <c r="A87" s="1">
        <v>72</v>
      </c>
      <c r="C87" s="9">
        <v>1</v>
      </c>
      <c r="D87" s="1" t="str">
        <f>'1.10 Wages'!D83</f>
        <v>H46</v>
      </c>
      <c r="E87" s="1"/>
      <c r="F87" s="1">
        <v>661</v>
      </c>
      <c r="G87" s="1" t="s">
        <v>123</v>
      </c>
      <c r="H87" s="296">
        <v>28235.200000000001</v>
      </c>
      <c r="I87" s="296">
        <v>14791.439999999999</v>
      </c>
      <c r="J87" s="296">
        <v>544.58999999999992</v>
      </c>
      <c r="K87" s="126">
        <v>0</v>
      </c>
      <c r="L87" s="107">
        <f t="shared" si="3"/>
        <v>0.28860000000000002</v>
      </c>
      <c r="M87" s="206">
        <f t="shared" si="2"/>
        <v>0</v>
      </c>
    </row>
    <row r="88" spans="1:13" s="2" customFormat="1">
      <c r="A88" s="1">
        <v>73</v>
      </c>
      <c r="C88" s="9">
        <v>1</v>
      </c>
      <c r="D88" s="1" t="str">
        <f>'1.10 Wages'!D84</f>
        <v>H47</v>
      </c>
      <c r="E88" s="1"/>
      <c r="F88" s="1">
        <v>662</v>
      </c>
      <c r="G88" s="1"/>
      <c r="H88" s="296">
        <v>53875.69</v>
      </c>
      <c r="I88" s="296">
        <v>15106.689999999999</v>
      </c>
      <c r="J88" s="296">
        <v>1077.49</v>
      </c>
      <c r="K88" s="126">
        <v>73403.199999999997</v>
      </c>
      <c r="L88" s="107">
        <f t="shared" si="3"/>
        <v>0.28860000000000002</v>
      </c>
      <c r="M88" s="206">
        <f t="shared" si="2"/>
        <v>21184.163520000002</v>
      </c>
    </row>
    <row r="89" spans="1:13" s="2" customFormat="1">
      <c r="A89" s="1">
        <v>74</v>
      </c>
      <c r="C89" s="9">
        <v>1</v>
      </c>
      <c r="D89" s="1" t="str">
        <f>'1.10 Wages'!D85</f>
        <v>H48</v>
      </c>
      <c r="E89" s="1"/>
      <c r="F89" s="1">
        <v>664</v>
      </c>
      <c r="G89" s="1"/>
      <c r="H89" s="296">
        <v>76162.399999999994</v>
      </c>
      <c r="I89" s="296">
        <v>21554.36</v>
      </c>
      <c r="J89" s="296">
        <v>1523.15</v>
      </c>
      <c r="K89" s="126">
        <v>78520</v>
      </c>
      <c r="L89" s="107">
        <f t="shared" si="3"/>
        <v>0.28860000000000002</v>
      </c>
      <c r="M89" s="206">
        <f t="shared" si="2"/>
        <v>22660.872000000003</v>
      </c>
    </row>
    <row r="90" spans="1:13" s="2" customFormat="1">
      <c r="A90" s="1">
        <v>75</v>
      </c>
      <c r="C90" s="9">
        <v>1</v>
      </c>
      <c r="D90" s="1" t="str">
        <f>'1.10 Wages'!D86</f>
        <v>H49</v>
      </c>
      <c r="E90" s="1"/>
      <c r="F90" s="1">
        <v>665</v>
      </c>
      <c r="G90" s="1"/>
      <c r="H90" s="296">
        <v>52261.599999999999</v>
      </c>
      <c r="I90" s="296">
        <v>14791.439999999999</v>
      </c>
      <c r="J90" s="296">
        <v>1045.33</v>
      </c>
      <c r="K90" s="126">
        <v>53539.199999999997</v>
      </c>
      <c r="L90" s="107">
        <f t="shared" si="3"/>
        <v>0.28860000000000002</v>
      </c>
      <c r="M90" s="206">
        <f t="shared" si="2"/>
        <v>15451.413120000001</v>
      </c>
    </row>
    <row r="91" spans="1:13" s="2" customFormat="1">
      <c r="A91" s="1">
        <v>76</v>
      </c>
      <c r="C91" s="9">
        <v>1</v>
      </c>
      <c r="D91" s="1" t="str">
        <f>'1.10 Wages'!D87</f>
        <v>H50</v>
      </c>
      <c r="E91" s="1"/>
      <c r="F91" s="1">
        <v>667</v>
      </c>
      <c r="G91" s="1"/>
      <c r="H91" s="296">
        <v>93928</v>
      </c>
      <c r="I91" s="296">
        <v>26581.96</v>
      </c>
      <c r="J91" s="296">
        <v>1878.6399999999999</v>
      </c>
      <c r="K91" s="126">
        <v>100713.60000000001</v>
      </c>
      <c r="L91" s="107">
        <f t="shared" si="3"/>
        <v>0.28860000000000002</v>
      </c>
      <c r="M91" s="206">
        <f t="shared" si="2"/>
        <v>29065.944960000004</v>
      </c>
    </row>
    <row r="92" spans="1:13" s="2" customFormat="1">
      <c r="A92" s="1">
        <v>77</v>
      </c>
      <c r="C92" s="9">
        <v>1</v>
      </c>
      <c r="D92" s="1" t="str">
        <f>'1.10 Wages'!D88</f>
        <v>H51</v>
      </c>
      <c r="E92" s="1"/>
      <c r="F92" s="1">
        <v>671</v>
      </c>
      <c r="G92" s="1"/>
      <c r="H92" s="296">
        <v>89098.4</v>
      </c>
      <c r="I92" s="296">
        <v>25215.74</v>
      </c>
      <c r="J92" s="296">
        <v>1782.02</v>
      </c>
      <c r="K92" s="126">
        <v>96241.600000000006</v>
      </c>
      <c r="L92" s="107">
        <f t="shared" si="3"/>
        <v>0.28860000000000002</v>
      </c>
      <c r="M92" s="206">
        <f t="shared" si="2"/>
        <v>27775.325760000003</v>
      </c>
    </row>
    <row r="93" spans="1:13" s="2" customFormat="1">
      <c r="A93" s="1">
        <v>78</v>
      </c>
      <c r="C93" s="9">
        <v>1</v>
      </c>
      <c r="D93" s="1" t="str">
        <f>'1.10 Wages'!D89</f>
        <v>H52</v>
      </c>
      <c r="E93" s="1"/>
      <c r="F93" s="1">
        <v>677</v>
      </c>
      <c r="G93" s="1"/>
      <c r="H93" s="296">
        <v>76820.66</v>
      </c>
      <c r="I93" s="296">
        <v>20072.309999999998</v>
      </c>
      <c r="J93" s="296">
        <v>1536.4900000000002</v>
      </c>
      <c r="K93" s="126">
        <v>85321.600000000006</v>
      </c>
      <c r="L93" s="107">
        <f t="shared" si="3"/>
        <v>0.28860000000000002</v>
      </c>
      <c r="M93" s="206">
        <f t="shared" si="2"/>
        <v>24623.813760000005</v>
      </c>
    </row>
    <row r="94" spans="1:13" s="2" customFormat="1">
      <c r="A94" s="1">
        <v>79</v>
      </c>
      <c r="C94" s="9">
        <v>1</v>
      </c>
      <c r="D94" s="1" t="str">
        <f>'1.10 Wages'!D90</f>
        <v>H53</v>
      </c>
      <c r="E94" s="1"/>
      <c r="F94" s="1">
        <v>678</v>
      </c>
      <c r="G94" s="1"/>
      <c r="H94" s="296">
        <v>52261.599999999999</v>
      </c>
      <c r="I94" s="296">
        <v>14791.439999999999</v>
      </c>
      <c r="J94" s="296">
        <v>1045.33</v>
      </c>
      <c r="K94" s="126">
        <v>53539.199999999997</v>
      </c>
      <c r="L94" s="107">
        <f t="shared" si="3"/>
        <v>0.28860000000000002</v>
      </c>
      <c r="M94" s="206">
        <f t="shared" si="2"/>
        <v>15451.413120000001</v>
      </c>
    </row>
    <row r="95" spans="1:13" s="2" customFormat="1">
      <c r="A95" s="1">
        <v>80</v>
      </c>
      <c r="C95" s="9">
        <v>1</v>
      </c>
      <c r="D95" s="1" t="str">
        <f>'1.10 Wages'!D91</f>
        <v>H54</v>
      </c>
      <c r="E95" s="1"/>
      <c r="F95" s="1">
        <v>679</v>
      </c>
      <c r="G95" s="1"/>
      <c r="H95" s="296">
        <v>76162.399999999994</v>
      </c>
      <c r="I95" s="296">
        <v>21554.36</v>
      </c>
      <c r="J95" s="296">
        <v>1523.15</v>
      </c>
      <c r="K95" s="126">
        <v>78520</v>
      </c>
      <c r="L95" s="107">
        <f t="shared" si="3"/>
        <v>0.28860000000000002</v>
      </c>
      <c r="M95" s="206">
        <f t="shared" si="2"/>
        <v>22660.872000000003</v>
      </c>
    </row>
    <row r="96" spans="1:13" s="2" customFormat="1">
      <c r="A96" s="1">
        <v>81</v>
      </c>
      <c r="C96" s="9">
        <v>1</v>
      </c>
      <c r="D96" s="1" t="str">
        <f>'1.10 Wages'!D92</f>
        <v>H55</v>
      </c>
      <c r="E96" s="1"/>
      <c r="F96" s="1">
        <v>681</v>
      </c>
      <c r="G96" s="1"/>
      <c r="H96" s="296">
        <v>52261.63</v>
      </c>
      <c r="I96" s="296">
        <v>14791.439999999999</v>
      </c>
      <c r="J96" s="296">
        <v>1045</v>
      </c>
      <c r="K96" s="126">
        <v>56222.400000000001</v>
      </c>
      <c r="L96" s="107">
        <f t="shared" si="3"/>
        <v>0.28860000000000002</v>
      </c>
      <c r="M96" s="206">
        <f t="shared" si="2"/>
        <v>16225.784640000002</v>
      </c>
    </row>
    <row r="97" spans="1:13" s="2" customFormat="1">
      <c r="A97" s="1">
        <v>82</v>
      </c>
      <c r="C97" s="9">
        <v>1</v>
      </c>
      <c r="D97" s="1" t="str">
        <f>'1.10 Wages'!D93</f>
        <v>H56</v>
      </c>
      <c r="E97" s="1"/>
      <c r="F97" s="1">
        <v>682</v>
      </c>
      <c r="G97" s="1"/>
      <c r="H97" s="296">
        <v>50591.199999999997</v>
      </c>
      <c r="I97" s="296">
        <v>13244.65</v>
      </c>
      <c r="J97" s="296">
        <v>1011.91</v>
      </c>
      <c r="K97" s="126">
        <v>53539.199999999997</v>
      </c>
      <c r="L97" s="107">
        <f t="shared" si="3"/>
        <v>0.28860000000000002</v>
      </c>
      <c r="M97" s="206">
        <f t="shared" si="2"/>
        <v>15451.413120000001</v>
      </c>
    </row>
    <row r="98" spans="1:13" s="2" customFormat="1">
      <c r="A98" s="1">
        <v>83</v>
      </c>
      <c r="C98" s="9">
        <v>1</v>
      </c>
      <c r="D98" s="1" t="str">
        <f>'1.10 Wages'!D94</f>
        <v>H57</v>
      </c>
      <c r="E98" s="1"/>
      <c r="F98" s="1">
        <v>684</v>
      </c>
      <c r="G98" s="1"/>
      <c r="H98" s="296">
        <v>75282.41</v>
      </c>
      <c r="I98" s="296">
        <v>20822.849999999999</v>
      </c>
      <c r="J98" s="296">
        <v>1449.7600000000002</v>
      </c>
      <c r="K98" s="126">
        <v>80704</v>
      </c>
      <c r="L98" s="107">
        <f t="shared" si="3"/>
        <v>0.28860000000000002</v>
      </c>
      <c r="M98" s="206">
        <f t="shared" si="2"/>
        <v>23291.174400000004</v>
      </c>
    </row>
    <row r="99" spans="1:13" s="2" customFormat="1">
      <c r="A99" s="1">
        <v>84</v>
      </c>
      <c r="C99" s="9">
        <v>1</v>
      </c>
      <c r="D99" s="1" t="str">
        <f>'1.10 Wages'!D95</f>
        <v>H58</v>
      </c>
      <c r="E99" s="1"/>
      <c r="F99" s="1">
        <v>685</v>
      </c>
      <c r="G99" s="1" t="s">
        <v>123</v>
      </c>
      <c r="H99" s="296">
        <v>1779.12</v>
      </c>
      <c r="I99" s="296">
        <v>1573.2999999999993</v>
      </c>
      <c r="J99" s="296">
        <v>35.580000000000041</v>
      </c>
      <c r="K99" s="126">
        <v>0</v>
      </c>
      <c r="L99" s="107">
        <f t="shared" si="3"/>
        <v>0.28860000000000002</v>
      </c>
      <c r="M99" s="206">
        <f t="shared" si="2"/>
        <v>0</v>
      </c>
    </row>
    <row r="100" spans="1:13" s="2" customFormat="1">
      <c r="A100" s="1">
        <v>85</v>
      </c>
      <c r="C100" s="9">
        <v>1</v>
      </c>
      <c r="D100" s="1" t="str">
        <f>'1.10 Wages'!D96</f>
        <v>H59</v>
      </c>
      <c r="E100" s="1"/>
      <c r="F100" s="1">
        <v>686</v>
      </c>
      <c r="G100" s="1"/>
      <c r="H100" s="296">
        <v>60465.19</v>
      </c>
      <c r="I100" s="296">
        <v>21554.36</v>
      </c>
      <c r="J100" s="296">
        <v>1209.1999999999998</v>
      </c>
      <c r="K100" s="126">
        <v>73819.199999999997</v>
      </c>
      <c r="L100" s="107">
        <f t="shared" si="3"/>
        <v>0.28860000000000002</v>
      </c>
      <c r="M100" s="206">
        <f t="shared" si="2"/>
        <v>21304.221120000002</v>
      </c>
    </row>
    <row r="101" spans="1:13" s="2" customFormat="1">
      <c r="A101" s="1">
        <v>86</v>
      </c>
      <c r="C101" s="9">
        <v>1</v>
      </c>
      <c r="D101" s="1" t="str">
        <f>'1.10 Wages'!D97</f>
        <v>H60</v>
      </c>
      <c r="E101" s="1"/>
      <c r="F101" s="1">
        <v>689</v>
      </c>
      <c r="G101" s="1"/>
      <c r="H101" s="296">
        <v>93908.160000000003</v>
      </c>
      <c r="I101" s="296">
        <v>25796.090000000004</v>
      </c>
      <c r="J101" s="296">
        <v>1878.1499999999999</v>
      </c>
      <c r="K101" s="126">
        <v>100713.60000000001</v>
      </c>
      <c r="L101" s="107">
        <f t="shared" si="3"/>
        <v>0.28860000000000002</v>
      </c>
      <c r="M101" s="206">
        <f t="shared" si="2"/>
        <v>29065.944960000004</v>
      </c>
    </row>
    <row r="102" spans="1:13" s="2" customFormat="1">
      <c r="A102" s="1">
        <v>87</v>
      </c>
      <c r="C102" s="9">
        <v>1</v>
      </c>
      <c r="D102" s="1" t="str">
        <f>'1.10 Wages'!D98</f>
        <v>H61</v>
      </c>
      <c r="E102" s="1"/>
      <c r="F102" s="1">
        <v>690</v>
      </c>
      <c r="G102" s="1"/>
      <c r="H102" s="296">
        <v>86691.520000000004</v>
      </c>
      <c r="I102" s="296">
        <v>25215.74</v>
      </c>
      <c r="J102" s="296">
        <v>1733.8600000000001</v>
      </c>
      <c r="K102" s="126">
        <v>96241.600000000006</v>
      </c>
      <c r="L102" s="107">
        <f t="shared" si="3"/>
        <v>0.28860000000000002</v>
      </c>
      <c r="M102" s="206">
        <f t="shared" si="2"/>
        <v>27775.325760000003</v>
      </c>
    </row>
    <row r="103" spans="1:13" s="2" customFormat="1">
      <c r="A103" s="1">
        <v>88</v>
      </c>
      <c r="C103" s="9">
        <v>1</v>
      </c>
      <c r="D103" s="1" t="str">
        <f>'1.10 Wages'!D99</f>
        <v>H62</v>
      </c>
      <c r="E103" s="1"/>
      <c r="F103" s="1">
        <v>691</v>
      </c>
      <c r="G103" s="1"/>
      <c r="H103" s="296">
        <v>71053.47</v>
      </c>
      <c r="I103" s="296">
        <v>18872.96</v>
      </c>
      <c r="J103" s="296">
        <v>1421.1299999999999</v>
      </c>
      <c r="K103" s="126">
        <v>76689.599999999991</v>
      </c>
      <c r="L103" s="107">
        <f t="shared" si="3"/>
        <v>0.28860000000000002</v>
      </c>
      <c r="M103" s="206">
        <f t="shared" si="2"/>
        <v>22132.618559999999</v>
      </c>
    </row>
    <row r="104" spans="1:13" s="2" customFormat="1">
      <c r="A104" s="1">
        <v>89</v>
      </c>
      <c r="C104" s="9">
        <v>1</v>
      </c>
      <c r="D104" s="1" t="str">
        <f>'1.10 Wages'!D100</f>
        <v>H63</v>
      </c>
      <c r="E104" s="1"/>
      <c r="F104" s="1">
        <v>693</v>
      </c>
      <c r="G104" s="1"/>
      <c r="H104" s="296">
        <v>93928</v>
      </c>
      <c r="I104" s="296">
        <v>26581.96</v>
      </c>
      <c r="J104" s="296">
        <v>1878.6399999999999</v>
      </c>
      <c r="K104" s="126">
        <v>100713.60000000001</v>
      </c>
      <c r="L104" s="107">
        <f t="shared" si="3"/>
        <v>0.28860000000000002</v>
      </c>
      <c r="M104" s="206">
        <f t="shared" si="2"/>
        <v>29065.944960000004</v>
      </c>
    </row>
    <row r="105" spans="1:13" s="2" customFormat="1">
      <c r="A105" s="1">
        <v>90</v>
      </c>
      <c r="C105" s="9">
        <v>1</v>
      </c>
      <c r="D105" s="1" t="str">
        <f>'1.10 Wages'!D101</f>
        <v>H64</v>
      </c>
      <c r="E105" s="1"/>
      <c r="F105" s="1">
        <v>694</v>
      </c>
      <c r="G105" s="1" t="s">
        <v>123</v>
      </c>
      <c r="H105" s="296">
        <v>13453.6</v>
      </c>
      <c r="I105" s="296">
        <v>6199.5599999999995</v>
      </c>
      <c r="J105" s="296">
        <v>269.07999999999993</v>
      </c>
      <c r="K105" s="126">
        <v>0</v>
      </c>
      <c r="L105" s="107">
        <f t="shared" si="3"/>
        <v>0.28860000000000002</v>
      </c>
      <c r="M105" s="206">
        <f t="shared" si="2"/>
        <v>0</v>
      </c>
    </row>
    <row r="106" spans="1:13" s="2" customFormat="1">
      <c r="A106" s="1">
        <v>91</v>
      </c>
      <c r="C106" s="9">
        <v>1</v>
      </c>
      <c r="D106" s="1" t="str">
        <f>'1.10 Wages'!D102</f>
        <v>H65</v>
      </c>
      <c r="E106" s="1"/>
      <c r="F106" s="1">
        <v>695</v>
      </c>
      <c r="G106" s="1"/>
      <c r="H106" s="296">
        <v>89098.4</v>
      </c>
      <c r="I106" s="296">
        <v>25215.74</v>
      </c>
      <c r="J106" s="296">
        <v>1782.02</v>
      </c>
      <c r="K106" s="126">
        <v>96241.600000000006</v>
      </c>
      <c r="L106" s="107">
        <f t="shared" si="3"/>
        <v>0.28860000000000002</v>
      </c>
      <c r="M106" s="206">
        <f t="shared" si="2"/>
        <v>27775.325760000003</v>
      </c>
    </row>
    <row r="107" spans="1:13" s="2" customFormat="1">
      <c r="A107" s="1">
        <v>92</v>
      </c>
      <c r="C107" s="9">
        <v>1</v>
      </c>
      <c r="D107" s="1" t="str">
        <f>'1.10 Wages'!D103</f>
        <v>H66</v>
      </c>
      <c r="E107" s="1"/>
      <c r="F107" s="1">
        <v>696</v>
      </c>
      <c r="G107" s="1"/>
      <c r="H107" s="296">
        <v>89098.4</v>
      </c>
      <c r="I107" s="296">
        <v>25215.74</v>
      </c>
      <c r="J107" s="296">
        <v>1782.02</v>
      </c>
      <c r="K107" s="126">
        <v>96241.600000000006</v>
      </c>
      <c r="L107" s="107">
        <f t="shared" ref="L107:L170" si="4">$M$8</f>
        <v>0.28860000000000002</v>
      </c>
      <c r="M107" s="206">
        <f t="shared" ref="M107:M113" si="5">K107*L107</f>
        <v>27775.325760000003</v>
      </c>
    </row>
    <row r="108" spans="1:13" s="2" customFormat="1">
      <c r="A108" s="1">
        <v>93</v>
      </c>
      <c r="C108" s="9">
        <v>1</v>
      </c>
      <c r="D108" s="1" t="str">
        <f>'1.10 Wages'!D104</f>
        <v>H67</v>
      </c>
      <c r="E108" s="1"/>
      <c r="F108" s="1">
        <v>697</v>
      </c>
      <c r="G108" s="1"/>
      <c r="H108" s="296">
        <v>90221.6</v>
      </c>
      <c r="I108" s="296">
        <v>24525.96</v>
      </c>
      <c r="J108" s="296">
        <v>1804.46</v>
      </c>
      <c r="K108" s="126">
        <v>100713.60000000001</v>
      </c>
      <c r="L108" s="107">
        <f t="shared" si="4"/>
        <v>0.28860000000000002</v>
      </c>
      <c r="M108" s="206">
        <f t="shared" si="5"/>
        <v>29065.944960000004</v>
      </c>
    </row>
    <row r="109" spans="1:13" s="2" customFormat="1">
      <c r="A109" s="1">
        <v>94</v>
      </c>
      <c r="C109" s="9">
        <v>1</v>
      </c>
      <c r="D109" s="1" t="str">
        <f>'1.10 Wages'!D105</f>
        <v>H68</v>
      </c>
      <c r="E109" s="1"/>
      <c r="F109" s="1">
        <v>699</v>
      </c>
      <c r="G109" s="1"/>
      <c r="H109" s="296">
        <v>89097.68</v>
      </c>
      <c r="I109" s="296">
        <v>24525.96</v>
      </c>
      <c r="J109" s="296">
        <v>1781.99</v>
      </c>
      <c r="K109" s="126">
        <v>100713.60000000001</v>
      </c>
      <c r="L109" s="107">
        <f t="shared" si="4"/>
        <v>0.28860000000000002</v>
      </c>
      <c r="M109" s="206">
        <f t="shared" si="5"/>
        <v>29065.944960000004</v>
      </c>
    </row>
    <row r="110" spans="1:13" s="2" customFormat="1">
      <c r="A110" s="1">
        <v>95</v>
      </c>
      <c r="C110" s="9">
        <v>1</v>
      </c>
      <c r="D110" s="1" t="str">
        <f>'1.10 Wages'!D106</f>
        <v>H69</v>
      </c>
      <c r="E110" s="1"/>
      <c r="F110" s="1">
        <v>700</v>
      </c>
      <c r="G110" s="1"/>
      <c r="H110" s="296">
        <v>70250.89</v>
      </c>
      <c r="I110" s="296">
        <v>18933.52</v>
      </c>
      <c r="J110" s="296">
        <v>1405.01</v>
      </c>
      <c r="K110" s="126">
        <v>71739.199999999997</v>
      </c>
      <c r="L110" s="107">
        <f t="shared" si="4"/>
        <v>0.28860000000000002</v>
      </c>
      <c r="M110" s="206">
        <f t="shared" si="5"/>
        <v>20703.933120000002</v>
      </c>
    </row>
    <row r="111" spans="1:13" s="2" customFormat="1">
      <c r="A111" s="1">
        <v>96</v>
      </c>
      <c r="C111" s="9">
        <v>1</v>
      </c>
      <c r="D111" s="1" t="str">
        <f>'1.10 Wages'!D107</f>
        <v>H70</v>
      </c>
      <c r="E111" s="1"/>
      <c r="F111" s="1">
        <v>701</v>
      </c>
      <c r="G111" s="1"/>
      <c r="H111" s="296">
        <v>52261.61</v>
      </c>
      <c r="I111" s="296">
        <v>14791.439999999999</v>
      </c>
      <c r="J111" s="296">
        <v>1045.33</v>
      </c>
      <c r="K111" s="126">
        <v>53539.199999999997</v>
      </c>
      <c r="L111" s="107">
        <f t="shared" si="4"/>
        <v>0.28860000000000002</v>
      </c>
      <c r="M111" s="206">
        <f t="shared" si="5"/>
        <v>15451.413120000001</v>
      </c>
    </row>
    <row r="112" spans="1:13" s="2" customFormat="1">
      <c r="A112" s="1">
        <v>97</v>
      </c>
      <c r="C112" s="9">
        <v>1</v>
      </c>
      <c r="D112" s="1" t="str">
        <f>'1.10 Wages'!D108</f>
        <v>H71</v>
      </c>
      <c r="E112" s="1"/>
      <c r="F112" s="1">
        <v>705</v>
      </c>
      <c r="G112" s="1"/>
      <c r="H112" s="296">
        <v>70749.11</v>
      </c>
      <c r="I112" s="296">
        <v>18651.059999999998</v>
      </c>
      <c r="J112" s="296">
        <v>1414.9900000000002</v>
      </c>
      <c r="K112" s="126">
        <v>87152</v>
      </c>
      <c r="L112" s="107">
        <f t="shared" si="4"/>
        <v>0.28860000000000002</v>
      </c>
      <c r="M112" s="206">
        <f t="shared" si="5"/>
        <v>25152.067200000001</v>
      </c>
    </row>
    <row r="113" spans="1:13" s="2" customFormat="1">
      <c r="A113" s="1">
        <v>98</v>
      </c>
      <c r="C113" s="9">
        <v>1</v>
      </c>
      <c r="D113" s="1" t="str">
        <f>'1.10 Wages'!D109</f>
        <v>H72</v>
      </c>
      <c r="E113" s="1"/>
      <c r="F113" s="1">
        <v>706</v>
      </c>
      <c r="G113" s="1"/>
      <c r="H113" s="296">
        <v>86816.8</v>
      </c>
      <c r="I113" s="296">
        <v>24013.26</v>
      </c>
      <c r="J113" s="296">
        <v>1736.37</v>
      </c>
      <c r="K113" s="126">
        <v>96241.600000000006</v>
      </c>
      <c r="L113" s="107">
        <f t="shared" si="4"/>
        <v>0.28860000000000002</v>
      </c>
      <c r="M113" s="206">
        <f t="shared" si="5"/>
        <v>27775.325760000003</v>
      </c>
    </row>
    <row r="114" spans="1:13" s="2" customFormat="1">
      <c r="A114" s="1">
        <v>99</v>
      </c>
      <c r="C114" s="9">
        <v>1</v>
      </c>
      <c r="D114" s="1" t="str">
        <f>'1.10 Wages'!D110</f>
        <v>H73</v>
      </c>
      <c r="E114" s="1"/>
      <c r="F114" s="1">
        <v>707</v>
      </c>
      <c r="G114" s="1"/>
      <c r="H114" s="296">
        <v>87718.8</v>
      </c>
      <c r="I114" s="296">
        <v>24525.96</v>
      </c>
      <c r="J114" s="296">
        <v>1754.4099999999999</v>
      </c>
      <c r="K114" s="126">
        <v>96241.600000000006</v>
      </c>
      <c r="L114" s="107">
        <f t="shared" si="4"/>
        <v>0.28860000000000002</v>
      </c>
      <c r="M114" s="206">
        <f>K114*L114</f>
        <v>27775.325760000003</v>
      </c>
    </row>
    <row r="115" spans="1:13" s="2" customFormat="1">
      <c r="A115" s="1">
        <v>100</v>
      </c>
      <c r="C115" s="9">
        <v>1</v>
      </c>
      <c r="D115" s="1" t="str">
        <f>'1.10 Wages'!D111</f>
        <v>H74</v>
      </c>
      <c r="E115" s="1"/>
      <c r="F115" s="1">
        <v>711</v>
      </c>
      <c r="G115" s="1"/>
      <c r="H115" s="296">
        <v>89619.199999999997</v>
      </c>
      <c r="I115" s="296">
        <v>24390.959999999999</v>
      </c>
      <c r="J115" s="296">
        <v>1792.3400000000001</v>
      </c>
      <c r="K115" s="126">
        <v>100713.60000000001</v>
      </c>
      <c r="L115" s="107">
        <f t="shared" si="4"/>
        <v>0.28860000000000002</v>
      </c>
      <c r="M115" s="206">
        <f t="shared" ref="M115:M116" si="6">K115*L115</f>
        <v>29065.944960000004</v>
      </c>
    </row>
    <row r="116" spans="1:13" s="2" customFormat="1">
      <c r="A116" s="1">
        <v>101</v>
      </c>
      <c r="C116" s="9">
        <v>1</v>
      </c>
      <c r="D116" s="1" t="str">
        <f>'1.10 Wages'!D112</f>
        <v>H75</v>
      </c>
      <c r="E116" s="1"/>
      <c r="F116" s="1">
        <v>712</v>
      </c>
      <c r="G116" s="1"/>
      <c r="H116" s="296">
        <v>38576.36</v>
      </c>
      <c r="I116" s="296">
        <v>14791.439999999999</v>
      </c>
      <c r="J116" s="296">
        <v>771.6</v>
      </c>
      <c r="K116" s="126">
        <v>53539.199999999997</v>
      </c>
      <c r="L116" s="107">
        <f t="shared" si="4"/>
        <v>0.28860000000000002</v>
      </c>
      <c r="M116" s="206">
        <f t="shared" si="6"/>
        <v>15451.413120000001</v>
      </c>
    </row>
    <row r="117" spans="1:13" s="2" customFormat="1">
      <c r="A117" s="1">
        <v>102</v>
      </c>
      <c r="C117" s="9">
        <v>1</v>
      </c>
      <c r="D117" s="1" t="str">
        <f>'1.10 Wages'!D113</f>
        <v>H76</v>
      </c>
      <c r="E117" s="1"/>
      <c r="F117" s="1">
        <v>714</v>
      </c>
      <c r="G117" s="1" t="s">
        <v>123</v>
      </c>
      <c r="H117" s="296">
        <v>92837.1</v>
      </c>
      <c r="I117" s="296">
        <v>23297.690000000002</v>
      </c>
      <c r="J117" s="296">
        <v>1857</v>
      </c>
      <c r="K117" s="126">
        <v>0</v>
      </c>
      <c r="L117" s="107">
        <f t="shared" si="4"/>
        <v>0.28860000000000002</v>
      </c>
      <c r="M117" s="206">
        <f>K117*L117</f>
        <v>0</v>
      </c>
    </row>
    <row r="118" spans="1:13" s="2" customFormat="1">
      <c r="A118" s="1">
        <v>103</v>
      </c>
      <c r="C118" s="9">
        <v>1</v>
      </c>
      <c r="D118" s="1" t="str">
        <f>'1.10 Wages'!D114</f>
        <v>H77</v>
      </c>
      <c r="E118" s="1"/>
      <c r="F118" s="1">
        <v>715</v>
      </c>
      <c r="G118" s="1"/>
      <c r="H118" s="296">
        <v>52261.63</v>
      </c>
      <c r="I118" s="296">
        <v>14791.439999999999</v>
      </c>
      <c r="J118" s="296">
        <v>1045.33</v>
      </c>
      <c r="K118" s="126">
        <v>53539.199999999997</v>
      </c>
      <c r="L118" s="107">
        <f t="shared" si="4"/>
        <v>0.28860000000000002</v>
      </c>
      <c r="M118" s="206">
        <f t="shared" ref="M118:M178" si="7">K118*L118</f>
        <v>15451.413120000001</v>
      </c>
    </row>
    <row r="119" spans="1:13" s="2" customFormat="1">
      <c r="A119" s="1">
        <v>104</v>
      </c>
      <c r="C119" s="9">
        <v>1</v>
      </c>
      <c r="D119" s="1" t="str">
        <f>'1.10 Wages'!D115</f>
        <v>H78</v>
      </c>
      <c r="E119" s="1"/>
      <c r="F119" s="1">
        <v>718</v>
      </c>
      <c r="G119" s="1"/>
      <c r="H119" s="296">
        <v>12539.2</v>
      </c>
      <c r="I119" s="296">
        <v>3881.9400000000005</v>
      </c>
      <c r="J119" s="296">
        <v>250.77999999999997</v>
      </c>
      <c r="K119" s="126">
        <v>76668.800000000003</v>
      </c>
      <c r="L119" s="107">
        <f t="shared" si="4"/>
        <v>0.28860000000000002</v>
      </c>
      <c r="M119" s="206">
        <f t="shared" si="7"/>
        <v>22126.615680000003</v>
      </c>
    </row>
    <row r="120" spans="1:13" s="2" customFormat="1">
      <c r="A120" s="1">
        <v>105</v>
      </c>
      <c r="C120" s="9">
        <v>1</v>
      </c>
      <c r="D120" s="1" t="str">
        <f>'1.10 Wages'!D116</f>
        <v>H79</v>
      </c>
      <c r="E120" s="1"/>
      <c r="F120" s="1">
        <v>719</v>
      </c>
      <c r="G120" s="1" t="s">
        <v>123</v>
      </c>
      <c r="H120" s="296">
        <v>35872.25</v>
      </c>
      <c r="I120" s="296">
        <v>7990.35</v>
      </c>
      <c r="J120" s="296">
        <v>779.7700000000001</v>
      </c>
      <c r="K120" s="126">
        <v>0</v>
      </c>
      <c r="L120" s="107">
        <f t="shared" si="4"/>
        <v>0.28860000000000002</v>
      </c>
      <c r="M120" s="206">
        <f t="shared" si="7"/>
        <v>0</v>
      </c>
    </row>
    <row r="121" spans="1:13" s="2" customFormat="1">
      <c r="A121" s="1">
        <v>106</v>
      </c>
      <c r="C121" s="9">
        <v>1</v>
      </c>
      <c r="D121" s="1" t="str">
        <f>'1.10 Wages'!D117</f>
        <v>H80</v>
      </c>
      <c r="E121" s="1"/>
      <c r="F121" s="1">
        <v>720</v>
      </c>
      <c r="G121" s="1" t="s">
        <v>123</v>
      </c>
      <c r="H121" s="296">
        <v>41862.080000000002</v>
      </c>
      <c r="I121" s="296">
        <v>11182.99</v>
      </c>
      <c r="J121" s="296">
        <v>885.93</v>
      </c>
      <c r="K121" s="126">
        <v>0</v>
      </c>
      <c r="L121" s="107">
        <f t="shared" si="4"/>
        <v>0.28860000000000002</v>
      </c>
      <c r="M121" s="206">
        <f t="shared" si="7"/>
        <v>0</v>
      </c>
    </row>
    <row r="122" spans="1:13" s="2" customFormat="1">
      <c r="A122" s="1">
        <v>107</v>
      </c>
      <c r="C122" s="9">
        <v>1</v>
      </c>
      <c r="D122" s="1" t="str">
        <f>'1.10 Wages'!D118</f>
        <v>H81</v>
      </c>
      <c r="E122" s="1"/>
      <c r="F122" s="1">
        <v>721</v>
      </c>
      <c r="G122" s="1"/>
      <c r="H122" s="296">
        <v>65494.400000000001</v>
      </c>
      <c r="I122" s="296">
        <v>16281.310000000001</v>
      </c>
      <c r="J122" s="296">
        <v>1309.8499999999999</v>
      </c>
      <c r="K122" s="126">
        <v>76668.800000000003</v>
      </c>
      <c r="L122" s="107">
        <f t="shared" si="4"/>
        <v>0.28860000000000002</v>
      </c>
      <c r="M122" s="206">
        <f t="shared" si="7"/>
        <v>22126.615680000003</v>
      </c>
    </row>
    <row r="123" spans="1:13" s="2" customFormat="1">
      <c r="A123" s="1">
        <v>108</v>
      </c>
      <c r="C123" s="9">
        <v>1</v>
      </c>
      <c r="D123" s="1" t="str">
        <f>'1.10 Wages'!D119</f>
        <v>H82</v>
      </c>
      <c r="E123" s="1"/>
      <c r="F123" s="1">
        <v>722</v>
      </c>
      <c r="G123" s="1"/>
      <c r="H123" s="296">
        <v>74378.399999999994</v>
      </c>
      <c r="I123" s="296">
        <v>18403.080000000002</v>
      </c>
      <c r="J123" s="296">
        <v>1487.59</v>
      </c>
      <c r="K123" s="126">
        <v>91748.800000000003</v>
      </c>
      <c r="L123" s="107">
        <f t="shared" si="4"/>
        <v>0.28860000000000002</v>
      </c>
      <c r="M123" s="206">
        <f t="shared" si="7"/>
        <v>26478.703680000002</v>
      </c>
    </row>
    <row r="124" spans="1:13" s="2" customFormat="1">
      <c r="A124" s="1">
        <v>109</v>
      </c>
      <c r="C124" s="9">
        <v>1</v>
      </c>
      <c r="D124" s="1" t="str">
        <f>'1.10 Wages'!D120</f>
        <v>H83</v>
      </c>
      <c r="E124" s="1"/>
      <c r="F124" s="1">
        <v>723</v>
      </c>
      <c r="G124" s="1"/>
      <c r="H124" s="296">
        <v>89098.4</v>
      </c>
      <c r="I124" s="296">
        <v>24525.96</v>
      </c>
      <c r="J124" s="296">
        <v>1782.02</v>
      </c>
      <c r="K124" s="126">
        <v>96241.600000000006</v>
      </c>
      <c r="L124" s="107">
        <f t="shared" si="4"/>
        <v>0.28860000000000002</v>
      </c>
      <c r="M124" s="206">
        <f t="shared" si="7"/>
        <v>27775.325760000003</v>
      </c>
    </row>
    <row r="125" spans="1:13" s="2" customFormat="1">
      <c r="A125" s="1">
        <v>110</v>
      </c>
      <c r="C125" s="9">
        <v>1</v>
      </c>
      <c r="D125" s="1" t="str">
        <f>'1.10 Wages'!D121</f>
        <v>H84</v>
      </c>
      <c r="E125" s="1"/>
      <c r="F125" s="1">
        <v>724</v>
      </c>
      <c r="G125" s="1"/>
      <c r="H125" s="296">
        <v>52261.599999999999</v>
      </c>
      <c r="I125" s="296">
        <v>14791.439999999999</v>
      </c>
      <c r="J125" s="296">
        <v>1045.33</v>
      </c>
      <c r="K125" s="126">
        <v>53539.199999999997</v>
      </c>
      <c r="L125" s="107">
        <f t="shared" si="4"/>
        <v>0.28860000000000002</v>
      </c>
      <c r="M125" s="206">
        <f t="shared" si="7"/>
        <v>15451.413120000001</v>
      </c>
    </row>
    <row r="126" spans="1:13" s="2" customFormat="1">
      <c r="A126" s="1">
        <v>111</v>
      </c>
      <c r="C126" s="9">
        <v>1</v>
      </c>
      <c r="D126" s="1" t="str">
        <f>'1.10 Wages'!D122</f>
        <v>H85</v>
      </c>
      <c r="E126" s="1"/>
      <c r="F126" s="1">
        <v>725</v>
      </c>
      <c r="G126" s="1" t="s">
        <v>123</v>
      </c>
      <c r="H126" s="296">
        <v>108655.74</v>
      </c>
      <c r="I126" s="296">
        <v>28570</v>
      </c>
      <c r="J126" s="296">
        <v>2173.1099999999997</v>
      </c>
      <c r="K126" s="126">
        <v>0</v>
      </c>
      <c r="L126" s="107">
        <f t="shared" si="4"/>
        <v>0.28860000000000002</v>
      </c>
      <c r="M126" s="206">
        <f t="shared" si="7"/>
        <v>0</v>
      </c>
    </row>
    <row r="127" spans="1:13" s="2" customFormat="1">
      <c r="A127" s="1">
        <v>112</v>
      </c>
      <c r="C127" s="9">
        <v>1</v>
      </c>
      <c r="D127" s="1" t="str">
        <f>'1.10 Wages'!D123</f>
        <v>H86</v>
      </c>
      <c r="E127" s="1"/>
      <c r="F127" s="1">
        <v>726</v>
      </c>
      <c r="G127" s="1"/>
      <c r="H127" s="296">
        <v>72581.600000000006</v>
      </c>
      <c r="I127" s="296">
        <v>18648.559999999998</v>
      </c>
      <c r="J127" s="296">
        <v>1451.69</v>
      </c>
      <c r="K127" s="126">
        <v>96241.600000000006</v>
      </c>
      <c r="L127" s="107">
        <f t="shared" si="4"/>
        <v>0.28860000000000002</v>
      </c>
      <c r="M127" s="206">
        <f t="shared" si="7"/>
        <v>27775.325760000003</v>
      </c>
    </row>
    <row r="128" spans="1:13" s="2" customFormat="1">
      <c r="A128" s="1">
        <v>113</v>
      </c>
      <c r="C128" s="9">
        <v>1</v>
      </c>
      <c r="D128" s="1" t="str">
        <f>'1.10 Wages'!D124</f>
        <v>H87</v>
      </c>
      <c r="E128" s="1"/>
      <c r="F128" s="1">
        <v>729</v>
      </c>
      <c r="G128" s="1" t="s">
        <v>123</v>
      </c>
      <c r="H128" s="296">
        <v>61354.559999999998</v>
      </c>
      <c r="I128" s="296">
        <v>17066.690000000002</v>
      </c>
      <c r="J128" s="296">
        <v>1227.05</v>
      </c>
      <c r="K128" s="126">
        <v>0</v>
      </c>
      <c r="L128" s="107">
        <f t="shared" si="4"/>
        <v>0.28860000000000002</v>
      </c>
      <c r="M128" s="206">
        <f t="shared" si="7"/>
        <v>0</v>
      </c>
    </row>
    <row r="129" spans="1:13" s="2" customFormat="1">
      <c r="A129" s="1">
        <v>114</v>
      </c>
      <c r="C129" s="9">
        <v>1</v>
      </c>
      <c r="D129" s="1" t="str">
        <f>'1.10 Wages'!D125</f>
        <v>H88</v>
      </c>
      <c r="E129" s="1"/>
      <c r="F129" s="1">
        <v>730</v>
      </c>
      <c r="G129" s="1"/>
      <c r="H129" s="296">
        <v>66380.12</v>
      </c>
      <c r="I129" s="296">
        <v>17121.809999999998</v>
      </c>
      <c r="J129" s="296">
        <v>1322.85</v>
      </c>
      <c r="K129" s="126">
        <v>87484.800000000003</v>
      </c>
      <c r="L129" s="107">
        <f t="shared" si="4"/>
        <v>0.28860000000000002</v>
      </c>
      <c r="M129" s="206">
        <f t="shared" si="7"/>
        <v>25248.113280000001</v>
      </c>
    </row>
    <row r="130" spans="1:13" s="2" customFormat="1">
      <c r="A130" s="1">
        <v>115</v>
      </c>
      <c r="C130" s="9">
        <v>1</v>
      </c>
      <c r="D130" s="1" t="str">
        <f>'1.10 Wages'!D126</f>
        <v>H89</v>
      </c>
      <c r="E130" s="1"/>
      <c r="F130" s="1">
        <v>733</v>
      </c>
      <c r="G130" s="1"/>
      <c r="H130" s="296">
        <v>85012</v>
      </c>
      <c r="I130" s="296">
        <v>23420.97</v>
      </c>
      <c r="J130" s="296">
        <v>1700.1599999999999</v>
      </c>
      <c r="K130" s="126">
        <v>87484.800000000003</v>
      </c>
      <c r="L130" s="107">
        <f t="shared" si="4"/>
        <v>0.28860000000000002</v>
      </c>
      <c r="M130" s="206">
        <f t="shared" si="7"/>
        <v>25248.113280000001</v>
      </c>
    </row>
    <row r="131" spans="1:13" s="2" customFormat="1">
      <c r="A131" s="1">
        <v>116</v>
      </c>
      <c r="C131" s="9">
        <v>1</v>
      </c>
      <c r="D131" s="1" t="str">
        <f>'1.10 Wages'!D127</f>
        <v>H90</v>
      </c>
      <c r="E131" s="1"/>
      <c r="F131" s="1">
        <v>734</v>
      </c>
      <c r="G131" s="1" t="s">
        <v>123</v>
      </c>
      <c r="H131" s="296">
        <v>27458.880000000001</v>
      </c>
      <c r="I131" s="296">
        <v>7614.4000000000015</v>
      </c>
      <c r="J131" s="296">
        <v>615.21</v>
      </c>
      <c r="K131" s="126">
        <v>0</v>
      </c>
      <c r="L131" s="107">
        <f t="shared" si="4"/>
        <v>0.28860000000000002</v>
      </c>
      <c r="M131" s="206">
        <f t="shared" si="7"/>
        <v>0</v>
      </c>
    </row>
    <row r="132" spans="1:13" s="2" customFormat="1">
      <c r="A132" s="1">
        <v>117</v>
      </c>
      <c r="C132" s="9">
        <v>1</v>
      </c>
      <c r="D132" s="1" t="str">
        <f>'1.10 Wages'!D128</f>
        <v>H91</v>
      </c>
      <c r="E132" s="1"/>
      <c r="F132" s="1">
        <v>736</v>
      </c>
      <c r="G132" s="1"/>
      <c r="H132" s="296">
        <v>65837.600000000006</v>
      </c>
      <c r="I132" s="296">
        <v>16808.309999999998</v>
      </c>
      <c r="J132" s="296">
        <v>1316.7399999999998</v>
      </c>
      <c r="K132" s="126">
        <v>78520</v>
      </c>
      <c r="L132" s="107">
        <f t="shared" si="4"/>
        <v>0.28860000000000002</v>
      </c>
      <c r="M132" s="206">
        <f t="shared" si="7"/>
        <v>22660.872000000003</v>
      </c>
    </row>
    <row r="133" spans="1:13" s="2" customFormat="1">
      <c r="A133" s="1">
        <v>118</v>
      </c>
      <c r="C133" s="9">
        <v>1</v>
      </c>
      <c r="D133" s="1" t="str">
        <f>'1.10 Wages'!D129</f>
        <v>H92</v>
      </c>
      <c r="E133" s="1"/>
      <c r="F133" s="1">
        <v>737</v>
      </c>
      <c r="G133" s="1"/>
      <c r="H133" s="296">
        <v>86093.6</v>
      </c>
      <c r="I133" s="296">
        <v>22373.87</v>
      </c>
      <c r="J133" s="296">
        <v>1721.9299999999998</v>
      </c>
      <c r="K133" s="126">
        <v>96241.600000000006</v>
      </c>
      <c r="L133" s="107">
        <f t="shared" si="4"/>
        <v>0.28860000000000002</v>
      </c>
      <c r="M133" s="206">
        <f t="shared" si="7"/>
        <v>27775.325760000003</v>
      </c>
    </row>
    <row r="134" spans="1:13" s="2" customFormat="1">
      <c r="A134" s="1">
        <v>119</v>
      </c>
      <c r="C134" s="9">
        <v>1</v>
      </c>
      <c r="D134" s="1" t="str">
        <f>'1.10 Wages'!D130</f>
        <v>H93</v>
      </c>
      <c r="E134" s="1"/>
      <c r="F134" s="1">
        <v>738</v>
      </c>
      <c r="G134" s="1"/>
      <c r="H134" s="296">
        <v>81574.55</v>
      </c>
      <c r="I134" s="296">
        <v>20457.39</v>
      </c>
      <c r="J134" s="296">
        <v>1631.4699999999998</v>
      </c>
      <c r="K134" s="126">
        <v>96241.600000000006</v>
      </c>
      <c r="L134" s="107">
        <f t="shared" si="4"/>
        <v>0.28860000000000002</v>
      </c>
      <c r="M134" s="206">
        <f t="shared" si="7"/>
        <v>27775.325760000003</v>
      </c>
    </row>
    <row r="135" spans="1:13" s="2" customFormat="1">
      <c r="A135" s="1">
        <v>120</v>
      </c>
      <c r="C135" s="9">
        <v>1</v>
      </c>
      <c r="D135" s="1" t="str">
        <f>'1.10 Wages'!D131</f>
        <v>H94</v>
      </c>
      <c r="E135" s="1"/>
      <c r="F135" s="1">
        <v>739</v>
      </c>
      <c r="G135" s="1"/>
      <c r="H135" s="296">
        <v>58273.36</v>
      </c>
      <c r="I135" s="296">
        <v>14674.16</v>
      </c>
      <c r="J135" s="296">
        <v>1165.52</v>
      </c>
      <c r="K135" s="126">
        <v>78644.800000000003</v>
      </c>
      <c r="L135" s="107">
        <f t="shared" si="4"/>
        <v>0.28860000000000002</v>
      </c>
      <c r="M135" s="206">
        <f t="shared" si="7"/>
        <v>22696.889280000003</v>
      </c>
    </row>
    <row r="136" spans="1:13" s="2" customFormat="1">
      <c r="A136" s="1">
        <v>121</v>
      </c>
      <c r="C136" s="9">
        <v>1</v>
      </c>
      <c r="D136" s="1" t="str">
        <f>'1.10 Wages'!D132</f>
        <v>H95</v>
      </c>
      <c r="E136" s="1"/>
      <c r="F136" s="1">
        <v>740</v>
      </c>
      <c r="G136" s="1" t="s">
        <v>123</v>
      </c>
      <c r="H136" s="296">
        <v>26933.02</v>
      </c>
      <c r="I136" s="296">
        <v>8350.7999999999993</v>
      </c>
      <c r="J136" s="296">
        <v>538.66</v>
      </c>
      <c r="K136" s="126">
        <v>0</v>
      </c>
      <c r="L136" s="107">
        <f t="shared" si="4"/>
        <v>0.28860000000000002</v>
      </c>
      <c r="M136" s="206">
        <f t="shared" si="7"/>
        <v>0</v>
      </c>
    </row>
    <row r="137" spans="1:13" s="2" customFormat="1">
      <c r="A137" s="1">
        <v>122</v>
      </c>
      <c r="C137" s="9">
        <v>1</v>
      </c>
      <c r="D137" s="1" t="str">
        <f>'1.10 Wages'!D133</f>
        <v>H96</v>
      </c>
      <c r="E137" s="1"/>
      <c r="F137" s="1">
        <v>741</v>
      </c>
      <c r="G137" s="1" t="s">
        <v>123</v>
      </c>
      <c r="H137" s="296">
        <v>235384.68</v>
      </c>
      <c r="I137" s="296">
        <v>0</v>
      </c>
      <c r="J137" s="296">
        <v>4107.66</v>
      </c>
      <c r="K137" s="126">
        <v>0</v>
      </c>
      <c r="L137" s="107">
        <f t="shared" si="4"/>
        <v>0.28860000000000002</v>
      </c>
      <c r="M137" s="206">
        <f t="shared" si="7"/>
        <v>0</v>
      </c>
    </row>
    <row r="138" spans="1:13" s="2" customFormat="1">
      <c r="A138" s="1">
        <v>123</v>
      </c>
      <c r="C138" s="9">
        <v>1</v>
      </c>
      <c r="D138" s="1" t="str">
        <f>'1.10 Wages'!D134</f>
        <v>H97</v>
      </c>
      <c r="E138" s="1"/>
      <c r="F138" s="1">
        <v>742</v>
      </c>
      <c r="G138" s="1"/>
      <c r="H138" s="296">
        <v>47261.81</v>
      </c>
      <c r="I138" s="296">
        <v>7901.26</v>
      </c>
      <c r="J138" s="296">
        <v>567.15000000000009</v>
      </c>
      <c r="K138" s="126">
        <v>55972.800000000003</v>
      </c>
      <c r="L138" s="107">
        <f t="shared" si="4"/>
        <v>0.28860000000000002</v>
      </c>
      <c r="M138" s="206">
        <f t="shared" si="7"/>
        <v>16153.750080000002</v>
      </c>
    </row>
    <row r="139" spans="1:13" s="2" customFormat="1">
      <c r="A139" s="1">
        <v>124</v>
      </c>
      <c r="C139" s="9">
        <v>1</v>
      </c>
      <c r="D139" s="1" t="str">
        <f>'1.10 Wages'!D135</f>
        <v>H98</v>
      </c>
      <c r="E139" s="1"/>
      <c r="F139" s="1">
        <v>743</v>
      </c>
      <c r="G139" s="1"/>
      <c r="H139" s="296">
        <v>45843.199999999997</v>
      </c>
      <c r="I139" s="296">
        <v>7308.3600000000006</v>
      </c>
      <c r="J139" s="296">
        <v>548.22</v>
      </c>
      <c r="K139" s="126">
        <v>56430.400000000001</v>
      </c>
      <c r="L139" s="107">
        <f t="shared" si="4"/>
        <v>0.28860000000000002</v>
      </c>
      <c r="M139" s="206">
        <f t="shared" si="7"/>
        <v>16285.813440000002</v>
      </c>
    </row>
    <row r="140" spans="1:13" s="2" customFormat="1">
      <c r="A140" s="1">
        <v>125</v>
      </c>
      <c r="C140" s="9">
        <v>1</v>
      </c>
      <c r="D140" s="1" t="str">
        <f>'1.10 Wages'!D136</f>
        <v>H99</v>
      </c>
      <c r="E140" s="1"/>
      <c r="F140" s="1">
        <v>744</v>
      </c>
      <c r="G140" s="1"/>
      <c r="H140" s="296">
        <v>45843.199999999997</v>
      </c>
      <c r="I140" s="296">
        <v>7308.3600000000006</v>
      </c>
      <c r="J140" s="296">
        <v>548.22</v>
      </c>
      <c r="K140" s="126">
        <v>53539.199999999997</v>
      </c>
      <c r="L140" s="107">
        <f t="shared" si="4"/>
        <v>0.28860000000000002</v>
      </c>
      <c r="M140" s="206">
        <f t="shared" si="7"/>
        <v>15451.413120000001</v>
      </c>
    </row>
    <row r="141" spans="1:13" s="2" customFormat="1">
      <c r="A141" s="1">
        <v>126</v>
      </c>
      <c r="C141" s="9">
        <v>1</v>
      </c>
      <c r="D141" s="1" t="str">
        <f>'1.10 Wages'!D137</f>
        <v>H100</v>
      </c>
      <c r="E141" s="1"/>
      <c r="F141" s="1">
        <v>746</v>
      </c>
      <c r="G141" s="1" t="s">
        <v>123</v>
      </c>
      <c r="H141" s="296">
        <v>65624.820000000007</v>
      </c>
      <c r="I141" s="296">
        <v>10420.83</v>
      </c>
      <c r="J141" s="296">
        <v>787.02</v>
      </c>
      <c r="K141" s="126">
        <v>0</v>
      </c>
      <c r="L141" s="107">
        <f t="shared" si="4"/>
        <v>0.28860000000000002</v>
      </c>
      <c r="M141" s="206">
        <f t="shared" si="7"/>
        <v>0</v>
      </c>
    </row>
    <row r="142" spans="1:13" s="2" customFormat="1">
      <c r="A142" s="1">
        <v>127</v>
      </c>
      <c r="C142" s="9">
        <v>1</v>
      </c>
      <c r="D142" s="1" t="str">
        <f>'1.10 Wages'!D138</f>
        <v>H101</v>
      </c>
      <c r="E142" s="1"/>
      <c r="F142" s="1">
        <v>747</v>
      </c>
      <c r="G142" s="1"/>
      <c r="H142" s="296">
        <v>45828.13</v>
      </c>
      <c r="I142" s="296">
        <v>7308.3600000000006</v>
      </c>
      <c r="J142" s="296">
        <v>548.22</v>
      </c>
      <c r="K142" s="126">
        <v>53539.199999999997</v>
      </c>
      <c r="L142" s="107">
        <f t="shared" si="4"/>
        <v>0.28860000000000002</v>
      </c>
      <c r="M142" s="206">
        <f t="shared" si="7"/>
        <v>15451.413120000001</v>
      </c>
    </row>
    <row r="143" spans="1:13" s="2" customFormat="1">
      <c r="A143" s="1">
        <v>128</v>
      </c>
      <c r="C143" s="9">
        <v>1</v>
      </c>
      <c r="D143" s="1" t="str">
        <f>'1.10 Wages'!D139</f>
        <v>H102</v>
      </c>
      <c r="E143" s="1"/>
      <c r="F143" s="1">
        <v>749</v>
      </c>
      <c r="G143" s="1" t="s">
        <v>123</v>
      </c>
      <c r="H143" s="296">
        <v>13063.2</v>
      </c>
      <c r="I143" s="296">
        <v>0</v>
      </c>
      <c r="J143" s="296">
        <v>0</v>
      </c>
      <c r="K143" s="126">
        <v>0</v>
      </c>
      <c r="L143" s="107">
        <f t="shared" si="4"/>
        <v>0.28860000000000002</v>
      </c>
      <c r="M143" s="206">
        <f t="shared" si="7"/>
        <v>0</v>
      </c>
    </row>
    <row r="144" spans="1:13" s="2" customFormat="1">
      <c r="A144" s="1">
        <v>129</v>
      </c>
      <c r="C144" s="9">
        <v>1</v>
      </c>
      <c r="D144" s="1" t="str">
        <f>'1.10 Wages'!D140</f>
        <v>H103</v>
      </c>
      <c r="E144" s="1"/>
      <c r="F144" s="1">
        <v>750</v>
      </c>
      <c r="G144" s="1"/>
      <c r="H144" s="296">
        <v>65841.490000000005</v>
      </c>
      <c r="I144" s="296">
        <v>7683.75</v>
      </c>
      <c r="J144" s="296">
        <v>578.38</v>
      </c>
      <c r="K144" s="126">
        <v>87484.800000000003</v>
      </c>
      <c r="L144" s="107">
        <f t="shared" si="4"/>
        <v>0.28860000000000002</v>
      </c>
      <c r="M144" s="206">
        <f t="shared" si="7"/>
        <v>25248.113280000001</v>
      </c>
    </row>
    <row r="145" spans="1:13" s="2" customFormat="1">
      <c r="A145" s="1">
        <v>130</v>
      </c>
      <c r="C145" s="9">
        <v>1</v>
      </c>
      <c r="D145" s="1" t="str">
        <f>'1.10 Wages'!D141</f>
        <v>H104</v>
      </c>
      <c r="E145" s="1"/>
      <c r="F145" s="1">
        <v>751</v>
      </c>
      <c r="G145" s="1"/>
      <c r="H145" s="296">
        <v>45843.199999999997</v>
      </c>
      <c r="I145" s="296">
        <v>5317.6</v>
      </c>
      <c r="J145" s="296">
        <v>408.98</v>
      </c>
      <c r="K145" s="126">
        <v>53539.199999999997</v>
      </c>
      <c r="L145" s="107">
        <f t="shared" si="4"/>
        <v>0.28860000000000002</v>
      </c>
      <c r="M145" s="206">
        <f t="shared" si="7"/>
        <v>15451.413120000001</v>
      </c>
    </row>
    <row r="146" spans="1:13" s="2" customFormat="1">
      <c r="A146" s="1">
        <v>131</v>
      </c>
      <c r="C146" s="9">
        <v>1</v>
      </c>
      <c r="D146" s="1" t="str">
        <f>'1.10 Wages'!D142</f>
        <v>H105</v>
      </c>
      <c r="E146" s="1"/>
      <c r="F146" s="1">
        <v>752</v>
      </c>
      <c r="G146" s="1"/>
      <c r="H146" s="296">
        <v>70749.600000000006</v>
      </c>
      <c r="I146" s="296">
        <v>6651.16</v>
      </c>
      <c r="J146" s="296">
        <v>506.34</v>
      </c>
      <c r="K146" s="126">
        <v>87152</v>
      </c>
      <c r="L146" s="107">
        <f t="shared" si="4"/>
        <v>0.28860000000000002</v>
      </c>
      <c r="M146" s="206">
        <f t="shared" si="7"/>
        <v>25152.067200000001</v>
      </c>
    </row>
    <row r="147" spans="1:13" s="2" customFormat="1">
      <c r="A147" s="1">
        <v>132</v>
      </c>
      <c r="C147" s="9">
        <v>1</v>
      </c>
      <c r="D147" s="1" t="str">
        <f>'1.10 Wages'!D143</f>
        <v>H106</v>
      </c>
      <c r="E147" s="1"/>
      <c r="F147" s="1">
        <v>753</v>
      </c>
      <c r="G147" s="1"/>
      <c r="H147" s="296">
        <v>74307.199999999997</v>
      </c>
      <c r="I147" s="296">
        <v>6985.4</v>
      </c>
      <c r="J147" s="296">
        <v>531.80999999999995</v>
      </c>
      <c r="K147" s="126">
        <v>91416</v>
      </c>
      <c r="L147" s="107">
        <f t="shared" si="4"/>
        <v>0.28860000000000002</v>
      </c>
      <c r="M147" s="206">
        <f t="shared" si="7"/>
        <v>26382.657600000002</v>
      </c>
    </row>
    <row r="148" spans="1:13" s="2" customFormat="1">
      <c r="A148" s="1">
        <v>133</v>
      </c>
      <c r="C148" s="9">
        <v>1</v>
      </c>
      <c r="D148" s="1" t="str">
        <f>'1.10 Wages'!D144</f>
        <v>H107</v>
      </c>
      <c r="E148" s="1"/>
      <c r="F148" s="1">
        <v>754</v>
      </c>
      <c r="G148" s="1"/>
      <c r="H148" s="296">
        <v>70749.119999999995</v>
      </c>
      <c r="I148" s="296">
        <v>3325.58</v>
      </c>
      <c r="J148" s="296">
        <v>168.78</v>
      </c>
      <c r="K148" s="126">
        <v>87152</v>
      </c>
      <c r="L148" s="107">
        <f t="shared" si="4"/>
        <v>0.28860000000000002</v>
      </c>
      <c r="M148" s="206">
        <f t="shared" si="7"/>
        <v>25152.067200000001</v>
      </c>
    </row>
    <row r="149" spans="1:13" s="2" customFormat="1">
      <c r="A149" s="1">
        <v>134</v>
      </c>
      <c r="C149" s="9">
        <v>1</v>
      </c>
      <c r="D149" s="1" t="str">
        <f>'1.10 Wages'!D145</f>
        <v>H108</v>
      </c>
      <c r="E149" s="1"/>
      <c r="F149" s="1">
        <v>755</v>
      </c>
      <c r="G149" s="1"/>
      <c r="H149" s="296">
        <v>50232.26</v>
      </c>
      <c r="I149" s="296">
        <v>2372.14</v>
      </c>
      <c r="J149" s="296">
        <v>124.7</v>
      </c>
      <c r="K149" s="126">
        <v>73819.199999999997</v>
      </c>
      <c r="L149" s="107">
        <f t="shared" si="4"/>
        <v>0.28860000000000002</v>
      </c>
      <c r="M149" s="206">
        <f t="shared" si="7"/>
        <v>21304.221120000002</v>
      </c>
    </row>
    <row r="150" spans="1:13" s="2" customFormat="1">
      <c r="A150" s="1">
        <v>135</v>
      </c>
      <c r="C150" s="9">
        <v>1</v>
      </c>
      <c r="D150" s="1" t="str">
        <f>'1.10 Wages'!D146</f>
        <v>H109</v>
      </c>
      <c r="E150" s="1"/>
      <c r="F150" s="1">
        <v>756</v>
      </c>
      <c r="G150" s="1"/>
      <c r="H150" s="296">
        <v>69192.960000000006</v>
      </c>
      <c r="I150" s="296">
        <v>0</v>
      </c>
      <c r="J150" s="296">
        <v>0</v>
      </c>
      <c r="K150" s="126">
        <v>87152</v>
      </c>
      <c r="L150" s="107">
        <f t="shared" si="4"/>
        <v>0.28860000000000002</v>
      </c>
      <c r="M150" s="206">
        <f t="shared" si="7"/>
        <v>25152.067200000001</v>
      </c>
    </row>
    <row r="151" spans="1:13" s="2" customFormat="1">
      <c r="A151" s="1">
        <v>136</v>
      </c>
      <c r="C151" s="9">
        <v>1</v>
      </c>
      <c r="D151" s="1" t="str">
        <f>'1.10 Wages'!D147</f>
        <v>H110</v>
      </c>
      <c r="E151" s="1"/>
      <c r="F151" s="1">
        <v>757</v>
      </c>
      <c r="G151" s="1"/>
      <c r="H151" s="296">
        <v>58457.61</v>
      </c>
      <c r="I151" s="296">
        <v>0</v>
      </c>
      <c r="J151" s="296">
        <v>0</v>
      </c>
      <c r="K151" s="126">
        <v>65748.800000000003</v>
      </c>
      <c r="L151" s="107">
        <f t="shared" si="4"/>
        <v>0.28860000000000002</v>
      </c>
      <c r="M151" s="206">
        <f t="shared" si="7"/>
        <v>18975.103680000004</v>
      </c>
    </row>
    <row r="152" spans="1:13" s="2" customFormat="1">
      <c r="A152" s="1">
        <v>137</v>
      </c>
      <c r="C152" s="9">
        <v>1</v>
      </c>
      <c r="D152" s="1" t="str">
        <f>'1.10 Wages'!D148</f>
        <v>H111</v>
      </c>
      <c r="E152" s="1"/>
      <c r="F152" s="1">
        <v>758</v>
      </c>
      <c r="G152" s="1"/>
      <c r="H152" s="296">
        <v>54091.54</v>
      </c>
      <c r="I152" s="296">
        <v>0</v>
      </c>
      <c r="J152" s="296">
        <v>0</v>
      </c>
      <c r="K152" s="126">
        <v>87152</v>
      </c>
      <c r="L152" s="107">
        <f t="shared" si="4"/>
        <v>0.28860000000000002</v>
      </c>
      <c r="M152" s="206">
        <f t="shared" si="7"/>
        <v>25152.067200000001</v>
      </c>
    </row>
    <row r="153" spans="1:13" s="2" customFormat="1">
      <c r="A153" s="1">
        <v>138</v>
      </c>
      <c r="C153" s="9">
        <v>1</v>
      </c>
      <c r="D153" s="1" t="str">
        <f>'1.10 Wages'!D149</f>
        <v>H112</v>
      </c>
      <c r="E153" s="1"/>
      <c r="F153" s="1">
        <v>759</v>
      </c>
      <c r="G153" s="1"/>
      <c r="H153" s="296">
        <v>56859.35</v>
      </c>
      <c r="I153" s="296">
        <v>0</v>
      </c>
      <c r="J153" s="296">
        <v>0</v>
      </c>
      <c r="K153" s="126">
        <v>76668.800000000003</v>
      </c>
      <c r="L153" s="107">
        <f t="shared" si="4"/>
        <v>0.28860000000000002</v>
      </c>
      <c r="M153" s="206">
        <f>K153*L153</f>
        <v>22126.615680000003</v>
      </c>
    </row>
    <row r="154" spans="1:13" s="2" customFormat="1">
      <c r="A154" s="1">
        <v>139</v>
      </c>
      <c r="C154" s="9">
        <v>1</v>
      </c>
      <c r="D154" s="1" t="str">
        <f>'1.10 Wages'!D150</f>
        <v>H113</v>
      </c>
      <c r="E154" s="1"/>
      <c r="F154" s="1">
        <v>760</v>
      </c>
      <c r="G154" s="1" t="s">
        <v>225</v>
      </c>
      <c r="H154" s="296">
        <v>44600.91</v>
      </c>
      <c r="I154" s="296">
        <v>0</v>
      </c>
      <c r="J154" s="296">
        <v>0</v>
      </c>
      <c r="K154" s="126">
        <v>71489.599999999991</v>
      </c>
      <c r="L154" s="107">
        <f t="shared" si="4"/>
        <v>0.28860000000000002</v>
      </c>
      <c r="M154" s="206">
        <f t="shared" si="7"/>
        <v>20631.898559999998</v>
      </c>
    </row>
    <row r="155" spans="1:13" s="2" customFormat="1">
      <c r="A155" s="1">
        <v>140</v>
      </c>
      <c r="C155" s="9">
        <v>1</v>
      </c>
      <c r="D155" s="1" t="str">
        <f>'1.10 Wages'!D151</f>
        <v>H114</v>
      </c>
      <c r="E155" s="1"/>
      <c r="F155" s="1">
        <v>761</v>
      </c>
      <c r="G155" s="1" t="s">
        <v>225</v>
      </c>
      <c r="H155" s="296">
        <v>41475.480000000003</v>
      </c>
      <c r="I155" s="296">
        <v>0</v>
      </c>
      <c r="J155" s="296">
        <v>0</v>
      </c>
      <c r="K155" s="126">
        <v>71489.599999999991</v>
      </c>
      <c r="L155" s="107">
        <f t="shared" si="4"/>
        <v>0.28860000000000002</v>
      </c>
      <c r="M155" s="206">
        <f t="shared" si="7"/>
        <v>20631.898559999998</v>
      </c>
    </row>
    <row r="156" spans="1:13" s="2" customFormat="1">
      <c r="A156" s="1">
        <v>141</v>
      </c>
      <c r="C156" s="9">
        <v>1</v>
      </c>
      <c r="D156" s="1" t="str">
        <f>'1.10 Wages'!D152</f>
        <v>H115</v>
      </c>
      <c r="E156" s="1"/>
      <c r="F156" s="1">
        <v>762</v>
      </c>
      <c r="G156" s="1" t="s">
        <v>123</v>
      </c>
      <c r="H156" s="296">
        <v>72692.25</v>
      </c>
      <c r="I156" s="296">
        <v>18103.5</v>
      </c>
      <c r="J156" s="296">
        <v>0</v>
      </c>
      <c r="K156" s="126">
        <v>0</v>
      </c>
      <c r="L156" s="107">
        <f t="shared" si="4"/>
        <v>0.28860000000000002</v>
      </c>
      <c r="M156" s="206">
        <f t="shared" si="7"/>
        <v>0</v>
      </c>
    </row>
    <row r="157" spans="1:13" s="2" customFormat="1">
      <c r="A157" s="1">
        <v>142</v>
      </c>
      <c r="C157" s="9">
        <v>1</v>
      </c>
      <c r="D157" s="1" t="str">
        <f>'1.10 Wages'!D153</f>
        <v>H116</v>
      </c>
      <c r="E157" s="1"/>
      <c r="F157" s="1">
        <v>764</v>
      </c>
      <c r="G157" s="1" t="s">
        <v>123</v>
      </c>
      <c r="H157" s="296">
        <v>34737.269999999997</v>
      </c>
      <c r="I157" s="296">
        <v>0</v>
      </c>
      <c r="J157" s="296">
        <v>0</v>
      </c>
      <c r="K157" s="126">
        <v>0</v>
      </c>
      <c r="L157" s="107">
        <f t="shared" si="4"/>
        <v>0.28860000000000002</v>
      </c>
      <c r="M157" s="206">
        <f t="shared" si="7"/>
        <v>0</v>
      </c>
    </row>
    <row r="158" spans="1:13" s="2" customFormat="1">
      <c r="A158" s="1">
        <v>143</v>
      </c>
      <c r="C158" s="9">
        <v>1</v>
      </c>
      <c r="D158" s="1" t="str">
        <f>'1.10 Wages'!D154</f>
        <v>H117</v>
      </c>
      <c r="E158" s="1"/>
      <c r="F158" s="1">
        <v>765</v>
      </c>
      <c r="G158" s="1" t="s">
        <v>123</v>
      </c>
      <c r="H158" s="296">
        <v>207.5</v>
      </c>
      <c r="I158" s="296">
        <v>0</v>
      </c>
      <c r="J158" s="296">
        <v>0</v>
      </c>
      <c r="K158" s="126">
        <v>0</v>
      </c>
      <c r="L158" s="107">
        <f t="shared" si="4"/>
        <v>0.28860000000000002</v>
      </c>
      <c r="M158" s="206">
        <f t="shared" si="7"/>
        <v>0</v>
      </c>
    </row>
    <row r="159" spans="1:13" s="2" customFormat="1">
      <c r="A159" s="1">
        <v>144</v>
      </c>
      <c r="C159" s="9">
        <v>1</v>
      </c>
      <c r="D159" s="1" t="str">
        <f>'1.10 Wages'!D155</f>
        <v>H118</v>
      </c>
      <c r="E159" s="1"/>
      <c r="F159" s="1">
        <v>766</v>
      </c>
      <c r="G159" s="1" t="s">
        <v>225</v>
      </c>
      <c r="H159" s="296">
        <v>32161.88</v>
      </c>
      <c r="I159" s="296">
        <v>0</v>
      </c>
      <c r="J159" s="296">
        <v>0</v>
      </c>
      <c r="K159" s="126">
        <v>62691.200000000004</v>
      </c>
      <c r="L159" s="107">
        <f t="shared" si="4"/>
        <v>0.28860000000000002</v>
      </c>
      <c r="M159" s="206">
        <f t="shared" si="7"/>
        <v>18092.680320000003</v>
      </c>
    </row>
    <row r="160" spans="1:13" s="2" customFormat="1">
      <c r="A160" s="1">
        <v>145</v>
      </c>
      <c r="C160" s="9">
        <v>1</v>
      </c>
      <c r="D160" s="1" t="str">
        <f>'1.10 Wages'!D156</f>
        <v>H119</v>
      </c>
      <c r="E160" s="1"/>
      <c r="F160" s="1">
        <v>767</v>
      </c>
      <c r="G160" s="1" t="s">
        <v>225</v>
      </c>
      <c r="H160" s="296">
        <v>28465.45</v>
      </c>
      <c r="I160" s="296">
        <v>0</v>
      </c>
      <c r="J160" s="296">
        <v>0</v>
      </c>
      <c r="K160" s="126">
        <v>63939.199999999997</v>
      </c>
      <c r="L160" s="107">
        <f t="shared" si="4"/>
        <v>0.28860000000000002</v>
      </c>
      <c r="M160" s="206">
        <f t="shared" si="7"/>
        <v>18452.85312</v>
      </c>
    </row>
    <row r="161" spans="1:13" s="2" customFormat="1">
      <c r="A161" s="1">
        <v>146</v>
      </c>
      <c r="C161" s="9">
        <v>1</v>
      </c>
      <c r="D161" s="1" t="str">
        <f>'1.10 Wages'!D157</f>
        <v>H120</v>
      </c>
      <c r="E161" s="1"/>
      <c r="F161" s="1">
        <v>768</v>
      </c>
      <c r="G161" s="1" t="s">
        <v>225</v>
      </c>
      <c r="H161" s="296">
        <v>43207.68</v>
      </c>
      <c r="I161" s="296">
        <v>0</v>
      </c>
      <c r="J161" s="296">
        <v>0</v>
      </c>
      <c r="K161" s="126">
        <v>87152</v>
      </c>
      <c r="L161" s="107">
        <f t="shared" si="4"/>
        <v>0.28860000000000002</v>
      </c>
      <c r="M161" s="206">
        <f t="shared" si="7"/>
        <v>25152.067200000001</v>
      </c>
    </row>
    <row r="162" spans="1:13" s="2" customFormat="1">
      <c r="A162" s="1">
        <v>147</v>
      </c>
      <c r="C162" s="9">
        <v>1</v>
      </c>
      <c r="D162" s="1" t="str">
        <f>'1.10 Wages'!D158</f>
        <v>H121</v>
      </c>
      <c r="E162" s="1"/>
      <c r="F162" s="1">
        <v>770</v>
      </c>
      <c r="G162" s="1" t="s">
        <v>225</v>
      </c>
      <c r="H162" s="296">
        <v>30368.799999999999</v>
      </c>
      <c r="I162" s="296">
        <v>0</v>
      </c>
      <c r="J162" s="296">
        <v>0</v>
      </c>
      <c r="K162" s="126">
        <v>73819.199999999997</v>
      </c>
      <c r="L162" s="107">
        <f t="shared" si="4"/>
        <v>0.28860000000000002</v>
      </c>
      <c r="M162" s="206">
        <f t="shared" si="7"/>
        <v>21304.221120000002</v>
      </c>
    </row>
    <row r="163" spans="1:13" s="2" customFormat="1">
      <c r="A163" s="1">
        <v>148</v>
      </c>
      <c r="C163" s="9">
        <v>1</v>
      </c>
      <c r="D163" s="1" t="str">
        <f>'1.10 Wages'!D159</f>
        <v>H122</v>
      </c>
      <c r="E163" s="1"/>
      <c r="F163" s="1">
        <v>771</v>
      </c>
      <c r="G163" s="1" t="s">
        <v>225</v>
      </c>
      <c r="H163" s="296">
        <v>30368.83</v>
      </c>
      <c r="I163" s="296">
        <v>0</v>
      </c>
      <c r="J163" s="296">
        <v>0</v>
      </c>
      <c r="K163" s="126">
        <v>73819.199999999997</v>
      </c>
      <c r="L163" s="107">
        <f t="shared" si="4"/>
        <v>0.28860000000000002</v>
      </c>
      <c r="M163" s="206">
        <f t="shared" si="7"/>
        <v>21304.221120000002</v>
      </c>
    </row>
    <row r="164" spans="1:13" s="2" customFormat="1">
      <c r="A164" s="1">
        <v>149</v>
      </c>
      <c r="C164" s="9">
        <v>1</v>
      </c>
      <c r="D164" s="1" t="str">
        <f>'1.10 Wages'!D160</f>
        <v>H123</v>
      </c>
      <c r="E164" s="1"/>
      <c r="F164" s="1">
        <v>772</v>
      </c>
      <c r="G164" s="1" t="s">
        <v>225</v>
      </c>
      <c r="H164" s="296">
        <v>22313.88</v>
      </c>
      <c r="I164" s="296">
        <v>0</v>
      </c>
      <c r="J164" s="296">
        <v>0</v>
      </c>
      <c r="K164" s="126">
        <v>76668.800000000003</v>
      </c>
      <c r="L164" s="107">
        <f t="shared" si="4"/>
        <v>0.28860000000000002</v>
      </c>
      <c r="M164" s="206">
        <f t="shared" si="7"/>
        <v>22126.615680000003</v>
      </c>
    </row>
    <row r="165" spans="1:13" s="2" customFormat="1">
      <c r="A165" s="1">
        <v>150</v>
      </c>
      <c r="C165" s="9">
        <v>1</v>
      </c>
      <c r="D165" s="1" t="str">
        <f>'1.10 Wages'!D161</f>
        <v>H124</v>
      </c>
      <c r="E165" s="1"/>
      <c r="F165" s="1">
        <v>773</v>
      </c>
      <c r="G165" s="1" t="s">
        <v>225</v>
      </c>
      <c r="H165" s="296">
        <v>22313.88</v>
      </c>
      <c r="I165" s="296">
        <v>0</v>
      </c>
      <c r="J165" s="296">
        <v>0</v>
      </c>
      <c r="K165" s="126">
        <v>48692.800000000003</v>
      </c>
      <c r="L165" s="107">
        <f t="shared" si="4"/>
        <v>0.28860000000000002</v>
      </c>
      <c r="M165" s="206">
        <f t="shared" si="7"/>
        <v>14052.742080000002</v>
      </c>
    </row>
    <row r="166" spans="1:13" s="2" customFormat="1">
      <c r="A166" s="1">
        <v>151</v>
      </c>
      <c r="C166" s="9">
        <v>1</v>
      </c>
      <c r="D166" s="1" t="str">
        <f>'1.10 Wages'!D162</f>
        <v>H125</v>
      </c>
      <c r="E166" s="1"/>
      <c r="F166" s="1">
        <v>774</v>
      </c>
      <c r="G166" s="1" t="s">
        <v>225</v>
      </c>
      <c r="H166" s="296">
        <v>32573.88</v>
      </c>
      <c r="I166" s="296">
        <v>0</v>
      </c>
      <c r="J166" s="296">
        <v>0</v>
      </c>
      <c r="K166" s="126">
        <v>71489.599999999991</v>
      </c>
      <c r="L166" s="107">
        <f t="shared" si="4"/>
        <v>0.28860000000000002</v>
      </c>
      <c r="M166" s="206">
        <f t="shared" si="7"/>
        <v>20631.898559999998</v>
      </c>
    </row>
    <row r="167" spans="1:13" s="2" customFormat="1">
      <c r="A167" s="1">
        <v>152</v>
      </c>
      <c r="C167" s="9">
        <v>1</v>
      </c>
      <c r="D167" s="1" t="str">
        <f>'1.10 Wages'!D163</f>
        <v>H126</v>
      </c>
      <c r="E167" s="1"/>
      <c r="F167" s="1">
        <v>775</v>
      </c>
      <c r="G167" s="1" t="s">
        <v>225</v>
      </c>
      <c r="H167" s="296">
        <v>21487.439999999999</v>
      </c>
      <c r="I167" s="296">
        <v>0</v>
      </c>
      <c r="J167" s="296">
        <v>0</v>
      </c>
      <c r="K167" s="126">
        <v>48692.800000000003</v>
      </c>
      <c r="L167" s="107">
        <f t="shared" si="4"/>
        <v>0.28860000000000002</v>
      </c>
      <c r="M167" s="206">
        <f t="shared" si="7"/>
        <v>14052.742080000002</v>
      </c>
    </row>
    <row r="168" spans="1:13" s="2" customFormat="1">
      <c r="A168" s="1">
        <v>153</v>
      </c>
      <c r="C168" s="9">
        <v>1</v>
      </c>
      <c r="D168" s="1" t="str">
        <f>'1.10 Wages'!D164</f>
        <v>H127</v>
      </c>
      <c r="E168" s="1"/>
      <c r="F168" s="1">
        <v>777</v>
      </c>
      <c r="G168" s="1" t="s">
        <v>123</v>
      </c>
      <c r="H168" s="296">
        <v>19061.75</v>
      </c>
      <c r="I168" s="296">
        <v>0</v>
      </c>
      <c r="J168" s="296">
        <v>0</v>
      </c>
      <c r="K168" s="126">
        <v>0</v>
      </c>
      <c r="L168" s="107">
        <f t="shared" si="4"/>
        <v>0.28860000000000002</v>
      </c>
      <c r="M168" s="206">
        <f t="shared" si="7"/>
        <v>0</v>
      </c>
    </row>
    <row r="169" spans="1:13" s="2" customFormat="1">
      <c r="A169" s="1">
        <v>154</v>
      </c>
      <c r="C169" s="9">
        <v>1</v>
      </c>
      <c r="D169" s="1" t="str">
        <f>'1.10 Wages'!D165</f>
        <v>H128</v>
      </c>
      <c r="E169" s="1"/>
      <c r="F169" s="1">
        <v>778</v>
      </c>
      <c r="G169" s="1" t="s">
        <v>225</v>
      </c>
      <c r="H169" s="296">
        <v>16362.72</v>
      </c>
      <c r="I169" s="296">
        <v>0</v>
      </c>
      <c r="J169" s="296">
        <v>0</v>
      </c>
      <c r="K169" s="126">
        <v>46280</v>
      </c>
      <c r="L169" s="107">
        <f t="shared" si="4"/>
        <v>0.28860000000000002</v>
      </c>
      <c r="M169" s="206">
        <f t="shared" si="7"/>
        <v>13356.408000000001</v>
      </c>
    </row>
    <row r="170" spans="1:13" s="2" customFormat="1">
      <c r="A170" s="1">
        <v>155</v>
      </c>
      <c r="C170" s="9">
        <v>1</v>
      </c>
      <c r="D170" s="1" t="str">
        <f>'1.10 Wages'!D166</f>
        <v>H129</v>
      </c>
      <c r="E170" s="1"/>
      <c r="F170" s="1">
        <v>779</v>
      </c>
      <c r="G170" s="1" t="s">
        <v>225</v>
      </c>
      <c r="H170" s="296">
        <v>11570.16</v>
      </c>
      <c r="I170" s="296">
        <v>0</v>
      </c>
      <c r="J170" s="296">
        <v>0</v>
      </c>
      <c r="K170" s="126">
        <v>56492.800000000003</v>
      </c>
      <c r="L170" s="107">
        <f t="shared" si="4"/>
        <v>0.28860000000000002</v>
      </c>
      <c r="M170" s="206">
        <f t="shared" si="7"/>
        <v>16303.822080000002</v>
      </c>
    </row>
    <row r="171" spans="1:13" s="2" customFormat="1">
      <c r="A171" s="1">
        <v>156</v>
      </c>
      <c r="C171" s="9">
        <v>1</v>
      </c>
      <c r="D171" s="1" t="str">
        <f>'1.10 Wages'!D167</f>
        <v>H130</v>
      </c>
      <c r="E171" s="1"/>
      <c r="F171" s="1">
        <v>780</v>
      </c>
      <c r="G171" s="1" t="s">
        <v>225</v>
      </c>
      <c r="H171" s="296">
        <v>12302.68</v>
      </c>
      <c r="I171" s="296">
        <v>0</v>
      </c>
      <c r="J171" s="296">
        <v>0</v>
      </c>
      <c r="K171" s="126">
        <v>64854.400000000001</v>
      </c>
      <c r="L171" s="107">
        <f t="shared" ref="L171:L183" si="8">$M$8</f>
        <v>0.28860000000000002</v>
      </c>
      <c r="M171" s="206">
        <f t="shared" si="7"/>
        <v>18716.979840000004</v>
      </c>
    </row>
    <row r="172" spans="1:13" s="2" customFormat="1">
      <c r="A172" s="1">
        <v>157</v>
      </c>
      <c r="C172" s="9">
        <v>1</v>
      </c>
      <c r="D172" s="1" t="str">
        <f>'1.10 Wages'!D168</f>
        <v>H131</v>
      </c>
      <c r="E172" s="1"/>
      <c r="F172" s="1">
        <v>781</v>
      </c>
      <c r="G172" s="1" t="s">
        <v>225</v>
      </c>
      <c r="H172" s="296">
        <v>20238.919999999998</v>
      </c>
      <c r="I172" s="296">
        <v>0</v>
      </c>
      <c r="J172" s="296">
        <v>0</v>
      </c>
      <c r="K172" s="126">
        <v>84260.800000000003</v>
      </c>
      <c r="L172" s="107">
        <f t="shared" si="8"/>
        <v>0.28860000000000002</v>
      </c>
      <c r="M172" s="206">
        <f t="shared" si="7"/>
        <v>24317.666880000004</v>
      </c>
    </row>
    <row r="173" spans="1:13" s="2" customFormat="1">
      <c r="A173" s="1">
        <v>158</v>
      </c>
      <c r="C173" s="9">
        <v>1</v>
      </c>
      <c r="D173" s="1" t="str">
        <f>'1.10 Wages'!D169</f>
        <v>H132</v>
      </c>
      <c r="E173" s="1"/>
      <c r="F173" s="1">
        <v>782</v>
      </c>
      <c r="G173" s="1" t="s">
        <v>123</v>
      </c>
      <c r="H173" s="296">
        <v>43846.2</v>
      </c>
      <c r="I173" s="296">
        <v>9139</v>
      </c>
      <c r="J173" s="296">
        <v>876.91</v>
      </c>
      <c r="K173" s="126">
        <v>0</v>
      </c>
      <c r="L173" s="107">
        <f t="shared" si="8"/>
        <v>0.28860000000000002</v>
      </c>
      <c r="M173" s="206">
        <f t="shared" si="7"/>
        <v>0</v>
      </c>
    </row>
    <row r="174" spans="1:13" s="2" customFormat="1">
      <c r="A174" s="1">
        <v>159</v>
      </c>
      <c r="C174" s="9">
        <v>1</v>
      </c>
      <c r="D174" s="1" t="str">
        <f>'1.10 Wages'!D170</f>
        <v>H133</v>
      </c>
      <c r="E174" s="1"/>
      <c r="F174" s="1">
        <v>783</v>
      </c>
      <c r="G174" s="1" t="s">
        <v>225</v>
      </c>
      <c r="H174" s="296">
        <v>8940</v>
      </c>
      <c r="I174" s="296">
        <v>0</v>
      </c>
      <c r="J174" s="296">
        <v>0</v>
      </c>
      <c r="K174" s="126">
        <v>82576</v>
      </c>
      <c r="L174" s="107">
        <f t="shared" si="8"/>
        <v>0.28860000000000002</v>
      </c>
      <c r="M174" s="206">
        <f t="shared" si="7"/>
        <v>23831.4336</v>
      </c>
    </row>
    <row r="175" spans="1:13" s="2" customFormat="1">
      <c r="A175" s="1">
        <v>160</v>
      </c>
      <c r="C175" s="9">
        <v>1</v>
      </c>
      <c r="D175" s="1" t="str">
        <f>'1.10 Wages'!D171</f>
        <v>H134</v>
      </c>
      <c r="E175" s="1"/>
      <c r="F175" s="1">
        <v>784</v>
      </c>
      <c r="G175" s="1" t="s">
        <v>225</v>
      </c>
      <c r="H175" s="296">
        <v>4132.2</v>
      </c>
      <c r="I175" s="296">
        <v>0</v>
      </c>
      <c r="J175" s="296">
        <v>0</v>
      </c>
      <c r="K175" s="126">
        <v>46280</v>
      </c>
      <c r="L175" s="107">
        <f t="shared" si="8"/>
        <v>0.28860000000000002</v>
      </c>
      <c r="M175" s="206">
        <f t="shared" si="7"/>
        <v>13356.408000000001</v>
      </c>
    </row>
    <row r="176" spans="1:13" s="2" customFormat="1">
      <c r="A176" s="1">
        <v>161</v>
      </c>
      <c r="C176" s="9">
        <v>1</v>
      </c>
      <c r="D176" s="1" t="str">
        <f>'1.10 Wages'!D172</f>
        <v>H135</v>
      </c>
      <c r="E176" s="1"/>
      <c r="F176" s="1">
        <v>787</v>
      </c>
      <c r="G176" s="1" t="s">
        <v>225</v>
      </c>
      <c r="H176" s="296">
        <v>0</v>
      </c>
      <c r="I176" s="296">
        <v>0</v>
      </c>
      <c r="J176" s="296">
        <v>0</v>
      </c>
      <c r="K176" s="126">
        <v>76668.800000000003</v>
      </c>
      <c r="L176" s="107">
        <f t="shared" si="8"/>
        <v>0.28860000000000002</v>
      </c>
      <c r="M176" s="206">
        <f t="shared" si="7"/>
        <v>22126.615680000003</v>
      </c>
    </row>
    <row r="177" spans="1:13" s="2" customFormat="1">
      <c r="A177" s="1">
        <v>162</v>
      </c>
      <c r="C177" s="9">
        <v>1</v>
      </c>
      <c r="D177" s="1" t="str">
        <f>'1.10 Wages'!D173</f>
        <v>H136</v>
      </c>
      <c r="E177" s="1"/>
      <c r="F177" s="1">
        <v>788</v>
      </c>
      <c r="G177" s="1" t="s">
        <v>225</v>
      </c>
      <c r="H177" s="296">
        <v>0</v>
      </c>
      <c r="I177" s="296">
        <v>0</v>
      </c>
      <c r="J177" s="296">
        <v>0</v>
      </c>
      <c r="K177" s="126">
        <v>76668.800000000003</v>
      </c>
      <c r="L177" s="107">
        <f t="shared" si="8"/>
        <v>0.28860000000000002</v>
      </c>
      <c r="M177" s="206">
        <f t="shared" si="7"/>
        <v>22126.615680000003</v>
      </c>
    </row>
    <row r="178" spans="1:13" s="2" customFormat="1">
      <c r="A178" s="1">
        <v>163</v>
      </c>
      <c r="C178" s="9">
        <v>1</v>
      </c>
      <c r="D178" s="1" t="str">
        <f>'1.10 Wages'!D174</f>
        <v>H137</v>
      </c>
      <c r="E178" s="1"/>
      <c r="F178" s="1">
        <v>789</v>
      </c>
      <c r="G178" s="1" t="s">
        <v>225</v>
      </c>
      <c r="H178" s="296">
        <v>0</v>
      </c>
      <c r="I178" s="296">
        <v>0</v>
      </c>
      <c r="J178" s="296">
        <v>0</v>
      </c>
      <c r="K178" s="126">
        <v>50419.199999999997</v>
      </c>
      <c r="L178" s="107">
        <f t="shared" si="8"/>
        <v>0.28860000000000002</v>
      </c>
      <c r="M178" s="206">
        <f t="shared" si="7"/>
        <v>14550.98112</v>
      </c>
    </row>
    <row r="179" spans="1:13" s="2" customFormat="1">
      <c r="A179" s="1">
        <v>164</v>
      </c>
      <c r="C179" s="9">
        <v>1</v>
      </c>
      <c r="D179" s="1" t="str">
        <f>'1.10 Wages'!D175</f>
        <v>H138</v>
      </c>
      <c r="E179" s="1"/>
      <c r="F179" s="1">
        <v>790</v>
      </c>
      <c r="G179" s="1" t="s">
        <v>225</v>
      </c>
      <c r="H179" s="296">
        <v>0</v>
      </c>
      <c r="I179" s="296">
        <v>0</v>
      </c>
      <c r="J179" s="296">
        <v>0</v>
      </c>
      <c r="K179" s="126">
        <v>51105.599999999999</v>
      </c>
      <c r="L179" s="107">
        <f t="shared" si="8"/>
        <v>0.28860000000000002</v>
      </c>
      <c r="M179" s="206">
        <f>K179*L179</f>
        <v>14749.076160000001</v>
      </c>
    </row>
    <row r="180" spans="1:13" s="2" customFormat="1">
      <c r="A180" s="1">
        <v>165</v>
      </c>
      <c r="C180" s="9">
        <v>1</v>
      </c>
      <c r="D180" s="1" t="str">
        <f>'1.10 Wages'!D176</f>
        <v>H139</v>
      </c>
      <c r="E180" s="1"/>
      <c r="F180" s="1">
        <v>791</v>
      </c>
      <c r="G180" s="1" t="s">
        <v>225</v>
      </c>
      <c r="H180" s="296">
        <v>0</v>
      </c>
      <c r="I180" s="296">
        <v>0</v>
      </c>
      <c r="J180" s="296">
        <v>0</v>
      </c>
      <c r="K180" s="126">
        <v>63939.199999999997</v>
      </c>
      <c r="L180" s="107">
        <f t="shared" si="8"/>
        <v>0.28860000000000002</v>
      </c>
      <c r="M180" s="206">
        <f t="shared" ref="M180:M183" si="9">K180*L180</f>
        <v>18452.85312</v>
      </c>
    </row>
    <row r="181" spans="1:13" s="2" customFormat="1">
      <c r="A181" s="1">
        <v>166</v>
      </c>
      <c r="C181" s="9">
        <v>1</v>
      </c>
      <c r="D181" s="1" t="str">
        <f>'1.10 Wages'!D177</f>
        <v>H140</v>
      </c>
      <c r="E181" s="1"/>
      <c r="F181" s="1">
        <v>792</v>
      </c>
      <c r="G181" s="1" t="s">
        <v>225</v>
      </c>
      <c r="H181" s="296">
        <v>0</v>
      </c>
      <c r="I181" s="296">
        <v>0</v>
      </c>
      <c r="J181" s="296">
        <v>0</v>
      </c>
      <c r="K181" s="126">
        <v>43971.200000000004</v>
      </c>
      <c r="L181" s="107">
        <f t="shared" si="8"/>
        <v>0.28860000000000002</v>
      </c>
      <c r="M181" s="206">
        <f t="shared" si="9"/>
        <v>12690.088320000003</v>
      </c>
    </row>
    <row r="182" spans="1:13" s="2" customFormat="1">
      <c r="A182" s="1">
        <v>167</v>
      </c>
      <c r="C182" s="9">
        <v>1</v>
      </c>
      <c r="D182" s="1" t="str">
        <f>'1.10 Wages'!D178</f>
        <v>H141</v>
      </c>
      <c r="E182" s="1"/>
      <c r="F182" s="1">
        <v>793</v>
      </c>
      <c r="G182" s="1" t="s">
        <v>225</v>
      </c>
      <c r="H182" s="296">
        <v>0</v>
      </c>
      <c r="I182" s="296">
        <v>0</v>
      </c>
      <c r="J182" s="296">
        <v>0</v>
      </c>
      <c r="K182" s="126">
        <v>57844.799999999996</v>
      </c>
      <c r="L182" s="107">
        <f t="shared" si="8"/>
        <v>0.28860000000000002</v>
      </c>
      <c r="M182" s="206">
        <f t="shared" si="9"/>
        <v>16694.009279999998</v>
      </c>
    </row>
    <row r="183" spans="1:13" s="2" customFormat="1">
      <c r="A183" s="1">
        <v>168</v>
      </c>
      <c r="C183" s="9">
        <v>1</v>
      </c>
      <c r="D183" s="1" t="str">
        <f>'1.10 Wages'!D179</f>
        <v>H142</v>
      </c>
      <c r="E183" s="1"/>
      <c r="F183" s="1">
        <v>794</v>
      </c>
      <c r="G183" s="1" t="s">
        <v>225</v>
      </c>
      <c r="H183" s="296">
        <v>0</v>
      </c>
      <c r="I183" s="296">
        <v>0</v>
      </c>
      <c r="J183" s="296">
        <v>0</v>
      </c>
      <c r="K183" s="126">
        <v>43971.200000000004</v>
      </c>
      <c r="L183" s="107">
        <f t="shared" si="8"/>
        <v>0.28860000000000002</v>
      </c>
      <c r="M183" s="206">
        <f t="shared" si="9"/>
        <v>12690.088320000003</v>
      </c>
    </row>
    <row r="184" spans="1:13" s="2" customFormat="1">
      <c r="A184" s="1">
        <v>169</v>
      </c>
      <c r="C184" s="147">
        <f>SUM(C42:C183)</f>
        <v>142</v>
      </c>
      <c r="D184" s="4" t="s">
        <v>22</v>
      </c>
      <c r="E184" s="4"/>
      <c r="F184" s="4"/>
      <c r="G184" s="128"/>
      <c r="H184" s="300">
        <f>SUM(H42:H183)</f>
        <v>8192757.0399999982</v>
      </c>
      <c r="I184" s="300">
        <f>SUM(I42:I183)</f>
        <v>1867274.7599999995</v>
      </c>
      <c r="J184" s="300">
        <f>SUM(J42:J183)</f>
        <v>138299.25000000006</v>
      </c>
      <c r="K184" s="176">
        <f>SUM(K42:K183)</f>
        <v>8917063.9999999981</v>
      </c>
      <c r="L184" s="41"/>
      <c r="M184" s="93">
        <f>SUM(M42:M182)</f>
        <v>2533722.9091199981</v>
      </c>
    </row>
    <row r="185" spans="1:13" s="2" customFormat="1">
      <c r="A185" s="1">
        <v>170</v>
      </c>
      <c r="C185" s="9"/>
      <c r="D185" s="1"/>
      <c r="E185" s="1"/>
      <c r="F185" s="1"/>
      <c r="G185" s="1"/>
      <c r="H185" s="1"/>
      <c r="I185" s="1"/>
      <c r="J185" s="1"/>
      <c r="K185" s="125"/>
    </row>
    <row r="186" spans="1:13" s="2" customFormat="1">
      <c r="A186" s="1">
        <v>171</v>
      </c>
      <c r="C186" s="390">
        <f>+C39+C184</f>
        <v>165</v>
      </c>
      <c r="D186" s="209" t="s">
        <v>14</v>
      </c>
      <c r="E186" s="209"/>
      <c r="F186" s="209"/>
      <c r="G186" s="210"/>
      <c r="H186" s="301">
        <f>H184+H39</f>
        <v>10496901.249999998</v>
      </c>
      <c r="I186" s="301">
        <f>I184+I39</f>
        <v>2346302.3199999994</v>
      </c>
      <c r="J186" s="301">
        <f>J184+J39</f>
        <v>181938.65000000005</v>
      </c>
      <c r="K186" s="301">
        <f>K184+K39</f>
        <v>11825758.999999998</v>
      </c>
      <c r="L186" s="102"/>
      <c r="M186" s="211">
        <f>M39+M184</f>
        <v>3174033.8577199979</v>
      </c>
    </row>
    <row r="187" spans="1:13" s="2" customFormat="1">
      <c r="A187" s="1">
        <v>172</v>
      </c>
      <c r="C187" s="391"/>
      <c r="D187" s="159"/>
      <c r="E187" s="159"/>
      <c r="F187" s="159"/>
      <c r="G187" s="178"/>
      <c r="H187" s="178"/>
      <c r="I187" s="159"/>
      <c r="J187" s="159"/>
      <c r="K187" s="212"/>
      <c r="M187" s="212"/>
    </row>
    <row r="188" spans="1:13" s="2" customFormat="1">
      <c r="A188" s="1">
        <v>173</v>
      </c>
      <c r="C188" s="392" t="s">
        <v>36</v>
      </c>
      <c r="G188" s="178"/>
      <c r="H188" s="178"/>
      <c r="I188" s="159"/>
      <c r="J188" s="159"/>
      <c r="K188" s="212"/>
      <c r="M188" s="232">
        <f>I186+J186</f>
        <v>2528240.9699999993</v>
      </c>
    </row>
    <row r="189" spans="1:13" s="2" customFormat="1">
      <c r="A189" s="1">
        <v>174</v>
      </c>
      <c r="C189" s="391"/>
      <c r="D189" s="159"/>
      <c r="E189" s="159"/>
      <c r="F189" s="159"/>
      <c r="G189" s="178"/>
      <c r="H189" s="178"/>
      <c r="I189" s="159"/>
      <c r="J189" s="159"/>
      <c r="K189" s="212"/>
      <c r="M189" s="212"/>
    </row>
    <row r="190" spans="1:13" s="2" customFormat="1">
      <c r="A190" s="1">
        <v>175</v>
      </c>
      <c r="C190" s="392" t="s">
        <v>147</v>
      </c>
      <c r="D190" s="159"/>
      <c r="E190" s="159"/>
      <c r="F190" s="159"/>
      <c r="G190" s="159"/>
      <c r="H190" s="159"/>
      <c r="I190" s="159"/>
      <c r="J190" s="159"/>
      <c r="K190" s="177"/>
      <c r="M190" s="233">
        <f>M186</f>
        <v>3174033.8577199979</v>
      </c>
    </row>
    <row r="191" spans="1:13" s="2" customFormat="1">
      <c r="A191" s="1">
        <v>176</v>
      </c>
      <c r="C191" s="391"/>
      <c r="D191" s="159"/>
      <c r="E191" s="159"/>
      <c r="F191" s="159"/>
      <c r="G191" s="159"/>
      <c r="H191" s="159"/>
      <c r="I191" s="159"/>
      <c r="J191" s="159"/>
      <c r="K191" s="177"/>
    </row>
    <row r="192" spans="1:13" s="2" customFormat="1" ht="13.5" thickBot="1">
      <c r="A192" s="1">
        <v>177</v>
      </c>
      <c r="C192" s="393" t="s">
        <v>376</v>
      </c>
      <c r="D192" s="182"/>
      <c r="E192" s="182"/>
      <c r="F192" s="182"/>
      <c r="G192" s="181"/>
      <c r="H192" s="181"/>
      <c r="I192" s="181"/>
      <c r="J192" s="181"/>
      <c r="K192" s="181"/>
      <c r="L192" s="181"/>
      <c r="M192" s="234">
        <f>M190-M188</f>
        <v>645792.8877199986</v>
      </c>
    </row>
    <row r="193" spans="1:13" s="2" customFormat="1" ht="13.5" thickTop="1">
      <c r="A193" s="1">
        <v>178</v>
      </c>
      <c r="C193" s="9"/>
      <c r="D193" s="1"/>
      <c r="E193" s="1"/>
      <c r="F193" s="1"/>
      <c r="G193" s="1"/>
      <c r="H193" s="1"/>
      <c r="I193" s="1"/>
      <c r="J193" s="1"/>
    </row>
    <row r="194" spans="1:13" s="2" customFormat="1">
      <c r="A194" s="1">
        <v>179</v>
      </c>
      <c r="C194" s="386" t="s">
        <v>299</v>
      </c>
      <c r="D194" s="137" t="s">
        <v>123</v>
      </c>
      <c r="E194" s="137"/>
      <c r="G194" s="238" t="s">
        <v>368</v>
      </c>
      <c r="I194" s="137" t="s">
        <v>225</v>
      </c>
      <c r="J194" s="238" t="s">
        <v>441</v>
      </c>
      <c r="L194" s="124"/>
    </row>
    <row r="195" spans="1:13" s="2" customFormat="1" ht="23.25" customHeight="1">
      <c r="A195" s="1">
        <v>180</v>
      </c>
      <c r="C195" s="9"/>
      <c r="D195" s="1"/>
      <c r="E195" s="1"/>
      <c r="F195" s="1"/>
      <c r="G195" s="1"/>
      <c r="H195" s="1"/>
      <c r="I195" s="1"/>
      <c r="J195" s="1"/>
    </row>
    <row r="196" spans="1:13" s="2" customFormat="1" ht="39" customHeight="1">
      <c r="A196" s="1">
        <v>181</v>
      </c>
      <c r="C196" s="453" t="s">
        <v>356</v>
      </c>
      <c r="D196" s="453"/>
      <c r="E196" s="453"/>
      <c r="F196" s="453"/>
      <c r="G196" s="453"/>
      <c r="H196" s="453"/>
      <c r="I196" s="453"/>
      <c r="J196" s="453"/>
      <c r="K196" s="453"/>
      <c r="L196" s="453"/>
      <c r="M196" s="453"/>
    </row>
    <row r="197" spans="1:13" s="2" customFormat="1" ht="33.75" customHeight="1">
      <c r="A197" s="1">
        <v>182</v>
      </c>
      <c r="C197" s="9"/>
      <c r="D197" s="1"/>
      <c r="E197" s="1"/>
      <c r="F197" s="1"/>
      <c r="G197" s="1"/>
      <c r="H197" s="1"/>
      <c r="I197" s="1"/>
      <c r="J197" s="1"/>
    </row>
    <row r="198" spans="1:13">
      <c r="A198" s="1">
        <v>183</v>
      </c>
      <c r="C198" s="81" t="s">
        <v>335</v>
      </c>
      <c r="G198" s="9"/>
      <c r="H198" s="9"/>
      <c r="K198" s="46"/>
      <c r="L198" s="138" t="s">
        <v>125</v>
      </c>
      <c r="M198" s="138" t="s">
        <v>15</v>
      </c>
    </row>
    <row r="199" spans="1:13">
      <c r="A199" s="1">
        <v>184</v>
      </c>
      <c r="G199" s="9"/>
      <c r="H199" s="9"/>
    </row>
    <row r="200" spans="1:13">
      <c r="A200" s="1">
        <v>185</v>
      </c>
      <c r="C200" s="10" t="s">
        <v>116</v>
      </c>
      <c r="D200" s="14" t="s">
        <v>117</v>
      </c>
      <c r="E200" s="14"/>
      <c r="F200" s="14"/>
      <c r="G200" s="9"/>
      <c r="H200" s="9"/>
      <c r="K200" s="22"/>
      <c r="L200" s="218">
        <v>7.9162376565297371E-2</v>
      </c>
      <c r="M200" s="22">
        <f>L200*M$192</f>
        <v>51122.499760881336</v>
      </c>
    </row>
    <row r="201" spans="1:13">
      <c r="A201" s="1">
        <v>186</v>
      </c>
      <c r="C201" s="10" t="s">
        <v>118</v>
      </c>
      <c r="D201" s="14" t="s">
        <v>119</v>
      </c>
      <c r="E201" s="14"/>
      <c r="F201" s="14"/>
      <c r="G201" s="9"/>
      <c r="H201" s="9"/>
      <c r="K201" s="22"/>
      <c r="L201" s="218">
        <v>0.24163090740067283</v>
      </c>
      <c r="M201" s="22">
        <f t="shared" ref="M201:M204" si="10">L201*M$192</f>
        <v>156043.5214526841</v>
      </c>
    </row>
    <row r="202" spans="1:13">
      <c r="A202" s="1">
        <v>187</v>
      </c>
      <c r="C202" s="10" t="s">
        <v>120</v>
      </c>
      <c r="D202" s="14" t="s">
        <v>103</v>
      </c>
      <c r="E202" s="14"/>
      <c r="F202" s="14"/>
      <c r="G202" s="9"/>
      <c r="H202" s="9"/>
      <c r="K202" s="22"/>
      <c r="L202" s="218">
        <v>0.10810391683156846</v>
      </c>
      <c r="M202" s="22">
        <f t="shared" si="10"/>
        <v>69812.740624501152</v>
      </c>
    </row>
    <row r="203" spans="1:13">
      <c r="A203" s="1">
        <v>188</v>
      </c>
      <c r="C203" s="10" t="s">
        <v>304</v>
      </c>
      <c r="D203" s="14" t="s">
        <v>78</v>
      </c>
      <c r="E203" s="14"/>
      <c r="F203" s="14"/>
      <c r="G203" s="9"/>
      <c r="H203" s="9"/>
      <c r="K203" s="22"/>
      <c r="L203" s="218">
        <v>2.3955366492386103E-2</v>
      </c>
      <c r="M203" s="22">
        <f t="shared" si="10"/>
        <v>15470.205303508916</v>
      </c>
    </row>
    <row r="204" spans="1:13">
      <c r="A204" s="1">
        <v>189</v>
      </c>
      <c r="C204" s="10" t="s">
        <v>121</v>
      </c>
      <c r="D204" s="14" t="s">
        <v>115</v>
      </c>
      <c r="E204" s="14"/>
      <c r="F204" s="14"/>
      <c r="G204" s="9"/>
      <c r="H204" s="9"/>
      <c r="K204" s="22"/>
      <c r="L204" s="218">
        <v>0.10589168658007772</v>
      </c>
      <c r="M204" s="22">
        <f t="shared" si="10"/>
        <v>68384.098062089412</v>
      </c>
    </row>
    <row r="205" spans="1:13">
      <c r="A205" s="1">
        <v>190</v>
      </c>
      <c r="C205" s="385" t="s">
        <v>374</v>
      </c>
      <c r="D205" s="15"/>
      <c r="E205" s="15"/>
      <c r="F205" s="15"/>
      <c r="G205" s="147"/>
      <c r="H205" s="147"/>
      <c r="I205" s="15"/>
      <c r="J205" s="15"/>
      <c r="K205" s="28"/>
      <c r="L205" s="219">
        <f>SUM(L200:L204)</f>
        <v>0.55874425387000248</v>
      </c>
      <c r="M205" s="242">
        <f>SUM(M200:M204)</f>
        <v>360833.06520366488</v>
      </c>
    </row>
    <row r="206" spans="1:13">
      <c r="A206" s="1">
        <v>191</v>
      </c>
      <c r="G206" s="9"/>
      <c r="H206" s="9"/>
      <c r="K206" s="22"/>
      <c r="L206" s="218"/>
      <c r="M206" s="22"/>
    </row>
    <row r="207" spans="1:13">
      <c r="A207" s="1">
        <v>192</v>
      </c>
      <c r="C207" s="10" t="s">
        <v>305</v>
      </c>
      <c r="D207" s="14" t="s">
        <v>306</v>
      </c>
      <c r="E207" s="14"/>
      <c r="F207" s="14"/>
      <c r="G207" s="9"/>
      <c r="H207" s="9"/>
      <c r="K207" s="22"/>
      <c r="L207" s="218">
        <v>0.26532065508349417</v>
      </c>
      <c r="M207" s="22">
        <f t="shared" ref="M207:M210" si="11">L207*M$192</f>
        <v>171342.19201813143</v>
      </c>
    </row>
    <row r="208" spans="1:13">
      <c r="A208" s="1">
        <v>193</v>
      </c>
      <c r="C208" s="10" t="s">
        <v>307</v>
      </c>
      <c r="D208" s="14" t="s">
        <v>308</v>
      </c>
      <c r="E208" s="14"/>
      <c r="F208" s="14"/>
      <c r="G208" s="9"/>
      <c r="H208" s="9"/>
      <c r="K208" s="22"/>
      <c r="L208" s="218">
        <v>1.9168932948869864E-2</v>
      </c>
      <c r="M208" s="22">
        <f t="shared" si="11"/>
        <v>12379.160563561698</v>
      </c>
    </row>
    <row r="209" spans="1:13">
      <c r="A209" s="1">
        <v>194</v>
      </c>
      <c r="C209" s="10" t="s">
        <v>309</v>
      </c>
      <c r="D209" s="14" t="s">
        <v>310</v>
      </c>
      <c r="E209" s="14"/>
      <c r="F209" s="14"/>
      <c r="G209" s="9"/>
      <c r="H209" s="9"/>
      <c r="K209" s="22"/>
      <c r="L209" s="218">
        <v>5.5518749294945616E-2</v>
      </c>
      <c r="M209" s="22">
        <f t="shared" si="11"/>
        <v>35853.613429785568</v>
      </c>
    </row>
    <row r="210" spans="1:13">
      <c r="A210" s="1">
        <v>195</v>
      </c>
      <c r="C210" s="10" t="s">
        <v>311</v>
      </c>
      <c r="D210" s="14" t="s">
        <v>312</v>
      </c>
      <c r="E210" s="14"/>
      <c r="F210" s="14"/>
      <c r="G210" s="9"/>
      <c r="H210" s="9"/>
      <c r="K210" s="22"/>
      <c r="L210" s="218">
        <v>0.10124740880268777</v>
      </c>
      <c r="M210" s="22">
        <f t="shared" si="11"/>
        <v>65384.856504854943</v>
      </c>
    </row>
    <row r="211" spans="1:13">
      <c r="A211" s="1">
        <v>196</v>
      </c>
      <c r="D211" s="15" t="s">
        <v>22</v>
      </c>
      <c r="E211" s="15"/>
      <c r="F211" s="15"/>
      <c r="G211" s="147"/>
      <c r="H211" s="147"/>
      <c r="I211" s="15"/>
      <c r="J211" s="15"/>
      <c r="K211" s="28"/>
      <c r="L211" s="219">
        <f>SUM(L207:L210)</f>
        <v>0.44125574612999741</v>
      </c>
      <c r="M211" s="28">
        <f>SUM(M207:M210)</f>
        <v>284959.8225163336</v>
      </c>
    </row>
    <row r="212" spans="1:13">
      <c r="A212" s="1">
        <v>197</v>
      </c>
      <c r="G212" s="9"/>
      <c r="H212" s="9"/>
      <c r="K212" s="22"/>
      <c r="L212" s="218"/>
      <c r="M212" s="22"/>
    </row>
    <row r="213" spans="1:13" ht="13.5" thickBot="1">
      <c r="A213" s="1">
        <v>198</v>
      </c>
      <c r="D213" s="220" t="s">
        <v>43</v>
      </c>
      <c r="E213" s="220"/>
      <c r="F213" s="220"/>
      <c r="G213" s="220"/>
      <c r="H213" s="220"/>
      <c r="I213" s="19"/>
      <c r="J213" s="19"/>
      <c r="K213" s="221"/>
      <c r="L213" s="222">
        <v>0.99999999999999978</v>
      </c>
      <c r="M213" s="221">
        <f>M205+M211</f>
        <v>645792.88771999849</v>
      </c>
    </row>
    <row r="214" spans="1:13" ht="13.5" thickTop="1">
      <c r="G214" s="9"/>
      <c r="H214" s="9"/>
    </row>
  </sheetData>
  <mergeCells count="6">
    <mergeCell ref="K11:M11"/>
    <mergeCell ref="C196:M196"/>
    <mergeCell ref="C11:G11"/>
    <mergeCell ref="A3:M3"/>
    <mergeCell ref="A4:M4"/>
    <mergeCell ref="A6:M6"/>
  </mergeCells>
  <printOptions horizontalCentered="1"/>
  <pageMargins left="0.7" right="0.7" top="0.75" bottom="0.75" header="0.3" footer="0.3"/>
  <pageSetup scale="72" fitToHeight="2" orientation="portrait" r:id="rId1"/>
  <headerFooter alignWithMargins="0">
    <oddFooter>&amp;RExhibit  JW-2
Page &amp;P of &amp;N</oddFooter>
  </headerFooter>
  <rowBreaks count="1" manualBreakCount="1">
    <brk id="192" max="12" man="1"/>
  </rowBreaks>
  <ignoredErrors>
    <ignoredError sqref="H13:M1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7FB7D-6D8C-4DB5-AE30-A86F724F1A57}">
  <dimension ref="A1:AB238"/>
  <sheetViews>
    <sheetView view="pageBreakPreview" topLeftCell="A169" zoomScaleNormal="100" zoomScaleSheetLayoutView="100" workbookViewId="0">
      <selection activeCell="Z5" sqref="Z5"/>
    </sheetView>
  </sheetViews>
  <sheetFormatPr defaultColWidth="9.140625" defaultRowHeight="12.75"/>
  <cols>
    <col min="1" max="1" width="5.85546875" style="1" customWidth="1"/>
    <col min="2" max="2" width="1.28515625" style="2" customWidth="1"/>
    <col min="3" max="3" width="6.42578125" style="9" customWidth="1"/>
    <col min="4" max="4" width="8.85546875" style="1" customWidth="1"/>
    <col min="5" max="5" width="11.140625" style="2" hidden="1" customWidth="1"/>
    <col min="6" max="6" width="4.5703125" style="1" customWidth="1"/>
    <col min="7" max="7" width="1.42578125" style="1" customWidth="1"/>
    <col min="8" max="8" width="14.140625" style="206" bestFit="1" customWidth="1"/>
    <col min="9" max="9" width="17.7109375" style="2" customWidth="1"/>
    <col min="10" max="10" width="10" style="2" hidden="1" customWidth="1"/>
    <col min="11" max="11" width="1.28515625" style="2" customWidth="1"/>
    <col min="12" max="12" width="12.28515625" style="2" customWidth="1"/>
    <col min="13" max="13" width="13.42578125" style="2" customWidth="1"/>
    <col min="14" max="14" width="9.7109375" style="2" hidden="1" customWidth="1"/>
    <col min="15" max="15" width="10.42578125" style="2" bestFit="1" customWidth="1"/>
    <col min="16" max="16" width="12.7109375" style="2" customWidth="1"/>
    <col min="17" max="17" width="1.140625" style="2" customWidth="1"/>
    <col min="18" max="18" width="9.28515625" style="2" bestFit="1" customWidth="1"/>
    <col min="19" max="19" width="0.85546875" style="2" customWidth="1"/>
    <col min="20" max="20" width="14.140625" style="2" bestFit="1" customWidth="1"/>
    <col min="21" max="21" width="10.28515625" style="2" customWidth="1"/>
    <col min="22" max="22" width="9.42578125" style="2" hidden="1" customWidth="1"/>
    <col min="23" max="23" width="7" style="2" bestFit="1" customWidth="1"/>
    <col min="24" max="24" width="11.28515625" style="2" customWidth="1"/>
    <col min="25" max="25" width="1" style="2" customWidth="1"/>
    <col min="26" max="26" width="11.5703125" style="2" customWidth="1"/>
    <col min="27" max="16384" width="9.140625" style="2"/>
  </cols>
  <sheetData>
    <row r="1" spans="1:26">
      <c r="Z1" s="115" t="s">
        <v>111</v>
      </c>
    </row>
    <row r="2" spans="1:26" ht="9.75" customHeight="1">
      <c r="L2" s="115"/>
    </row>
    <row r="3" spans="1:26">
      <c r="A3" s="450" t="str">
        <f>RevReq!A1</f>
        <v>SOUTH KENTUCKY R.E.C.C.</v>
      </c>
      <c r="B3" s="450"/>
      <c r="C3" s="450"/>
      <c r="D3" s="450"/>
      <c r="E3" s="450"/>
      <c r="F3" s="450"/>
      <c r="G3" s="450"/>
      <c r="H3" s="450"/>
      <c r="I3" s="450"/>
      <c r="J3" s="450"/>
      <c r="K3" s="450"/>
      <c r="L3" s="450"/>
      <c r="M3" s="450"/>
      <c r="N3" s="450"/>
      <c r="O3" s="450"/>
      <c r="P3" s="450"/>
      <c r="Q3" s="450"/>
      <c r="R3" s="450"/>
      <c r="S3" s="450"/>
      <c r="T3" s="450"/>
      <c r="U3" s="450"/>
      <c r="V3" s="450"/>
      <c r="W3" s="450"/>
      <c r="X3" s="450"/>
      <c r="Y3" s="450"/>
      <c r="Z3" s="450"/>
    </row>
    <row r="4" spans="1:26">
      <c r="A4" s="450" t="str">
        <f>RevReq!A3</f>
        <v>For the 12 Months Ended May 2024</v>
      </c>
      <c r="B4" s="450"/>
      <c r="C4" s="450"/>
      <c r="D4" s="450"/>
      <c r="E4" s="450"/>
      <c r="F4" s="450"/>
      <c r="G4" s="450"/>
      <c r="H4" s="450"/>
      <c r="I4" s="450"/>
      <c r="J4" s="450"/>
      <c r="K4" s="450"/>
      <c r="L4" s="450"/>
      <c r="M4" s="450"/>
      <c r="N4" s="450"/>
      <c r="O4" s="450"/>
      <c r="P4" s="450"/>
      <c r="Q4" s="450"/>
      <c r="R4" s="450"/>
      <c r="S4" s="450"/>
      <c r="T4" s="450"/>
      <c r="U4" s="450"/>
      <c r="V4" s="450"/>
      <c r="W4" s="450"/>
      <c r="X4" s="450"/>
      <c r="Y4" s="450"/>
      <c r="Z4" s="450"/>
    </row>
    <row r="6" spans="1:26" s="116" customFormat="1" ht="15" customHeight="1">
      <c r="A6" s="448" t="s">
        <v>224</v>
      </c>
      <c r="B6" s="448"/>
      <c r="C6" s="448"/>
      <c r="D6" s="448"/>
      <c r="E6" s="448"/>
      <c r="F6" s="448"/>
      <c r="G6" s="448"/>
      <c r="H6" s="448"/>
      <c r="I6" s="448"/>
      <c r="J6" s="448"/>
      <c r="K6" s="448"/>
      <c r="L6" s="448"/>
      <c r="M6" s="448"/>
      <c r="N6" s="448"/>
      <c r="O6" s="448"/>
      <c r="P6" s="448"/>
      <c r="Q6" s="448"/>
      <c r="R6" s="448"/>
      <c r="S6" s="448"/>
      <c r="T6" s="448"/>
      <c r="U6" s="448"/>
      <c r="V6" s="448"/>
      <c r="W6" s="448"/>
      <c r="X6" s="448"/>
      <c r="Y6" s="448"/>
      <c r="Z6" s="448"/>
    </row>
    <row r="7" spans="1:26" ht="7.5" customHeight="1">
      <c r="Y7" s="116"/>
    </row>
    <row r="8" spans="1:26">
      <c r="C8" s="455" t="s">
        <v>242</v>
      </c>
      <c r="D8" s="455"/>
      <c r="E8" s="455"/>
      <c r="F8" s="455"/>
      <c r="H8" s="455" t="s">
        <v>231</v>
      </c>
      <c r="I8" s="455"/>
      <c r="J8" s="455"/>
      <c r="L8" s="455" t="s">
        <v>232</v>
      </c>
      <c r="M8" s="455"/>
      <c r="N8" s="455"/>
      <c r="O8" s="455"/>
      <c r="P8" s="455"/>
      <c r="Q8" s="1"/>
      <c r="R8" s="456" t="s">
        <v>442</v>
      </c>
      <c r="T8" s="455" t="s">
        <v>233</v>
      </c>
      <c r="U8" s="455"/>
      <c r="V8" s="455"/>
      <c r="W8" s="455"/>
      <c r="X8" s="455"/>
      <c r="Y8" s="116"/>
      <c r="Z8" s="456" t="s">
        <v>234</v>
      </c>
    </row>
    <row r="9" spans="1:26" ht="45.75" customHeight="1">
      <c r="A9" s="1" t="s">
        <v>0</v>
      </c>
      <c r="C9" s="9" t="s">
        <v>294</v>
      </c>
      <c r="D9" s="1" t="s">
        <v>235</v>
      </c>
      <c r="E9" s="117" t="s">
        <v>236</v>
      </c>
      <c r="F9" s="1" t="s">
        <v>241</v>
      </c>
      <c r="H9" s="307" t="s">
        <v>237</v>
      </c>
      <c r="I9" s="35" t="s">
        <v>238</v>
      </c>
      <c r="J9" s="35" t="s">
        <v>295</v>
      </c>
      <c r="K9" s="118"/>
      <c r="L9" s="35" t="s">
        <v>237</v>
      </c>
      <c r="M9" s="35" t="s">
        <v>238</v>
      </c>
      <c r="N9" s="35" t="s">
        <v>295</v>
      </c>
      <c r="O9" s="35" t="s">
        <v>296</v>
      </c>
      <c r="P9" s="35" t="s">
        <v>43</v>
      </c>
      <c r="Q9" s="119"/>
      <c r="R9" s="456"/>
      <c r="S9" s="119"/>
      <c r="T9" s="35" t="s">
        <v>237</v>
      </c>
      <c r="U9" s="35" t="s">
        <v>238</v>
      </c>
      <c r="V9" s="35" t="s">
        <v>295</v>
      </c>
      <c r="W9" s="35" t="s">
        <v>296</v>
      </c>
      <c r="X9" s="35" t="s">
        <v>43</v>
      </c>
      <c r="Y9" s="120"/>
      <c r="Z9" s="456"/>
    </row>
    <row r="10" spans="1:26">
      <c r="A10" s="36" t="s">
        <v>21</v>
      </c>
      <c r="C10" s="396">
        <v>1</v>
      </c>
      <c r="D10" s="37">
        <f>C10+1</f>
        <v>2</v>
      </c>
      <c r="E10" s="121" t="s">
        <v>239</v>
      </c>
      <c r="F10" s="37">
        <f>D10+1</f>
        <v>3</v>
      </c>
      <c r="H10" s="37">
        <f>F10+1</f>
        <v>4</v>
      </c>
      <c r="I10" s="37">
        <f>H10+1</f>
        <v>5</v>
      </c>
      <c r="J10" s="37">
        <f>I10+1</f>
        <v>6</v>
      </c>
      <c r="K10" s="118"/>
      <c r="L10" s="37">
        <f>J10+1</f>
        <v>7</v>
      </c>
      <c r="M10" s="37">
        <f>L10+1</f>
        <v>8</v>
      </c>
      <c r="N10" s="37">
        <f>M10+1</f>
        <v>9</v>
      </c>
      <c r="O10" s="37">
        <f>N10+1</f>
        <v>10</v>
      </c>
      <c r="P10" s="37">
        <f>O10+1</f>
        <v>11</v>
      </c>
      <c r="Q10" s="119"/>
      <c r="R10" s="37">
        <f>P10+1</f>
        <v>12</v>
      </c>
      <c r="S10" s="119"/>
      <c r="T10" s="37">
        <f>R10+1</f>
        <v>13</v>
      </c>
      <c r="U10" s="37">
        <f>T10+1</f>
        <v>14</v>
      </c>
      <c r="V10" s="37">
        <f>U10+1</f>
        <v>15</v>
      </c>
      <c r="W10" s="37">
        <f>V10+1</f>
        <v>16</v>
      </c>
      <c r="X10" s="37">
        <f>W10+1</f>
        <v>17</v>
      </c>
      <c r="Y10" s="120"/>
      <c r="Z10" s="37">
        <f>X10+1</f>
        <v>18</v>
      </c>
    </row>
    <row r="11" spans="1:26">
      <c r="E11" s="1"/>
      <c r="K11" s="118"/>
      <c r="Q11" s="119"/>
      <c r="S11" s="119"/>
      <c r="Y11" s="120"/>
    </row>
    <row r="12" spans="1:26">
      <c r="A12" s="1">
        <v>1</v>
      </c>
      <c r="C12" s="9">
        <v>1</v>
      </c>
      <c r="D12" s="1" t="s">
        <v>418</v>
      </c>
      <c r="E12" s="1">
        <v>258</v>
      </c>
      <c r="F12" s="1" t="s">
        <v>123</v>
      </c>
      <c r="H12" s="206">
        <v>560</v>
      </c>
      <c r="I12" s="166">
        <v>0</v>
      </c>
      <c r="J12" s="2">
        <v>766.96</v>
      </c>
      <c r="K12" s="118"/>
      <c r="L12" s="127">
        <v>34119.15</v>
      </c>
      <c r="M12" s="127"/>
      <c r="N12" s="127">
        <v>41339.14</v>
      </c>
      <c r="O12" s="127">
        <v>700</v>
      </c>
      <c r="P12" s="127">
        <f>SUM(L12:O12)</f>
        <v>76158.290000000008</v>
      </c>
      <c r="Q12" s="119"/>
      <c r="R12" s="302">
        <v>0</v>
      </c>
      <c r="S12" s="119"/>
      <c r="T12" s="169">
        <f t="shared" ref="T12:T34" si="0">R12*2080</f>
        <v>0</v>
      </c>
      <c r="U12" s="126">
        <v>0</v>
      </c>
      <c r="X12" s="126">
        <f>SUM(T12:W12)</f>
        <v>0</v>
      </c>
      <c r="Y12" s="120"/>
      <c r="Z12" s="127">
        <f>X12-P12</f>
        <v>-76158.290000000008</v>
      </c>
    </row>
    <row r="13" spans="1:26">
      <c r="A13" s="1">
        <v>2</v>
      </c>
      <c r="C13" s="9">
        <v>1</v>
      </c>
      <c r="D13" s="1" t="s">
        <v>419</v>
      </c>
      <c r="E13" s="1">
        <v>284</v>
      </c>
      <c r="H13" s="206">
        <v>2080</v>
      </c>
      <c r="I13" s="166">
        <v>0</v>
      </c>
      <c r="J13" s="2">
        <v>80</v>
      </c>
      <c r="K13" s="118"/>
      <c r="L13" s="127">
        <v>144766.56</v>
      </c>
      <c r="M13" s="127"/>
      <c r="N13" s="127">
        <v>5586.72</v>
      </c>
      <c r="O13" s="127">
        <v>1830.6</v>
      </c>
      <c r="P13" s="127">
        <f t="shared" ref="P13:P31" si="1">SUM(L13:O13)</f>
        <v>152183.88</v>
      </c>
      <c r="Q13" s="119"/>
      <c r="R13" s="302">
        <f>155000/2080</f>
        <v>74.519230769230774</v>
      </c>
      <c r="S13" s="119"/>
      <c r="T13" s="169">
        <f t="shared" si="0"/>
        <v>155000</v>
      </c>
      <c r="U13" s="126">
        <v>0</v>
      </c>
      <c r="X13" s="126">
        <f t="shared" ref="X13:X34" si="2">SUM(T13:W13)</f>
        <v>155000</v>
      </c>
      <c r="Y13" s="120"/>
      <c r="Z13" s="127">
        <f t="shared" ref="Z13:Z34" si="3">X13-P13</f>
        <v>2816.1199999999953</v>
      </c>
    </row>
    <row r="14" spans="1:26">
      <c r="A14" s="1">
        <v>3</v>
      </c>
      <c r="C14" s="9">
        <v>1</v>
      </c>
      <c r="D14" s="1" t="s">
        <v>420</v>
      </c>
      <c r="E14" s="1">
        <v>297</v>
      </c>
      <c r="H14" s="206">
        <v>2080</v>
      </c>
      <c r="I14" s="166">
        <v>0</v>
      </c>
      <c r="J14" s="2">
        <v>275</v>
      </c>
      <c r="K14" s="118"/>
      <c r="L14" s="127">
        <v>125562.00000000001</v>
      </c>
      <c r="M14" s="127"/>
      <c r="N14" s="127">
        <v>16693.88</v>
      </c>
      <c r="O14" s="127"/>
      <c r="P14" s="127">
        <f t="shared" si="1"/>
        <v>142255.88</v>
      </c>
      <c r="Q14" s="119"/>
      <c r="R14" s="302">
        <f>130697/2080</f>
        <v>62.835096153846152</v>
      </c>
      <c r="S14" s="119"/>
      <c r="T14" s="169">
        <f t="shared" si="0"/>
        <v>130697</v>
      </c>
      <c r="U14" s="126">
        <v>0</v>
      </c>
      <c r="X14" s="126">
        <f t="shared" si="2"/>
        <v>130697</v>
      </c>
      <c r="Y14" s="120"/>
      <c r="Z14" s="127">
        <f t="shared" si="3"/>
        <v>-11558.880000000005</v>
      </c>
    </row>
    <row r="15" spans="1:26">
      <c r="A15" s="1">
        <v>4</v>
      </c>
      <c r="C15" s="9">
        <v>1</v>
      </c>
      <c r="D15" s="1" t="s">
        <v>421</v>
      </c>
      <c r="E15" s="1">
        <v>384</v>
      </c>
      <c r="H15" s="206">
        <v>2080</v>
      </c>
      <c r="I15" s="166">
        <v>257.5</v>
      </c>
      <c r="K15" s="118"/>
      <c r="L15" s="127">
        <v>115618.4</v>
      </c>
      <c r="M15" s="127">
        <v>21309.16</v>
      </c>
      <c r="N15" s="127"/>
      <c r="O15" s="127"/>
      <c r="P15" s="127">
        <f t="shared" si="1"/>
        <v>136927.56</v>
      </c>
      <c r="Q15" s="119"/>
      <c r="R15" s="302">
        <f>130697/2080</f>
        <v>62.835096153846152</v>
      </c>
      <c r="S15" s="119"/>
      <c r="T15" s="169">
        <f t="shared" si="0"/>
        <v>130697</v>
      </c>
      <c r="U15" s="126">
        <v>0</v>
      </c>
      <c r="X15" s="126">
        <f t="shared" si="2"/>
        <v>130697</v>
      </c>
      <c r="Y15" s="120"/>
      <c r="Z15" s="127">
        <f t="shared" si="3"/>
        <v>-6230.5599999999977</v>
      </c>
    </row>
    <row r="16" spans="1:26">
      <c r="A16" s="1">
        <v>5</v>
      </c>
      <c r="C16" s="9">
        <v>1</v>
      </c>
      <c r="D16" s="1" t="s">
        <v>422</v>
      </c>
      <c r="E16" s="1">
        <v>387</v>
      </c>
      <c r="H16" s="206">
        <v>2080</v>
      </c>
      <c r="I16" s="166">
        <v>0</v>
      </c>
      <c r="J16" s="2">
        <v>125</v>
      </c>
      <c r="K16" s="118"/>
      <c r="L16" s="127">
        <v>240121.04</v>
      </c>
      <c r="M16" s="127"/>
      <c r="N16" s="127">
        <v>15920.95</v>
      </c>
      <c r="O16" s="127">
        <v>25600</v>
      </c>
      <c r="P16" s="127">
        <f t="shared" si="1"/>
        <v>281641.99</v>
      </c>
      <c r="Q16" s="119"/>
      <c r="R16" s="302">
        <f>325000/2080</f>
        <v>156.25</v>
      </c>
      <c r="S16" s="119"/>
      <c r="T16" s="169">
        <f t="shared" si="0"/>
        <v>325000</v>
      </c>
      <c r="U16" s="126">
        <v>0</v>
      </c>
      <c r="X16" s="126">
        <f t="shared" si="2"/>
        <v>325000</v>
      </c>
      <c r="Y16" s="120"/>
      <c r="Z16" s="127">
        <f t="shared" si="3"/>
        <v>43358.010000000009</v>
      </c>
    </row>
    <row r="17" spans="1:28">
      <c r="A17" s="1">
        <v>6</v>
      </c>
      <c r="C17" s="9">
        <v>1</v>
      </c>
      <c r="D17" s="1" t="s">
        <v>423</v>
      </c>
      <c r="E17" s="1">
        <v>457</v>
      </c>
      <c r="H17" s="206">
        <v>2080</v>
      </c>
      <c r="I17" s="166">
        <v>17.5</v>
      </c>
      <c r="J17" s="2">
        <v>92</v>
      </c>
      <c r="K17" s="118"/>
      <c r="L17" s="127">
        <v>97802.16</v>
      </c>
      <c r="M17" s="127">
        <v>1229.82</v>
      </c>
      <c r="N17" s="127">
        <v>4310.2</v>
      </c>
      <c r="O17" s="127"/>
      <c r="P17" s="127">
        <f t="shared" si="1"/>
        <v>103342.18000000001</v>
      </c>
      <c r="Q17" s="119"/>
      <c r="R17" s="302">
        <f>109862/2080</f>
        <v>52.818269230769232</v>
      </c>
      <c r="S17" s="119"/>
      <c r="T17" s="169">
        <f t="shared" si="0"/>
        <v>109862</v>
      </c>
      <c r="U17" s="126">
        <v>0</v>
      </c>
      <c r="X17" s="126">
        <f t="shared" si="2"/>
        <v>109862</v>
      </c>
      <c r="Y17" s="120"/>
      <c r="Z17" s="127">
        <f t="shared" si="3"/>
        <v>6519.8199999999924</v>
      </c>
    </row>
    <row r="18" spans="1:28">
      <c r="A18" s="1">
        <v>7</v>
      </c>
      <c r="C18" s="9">
        <v>1</v>
      </c>
      <c r="D18" s="1" t="s">
        <v>424</v>
      </c>
      <c r="E18" s="1">
        <v>507</v>
      </c>
      <c r="H18" s="206">
        <v>2080</v>
      </c>
      <c r="I18" s="166">
        <v>270</v>
      </c>
      <c r="J18" s="2">
        <v>60</v>
      </c>
      <c r="K18" s="118"/>
      <c r="L18" s="127">
        <v>84848.8</v>
      </c>
      <c r="M18" s="127">
        <v>16470.490000000002</v>
      </c>
      <c r="N18" s="127">
        <v>2455.8000000000002</v>
      </c>
      <c r="O18" s="127"/>
      <c r="P18" s="127">
        <f t="shared" si="1"/>
        <v>103775.09000000001</v>
      </c>
      <c r="Q18" s="119"/>
      <c r="R18" s="302">
        <f>106403/2080</f>
        <v>51.155288461538461</v>
      </c>
      <c r="S18" s="119"/>
      <c r="T18" s="169">
        <f t="shared" si="0"/>
        <v>106403</v>
      </c>
      <c r="U18" s="126">
        <v>0</v>
      </c>
      <c r="X18" s="126">
        <f t="shared" si="2"/>
        <v>106403</v>
      </c>
      <c r="Y18" s="120"/>
      <c r="Z18" s="127">
        <f t="shared" si="3"/>
        <v>2627.9099999999889</v>
      </c>
    </row>
    <row r="19" spans="1:28">
      <c r="A19" s="1">
        <v>8</v>
      </c>
      <c r="C19" s="9">
        <v>1</v>
      </c>
      <c r="D19" s="1" t="s">
        <v>425</v>
      </c>
      <c r="E19" s="1">
        <v>508</v>
      </c>
      <c r="H19" s="206">
        <v>2080</v>
      </c>
      <c r="I19" s="166">
        <v>377</v>
      </c>
      <c r="K19" s="118"/>
      <c r="L19" s="127">
        <v>93908.15</v>
      </c>
      <c r="M19" s="127">
        <v>25419.79</v>
      </c>
      <c r="N19" s="127"/>
      <c r="O19" s="127"/>
      <c r="P19" s="127">
        <f t="shared" si="1"/>
        <v>119327.94</v>
      </c>
      <c r="Q19" s="119"/>
      <c r="R19" s="302">
        <f>120870/2080</f>
        <v>58.11057692307692</v>
      </c>
      <c r="S19" s="119"/>
      <c r="T19" s="169">
        <f t="shared" si="0"/>
        <v>120870</v>
      </c>
      <c r="U19" s="126">
        <v>0</v>
      </c>
      <c r="X19" s="126">
        <f t="shared" si="2"/>
        <v>120870</v>
      </c>
      <c r="Y19" s="120"/>
      <c r="Z19" s="127">
        <f t="shared" si="3"/>
        <v>1542.0599999999977</v>
      </c>
    </row>
    <row r="20" spans="1:28">
      <c r="A20" s="1">
        <v>9</v>
      </c>
      <c r="C20" s="9">
        <v>1</v>
      </c>
      <c r="D20" s="1" t="s">
        <v>426</v>
      </c>
      <c r="E20" s="1">
        <v>564</v>
      </c>
      <c r="H20" s="206">
        <v>2080</v>
      </c>
      <c r="I20" s="166">
        <v>0</v>
      </c>
      <c r="K20" s="118"/>
      <c r="L20" s="127">
        <v>117873.60000000001</v>
      </c>
      <c r="M20" s="127"/>
      <c r="N20" s="127"/>
      <c r="O20" s="127"/>
      <c r="P20" s="127">
        <f>SUM(L20:O20)</f>
        <v>117873.60000000001</v>
      </c>
      <c r="Q20" s="119"/>
      <c r="R20" s="302">
        <f>117874/2080</f>
        <v>56.670192307692311</v>
      </c>
      <c r="S20" s="119"/>
      <c r="T20" s="169">
        <f t="shared" si="0"/>
        <v>117874</v>
      </c>
      <c r="U20" s="126">
        <v>0</v>
      </c>
      <c r="X20" s="126">
        <f t="shared" si="2"/>
        <v>117874</v>
      </c>
      <c r="Y20" s="120"/>
      <c r="Z20" s="127">
        <f t="shared" si="3"/>
        <v>0.39999999999417923</v>
      </c>
    </row>
    <row r="21" spans="1:28">
      <c r="A21" s="1">
        <v>10</v>
      </c>
      <c r="C21" s="9">
        <v>1</v>
      </c>
      <c r="D21" s="1" t="s">
        <v>427</v>
      </c>
      <c r="E21" s="1">
        <v>581</v>
      </c>
      <c r="H21" s="206">
        <v>2080</v>
      </c>
      <c r="I21" s="166">
        <v>0</v>
      </c>
      <c r="K21" s="118"/>
      <c r="L21" s="127">
        <v>88118.58</v>
      </c>
      <c r="M21" s="127"/>
      <c r="N21" s="127"/>
      <c r="O21" s="127">
        <v>400</v>
      </c>
      <c r="P21" s="127">
        <f t="shared" si="1"/>
        <v>88518.58</v>
      </c>
      <c r="Q21" s="119"/>
      <c r="R21" s="302">
        <f>94726/2080</f>
        <v>45.541346153846156</v>
      </c>
      <c r="S21" s="119"/>
      <c r="T21" s="169">
        <f t="shared" si="0"/>
        <v>94726</v>
      </c>
      <c r="U21" s="126">
        <v>0</v>
      </c>
      <c r="X21" s="126">
        <f t="shared" si="2"/>
        <v>94726</v>
      </c>
      <c r="Y21" s="120"/>
      <c r="Z21" s="127">
        <f t="shared" si="3"/>
        <v>6207.4199999999983</v>
      </c>
    </row>
    <row r="22" spans="1:28">
      <c r="A22" s="1">
        <v>11</v>
      </c>
      <c r="C22" s="9">
        <v>1</v>
      </c>
      <c r="D22" s="1" t="s">
        <v>428</v>
      </c>
      <c r="E22" s="1">
        <v>582</v>
      </c>
      <c r="H22" s="206">
        <v>2080</v>
      </c>
      <c r="I22" s="166">
        <v>151</v>
      </c>
      <c r="J22" s="2">
        <v>33</v>
      </c>
      <c r="K22" s="118"/>
      <c r="L22" s="127">
        <v>88099.199999999997</v>
      </c>
      <c r="M22" s="127">
        <v>9103.77</v>
      </c>
      <c r="N22" s="127">
        <v>1370.16</v>
      </c>
      <c r="O22" s="127">
        <v>400</v>
      </c>
      <c r="P22" s="127">
        <f t="shared" si="1"/>
        <v>98973.13</v>
      </c>
      <c r="Q22" s="119"/>
      <c r="R22" s="302">
        <f>109862/2080</f>
        <v>52.818269230769232</v>
      </c>
      <c r="S22" s="119"/>
      <c r="T22" s="169">
        <f t="shared" si="0"/>
        <v>109862</v>
      </c>
      <c r="U22" s="126">
        <v>0</v>
      </c>
      <c r="X22" s="126">
        <f t="shared" si="2"/>
        <v>109862</v>
      </c>
      <c r="Y22" s="120"/>
      <c r="Z22" s="127">
        <f t="shared" si="3"/>
        <v>10888.869999999995</v>
      </c>
    </row>
    <row r="23" spans="1:28">
      <c r="A23" s="1">
        <v>12</v>
      </c>
      <c r="C23" s="9">
        <v>1</v>
      </c>
      <c r="D23" s="1" t="s">
        <v>429</v>
      </c>
      <c r="E23" s="1">
        <v>598</v>
      </c>
      <c r="H23" s="206">
        <v>2080</v>
      </c>
      <c r="I23" s="166">
        <v>0</v>
      </c>
      <c r="J23" s="2">
        <v>301</v>
      </c>
      <c r="K23" s="118"/>
      <c r="L23" s="127">
        <v>119031.62</v>
      </c>
      <c r="M23" s="127"/>
      <c r="N23" s="127">
        <v>17654.78</v>
      </c>
      <c r="O23" s="127">
        <v>954</v>
      </c>
      <c r="P23" s="127">
        <f t="shared" si="1"/>
        <v>137640.4</v>
      </c>
      <c r="Q23" s="119"/>
      <c r="R23" s="302">
        <f>130697/2080</f>
        <v>62.835096153846152</v>
      </c>
      <c r="S23" s="119"/>
      <c r="T23" s="169">
        <f t="shared" si="0"/>
        <v>130697</v>
      </c>
      <c r="U23" s="126">
        <v>0</v>
      </c>
      <c r="X23" s="126">
        <f t="shared" si="2"/>
        <v>130697</v>
      </c>
      <c r="Y23" s="120"/>
      <c r="Z23" s="127">
        <f t="shared" si="3"/>
        <v>-6943.3999999999942</v>
      </c>
    </row>
    <row r="24" spans="1:28">
      <c r="A24" s="1">
        <v>13</v>
      </c>
      <c r="C24" s="9">
        <v>1</v>
      </c>
      <c r="D24" s="1" t="s">
        <v>430</v>
      </c>
      <c r="E24" s="1">
        <v>624</v>
      </c>
      <c r="H24" s="206">
        <v>2080</v>
      </c>
      <c r="I24" s="166">
        <v>0</v>
      </c>
      <c r="J24" s="2">
        <v>80</v>
      </c>
      <c r="K24" s="118"/>
      <c r="L24" s="127">
        <v>95546.28</v>
      </c>
      <c r="M24" s="127"/>
      <c r="N24" s="127">
        <v>3695.2</v>
      </c>
      <c r="O24" s="127"/>
      <c r="P24" s="127">
        <f t="shared" si="1"/>
        <v>99241.48</v>
      </c>
      <c r="Q24" s="119"/>
      <c r="R24" s="302">
        <f>97500/2080</f>
        <v>46.875</v>
      </c>
      <c r="S24" s="119"/>
      <c r="T24" s="169">
        <f t="shared" si="0"/>
        <v>97500</v>
      </c>
      <c r="U24" s="126">
        <v>0</v>
      </c>
      <c r="X24" s="126">
        <f t="shared" si="2"/>
        <v>97500</v>
      </c>
      <c r="Y24" s="120"/>
      <c r="Z24" s="127">
        <f t="shared" si="3"/>
        <v>-1741.4799999999959</v>
      </c>
    </row>
    <row r="25" spans="1:28">
      <c r="A25" s="1">
        <v>14</v>
      </c>
      <c r="C25" s="9">
        <v>1</v>
      </c>
      <c r="D25" s="1" t="s">
        <v>431</v>
      </c>
      <c r="E25" s="1">
        <v>688</v>
      </c>
      <c r="H25" s="206">
        <v>2080</v>
      </c>
      <c r="I25" s="166">
        <v>0</v>
      </c>
      <c r="K25" s="118"/>
      <c r="L25" s="127">
        <v>115516.43000000001</v>
      </c>
      <c r="M25" s="127"/>
      <c r="N25" s="127"/>
      <c r="O25" s="127"/>
      <c r="P25" s="127">
        <f t="shared" si="1"/>
        <v>115516.43000000001</v>
      </c>
      <c r="Q25" s="119"/>
      <c r="R25" s="302">
        <f>130697/2080</f>
        <v>62.835096153846152</v>
      </c>
      <c r="S25" s="119"/>
      <c r="T25" s="169">
        <f t="shared" si="0"/>
        <v>130697</v>
      </c>
      <c r="U25" s="126">
        <v>0</v>
      </c>
      <c r="X25" s="126">
        <f t="shared" si="2"/>
        <v>130697</v>
      </c>
      <c r="Y25" s="120"/>
      <c r="Z25" s="127">
        <f t="shared" si="3"/>
        <v>15180.569999999992</v>
      </c>
    </row>
    <row r="26" spans="1:28">
      <c r="A26" s="1">
        <v>15</v>
      </c>
      <c r="C26" s="9">
        <v>1</v>
      </c>
      <c r="D26" s="1" t="s">
        <v>432</v>
      </c>
      <c r="E26" s="1">
        <v>698</v>
      </c>
      <c r="H26" s="206">
        <v>2080</v>
      </c>
      <c r="I26" s="166">
        <v>0</v>
      </c>
      <c r="K26" s="118"/>
      <c r="L26" s="127">
        <v>98559.51</v>
      </c>
      <c r="M26" s="127"/>
      <c r="N26" s="127"/>
      <c r="O26" s="127"/>
      <c r="P26" s="127">
        <f t="shared" si="1"/>
        <v>98559.51</v>
      </c>
      <c r="Q26" s="119"/>
      <c r="R26" s="302">
        <f>118603/2080</f>
        <v>57.020673076923075</v>
      </c>
      <c r="S26" s="119"/>
      <c r="T26" s="169">
        <f t="shared" si="0"/>
        <v>118603</v>
      </c>
      <c r="U26" s="126">
        <v>0</v>
      </c>
      <c r="X26" s="126">
        <f t="shared" si="2"/>
        <v>118603</v>
      </c>
      <c r="Y26" s="120"/>
      <c r="Z26" s="127">
        <f t="shared" si="3"/>
        <v>20043.490000000005</v>
      </c>
    </row>
    <row r="27" spans="1:28">
      <c r="A27" s="1">
        <v>16</v>
      </c>
      <c r="C27" s="9">
        <v>1</v>
      </c>
      <c r="D27" s="1" t="s">
        <v>433</v>
      </c>
      <c r="E27" s="1">
        <v>704</v>
      </c>
      <c r="H27" s="206">
        <v>2080</v>
      </c>
      <c r="I27" s="166">
        <v>0</v>
      </c>
      <c r="K27" s="118"/>
      <c r="L27" s="127">
        <v>148964.29</v>
      </c>
      <c r="M27" s="127"/>
      <c r="N27" s="127"/>
      <c r="O27" s="127">
        <v>100</v>
      </c>
      <c r="P27" s="127">
        <f t="shared" si="1"/>
        <v>149064.29</v>
      </c>
      <c r="Q27" s="119"/>
      <c r="R27" s="302">
        <f>177000/2080</f>
        <v>85.09615384615384</v>
      </c>
      <c r="S27" s="119"/>
      <c r="T27" s="169">
        <f t="shared" si="0"/>
        <v>177000</v>
      </c>
      <c r="U27" s="126">
        <v>0</v>
      </c>
      <c r="X27" s="126">
        <f t="shared" si="2"/>
        <v>177000</v>
      </c>
      <c r="Y27" s="120"/>
      <c r="Z27" s="127">
        <f t="shared" si="3"/>
        <v>27935.709999999992</v>
      </c>
    </row>
    <row r="28" spans="1:28">
      <c r="A28" s="1">
        <v>17</v>
      </c>
      <c r="C28" s="9">
        <v>1</v>
      </c>
      <c r="D28" s="1" t="s">
        <v>434</v>
      </c>
      <c r="E28" s="1">
        <v>735</v>
      </c>
      <c r="H28" s="206">
        <v>2080</v>
      </c>
      <c r="I28" s="166">
        <v>0</v>
      </c>
      <c r="K28" s="118"/>
      <c r="L28" s="127">
        <v>141559.47000000003</v>
      </c>
      <c r="M28" s="127"/>
      <c r="N28" s="127"/>
      <c r="O28" s="127"/>
      <c r="P28" s="127">
        <f t="shared" si="1"/>
        <v>141559.47000000003</v>
      </c>
      <c r="Q28" s="119"/>
      <c r="R28" s="302">
        <f>155875/2080</f>
        <v>74.93990384615384</v>
      </c>
      <c r="S28" s="119"/>
      <c r="T28" s="169">
        <f t="shared" si="0"/>
        <v>155875</v>
      </c>
      <c r="U28" s="126">
        <v>0</v>
      </c>
      <c r="X28" s="126">
        <f t="shared" si="2"/>
        <v>155875</v>
      </c>
      <c r="Y28" s="120"/>
      <c r="Z28" s="127">
        <f t="shared" si="3"/>
        <v>14315.52999999997</v>
      </c>
    </row>
    <row r="29" spans="1:28">
      <c r="A29" s="1">
        <v>18</v>
      </c>
      <c r="C29" s="9">
        <v>1</v>
      </c>
      <c r="D29" s="1" t="s">
        <v>435</v>
      </c>
      <c r="E29" s="1">
        <v>748</v>
      </c>
      <c r="F29" s="1" t="s">
        <v>123</v>
      </c>
      <c r="H29" s="206">
        <v>1600</v>
      </c>
      <c r="I29" s="166">
        <v>0</v>
      </c>
      <c r="J29" s="2">
        <v>130.30000000000001</v>
      </c>
      <c r="K29" s="118"/>
      <c r="L29" s="127">
        <v>144394.31000000003</v>
      </c>
      <c r="M29" s="127"/>
      <c r="N29" s="127">
        <v>11899.65</v>
      </c>
      <c r="O29" s="127"/>
      <c r="P29" s="127">
        <f t="shared" si="1"/>
        <v>156293.96000000002</v>
      </c>
      <c r="Q29" s="119"/>
      <c r="R29" s="302">
        <v>0</v>
      </c>
      <c r="S29" s="119"/>
      <c r="T29" s="169">
        <f t="shared" si="0"/>
        <v>0</v>
      </c>
      <c r="U29" s="126">
        <v>0</v>
      </c>
      <c r="X29" s="126">
        <f t="shared" si="2"/>
        <v>0</v>
      </c>
      <c r="Y29" s="120"/>
      <c r="Z29" s="127">
        <f t="shared" si="3"/>
        <v>-156293.96000000002</v>
      </c>
    </row>
    <row r="30" spans="1:28">
      <c r="A30" s="1">
        <v>19</v>
      </c>
      <c r="C30" s="9">
        <v>1</v>
      </c>
      <c r="D30" s="1" t="s">
        <v>436</v>
      </c>
      <c r="E30" s="1">
        <v>763</v>
      </c>
      <c r="F30" s="1" t="s">
        <v>225</v>
      </c>
      <c r="H30" s="206">
        <v>1480</v>
      </c>
      <c r="I30" s="166">
        <v>0</v>
      </c>
      <c r="K30" s="118"/>
      <c r="L30" s="127">
        <v>91877.5</v>
      </c>
      <c r="M30" s="127"/>
      <c r="N30" s="127"/>
      <c r="O30" s="127"/>
      <c r="P30" s="127">
        <f t="shared" si="1"/>
        <v>91877.5</v>
      </c>
      <c r="Q30" s="119"/>
      <c r="R30" s="302">
        <f>133000/2080</f>
        <v>63.942307692307693</v>
      </c>
      <c r="S30" s="119"/>
      <c r="T30" s="169">
        <f t="shared" si="0"/>
        <v>133000</v>
      </c>
      <c r="U30" s="126">
        <v>0</v>
      </c>
      <c r="X30" s="126">
        <f t="shared" si="2"/>
        <v>133000</v>
      </c>
      <c r="Y30" s="120"/>
      <c r="Z30" s="127">
        <f t="shared" si="3"/>
        <v>41122.5</v>
      </c>
    </row>
    <row r="31" spans="1:28">
      <c r="A31" s="1">
        <v>20</v>
      </c>
      <c r="C31" s="9">
        <v>1</v>
      </c>
      <c r="D31" s="1" t="s">
        <v>437</v>
      </c>
      <c r="E31" s="1">
        <v>769</v>
      </c>
      <c r="F31" s="1" t="s">
        <v>225</v>
      </c>
      <c r="H31" s="206">
        <v>1160</v>
      </c>
      <c r="I31" s="166">
        <v>108.5</v>
      </c>
      <c r="K31" s="118"/>
      <c r="L31" s="127">
        <v>48167.839999999997</v>
      </c>
      <c r="M31" s="127">
        <v>6758.03</v>
      </c>
      <c r="N31" s="127"/>
      <c r="O31" s="127"/>
      <c r="P31" s="127">
        <f t="shared" si="1"/>
        <v>54925.869999999995</v>
      </c>
      <c r="Q31" s="119"/>
      <c r="R31" s="302">
        <f>109862/2080</f>
        <v>52.818269230769232</v>
      </c>
      <c r="S31" s="119"/>
      <c r="T31" s="169">
        <f t="shared" si="0"/>
        <v>109862</v>
      </c>
      <c r="U31" s="126">
        <v>0</v>
      </c>
      <c r="X31" s="126">
        <f t="shared" si="2"/>
        <v>109862</v>
      </c>
      <c r="Y31" s="120"/>
      <c r="Z31" s="127">
        <f t="shared" si="3"/>
        <v>54936.130000000005</v>
      </c>
    </row>
    <row r="32" spans="1:28">
      <c r="A32" s="1">
        <v>21</v>
      </c>
      <c r="C32" s="9">
        <v>1</v>
      </c>
      <c r="D32" s="1" t="s">
        <v>438</v>
      </c>
      <c r="E32" s="1">
        <v>776</v>
      </c>
      <c r="F32" s="1" t="s">
        <v>225</v>
      </c>
      <c r="H32" s="206">
        <v>1000</v>
      </c>
      <c r="I32" s="166">
        <v>0</v>
      </c>
      <c r="J32" s="166"/>
      <c r="K32" s="167"/>
      <c r="L32" s="127">
        <v>63461.96</v>
      </c>
      <c r="M32" s="127">
        <v>0</v>
      </c>
      <c r="N32" s="127"/>
      <c r="O32" s="175"/>
      <c r="P32" s="127">
        <f>SUM(L32:O32)</f>
        <v>63461.96</v>
      </c>
      <c r="Q32" s="119"/>
      <c r="R32" s="302">
        <f>139600/2080</f>
        <v>67.115384615384613</v>
      </c>
      <c r="S32" s="119"/>
      <c r="T32" s="169">
        <f t="shared" si="0"/>
        <v>139600</v>
      </c>
      <c r="U32" s="126">
        <v>0</v>
      </c>
      <c r="V32" s="126">
        <v>0</v>
      </c>
      <c r="W32" s="126"/>
      <c r="X32" s="126">
        <f t="shared" si="2"/>
        <v>139600</v>
      </c>
      <c r="Y32" s="120"/>
      <c r="Z32" s="127">
        <f t="shared" si="3"/>
        <v>76138.040000000008</v>
      </c>
      <c r="AB32" s="169"/>
    </row>
    <row r="33" spans="1:28">
      <c r="A33" s="1">
        <v>22</v>
      </c>
      <c r="C33" s="9">
        <v>1</v>
      </c>
      <c r="D33" s="1" t="s">
        <v>439</v>
      </c>
      <c r="E33" s="1">
        <v>785</v>
      </c>
      <c r="F33" s="1" t="s">
        <v>225</v>
      </c>
      <c r="H33" s="206">
        <v>160</v>
      </c>
      <c r="I33" s="166">
        <v>5</v>
      </c>
      <c r="J33" s="166"/>
      <c r="K33" s="167"/>
      <c r="L33" s="127">
        <v>6227.36</v>
      </c>
      <c r="M33" s="127">
        <v>291.91000000000003</v>
      </c>
      <c r="N33" s="127"/>
      <c r="O33" s="175"/>
      <c r="P33" s="127">
        <f t="shared" ref="P33:P34" si="4">SUM(L33:O33)</f>
        <v>6519.2699999999995</v>
      </c>
      <c r="Q33" s="119"/>
      <c r="R33" s="302">
        <f>124870/2080</f>
        <v>60.033653846153847</v>
      </c>
      <c r="S33" s="119"/>
      <c r="T33" s="169">
        <f t="shared" si="0"/>
        <v>124870</v>
      </c>
      <c r="U33" s="126">
        <v>0</v>
      </c>
      <c r="V33" s="126">
        <v>0</v>
      </c>
      <c r="W33" s="126"/>
      <c r="X33" s="126">
        <f t="shared" si="2"/>
        <v>124870</v>
      </c>
      <c r="Y33" s="120"/>
      <c r="Z33" s="127">
        <f t="shared" si="3"/>
        <v>118350.73</v>
      </c>
      <c r="AB33" s="169"/>
    </row>
    <row r="34" spans="1:28">
      <c r="A34" s="1">
        <v>23</v>
      </c>
      <c r="C34" s="9">
        <v>1</v>
      </c>
      <c r="D34" s="1" t="s">
        <v>440</v>
      </c>
      <c r="E34" s="1">
        <v>786</v>
      </c>
      <c r="F34" s="1" t="s">
        <v>225</v>
      </c>
      <c r="H34" s="206">
        <v>0</v>
      </c>
      <c r="I34" s="166">
        <v>0</v>
      </c>
      <c r="J34" s="166"/>
      <c r="K34" s="167"/>
      <c r="L34" s="127">
        <v>0</v>
      </c>
      <c r="M34" s="127">
        <v>0</v>
      </c>
      <c r="N34" s="127"/>
      <c r="O34" s="175">
        <v>0</v>
      </c>
      <c r="P34" s="127">
        <f t="shared" si="4"/>
        <v>0</v>
      </c>
      <c r="Q34" s="119"/>
      <c r="R34" s="302">
        <f>190000/2080</f>
        <v>91.34615384615384</v>
      </c>
      <c r="S34" s="119"/>
      <c r="T34" s="169">
        <f t="shared" si="0"/>
        <v>190000</v>
      </c>
      <c r="U34" s="126">
        <v>0</v>
      </c>
      <c r="V34" s="126"/>
      <c r="W34" s="126"/>
      <c r="X34" s="126">
        <f t="shared" si="2"/>
        <v>190000</v>
      </c>
      <c r="Y34" s="120"/>
      <c r="Z34" s="127">
        <f t="shared" si="3"/>
        <v>190000</v>
      </c>
      <c r="AB34" s="169"/>
    </row>
    <row r="35" spans="1:28">
      <c r="A35" s="1">
        <v>24</v>
      </c>
      <c r="C35" s="147">
        <f>SUM(C12:C34)</f>
        <v>23</v>
      </c>
      <c r="D35" s="128" t="s">
        <v>22</v>
      </c>
      <c r="E35" s="128" t="s">
        <v>22</v>
      </c>
      <c r="F35" s="128"/>
      <c r="H35" s="174">
        <f>SUM(H12:H34)</f>
        <v>39240</v>
      </c>
      <c r="I35" s="170">
        <f>SUM(I12:I34)</f>
        <v>1186.5</v>
      </c>
      <c r="J35" s="170">
        <f>SUM(J12:J34)</f>
        <v>1943.26</v>
      </c>
      <c r="K35" s="167"/>
      <c r="L35" s="245">
        <f>SUM(L12:L34)</f>
        <v>2304144.21</v>
      </c>
      <c r="M35" s="245">
        <f t="shared" ref="M35:P35" si="5">SUM(M12:M34)</f>
        <v>80582.97</v>
      </c>
      <c r="N35" s="245">
        <f t="shared" si="5"/>
        <v>120926.48</v>
      </c>
      <c r="O35" s="245">
        <f t="shared" si="5"/>
        <v>29984.6</v>
      </c>
      <c r="P35" s="245">
        <f t="shared" si="5"/>
        <v>2535638.2600000002</v>
      </c>
      <c r="Q35" s="119"/>
      <c r="R35" s="129"/>
      <c r="S35" s="119"/>
      <c r="T35" s="130">
        <f>SUM(T12:T34)</f>
        <v>2908695</v>
      </c>
      <c r="U35" s="130">
        <f t="shared" ref="U35:W35" si="6">SUM(U12:U34)</f>
        <v>0</v>
      </c>
      <c r="V35" s="130">
        <f t="shared" si="6"/>
        <v>0</v>
      </c>
      <c r="W35" s="130">
        <f t="shared" si="6"/>
        <v>0</v>
      </c>
      <c r="X35" s="130">
        <f>SUM(X12:X34)</f>
        <v>2908695</v>
      </c>
      <c r="Y35" s="120"/>
      <c r="Z35" s="245">
        <f>SUM(Z12:Z34)</f>
        <v>373056.73999999993</v>
      </c>
      <c r="AB35" s="169"/>
    </row>
    <row r="36" spans="1:28">
      <c r="A36" s="1">
        <v>25</v>
      </c>
      <c r="E36" s="1"/>
      <c r="I36" s="166"/>
      <c r="J36" s="166"/>
      <c r="K36" s="167"/>
      <c r="L36" s="123"/>
      <c r="M36" s="123"/>
      <c r="N36" s="123"/>
      <c r="O36" s="123"/>
      <c r="P36" s="123"/>
      <c r="Q36" s="119"/>
      <c r="R36" s="125"/>
      <c r="S36" s="119"/>
      <c r="T36" s="125"/>
      <c r="U36" s="125"/>
      <c r="V36" s="125"/>
      <c r="W36" s="125"/>
      <c r="X36" s="125"/>
      <c r="Y36" s="120"/>
      <c r="AB36" s="169"/>
    </row>
    <row r="37" spans="1:28">
      <c r="A37" s="1">
        <v>26</v>
      </c>
      <c r="C37" s="351" t="s">
        <v>297</v>
      </c>
      <c r="E37" s="1"/>
      <c r="F37" s="99"/>
      <c r="G37" s="99"/>
      <c r="H37" s="308"/>
      <c r="I37" s="171"/>
      <c r="J37" s="171"/>
      <c r="K37" s="172"/>
      <c r="L37" s="173"/>
      <c r="M37" s="173"/>
      <c r="N37" s="173"/>
      <c r="O37" s="173"/>
      <c r="P37" s="173"/>
      <c r="Q37" s="119"/>
      <c r="R37" s="87"/>
      <c r="S37" s="119"/>
      <c r="T37" s="87"/>
      <c r="U37" s="87"/>
      <c r="V37" s="87"/>
      <c r="W37" s="87"/>
      <c r="X37" s="87"/>
      <c r="Y37" s="120"/>
      <c r="AB37" s="169"/>
    </row>
    <row r="38" spans="1:28">
      <c r="A38" s="1">
        <v>27</v>
      </c>
      <c r="C38" s="9">
        <v>1</v>
      </c>
      <c r="D38" s="1" t="s">
        <v>443</v>
      </c>
      <c r="E38" s="1">
        <v>320</v>
      </c>
      <c r="F38" s="1" t="s">
        <v>123</v>
      </c>
      <c r="H38" s="206">
        <v>0</v>
      </c>
      <c r="I38" s="166"/>
      <c r="J38" s="166">
        <v>588.99</v>
      </c>
      <c r="K38" s="167"/>
      <c r="L38" s="123">
        <v>0</v>
      </c>
      <c r="M38" s="123"/>
      <c r="N38" s="123">
        <v>36923.78</v>
      </c>
      <c r="O38" s="123">
        <v>700</v>
      </c>
      <c r="P38" s="123">
        <f>SUM(L38:O38)</f>
        <v>37623.78</v>
      </c>
      <c r="Q38" s="119"/>
      <c r="R38" s="125"/>
      <c r="S38" s="119"/>
      <c r="T38" s="126">
        <f>R38*2080</f>
        <v>0</v>
      </c>
      <c r="U38" s="126">
        <f t="shared" ref="U38:U101" si="7">(+I38*R38)*1.5</f>
        <v>0</v>
      </c>
      <c r="V38" s="126"/>
      <c r="W38" s="126"/>
      <c r="X38" s="126">
        <f t="shared" ref="X38:X101" si="8">SUM(T38:W38)</f>
        <v>0</v>
      </c>
      <c r="Y38" s="120"/>
      <c r="Z38" s="127">
        <f>X38-P38</f>
        <v>-37623.78</v>
      </c>
      <c r="AB38" s="169"/>
    </row>
    <row r="39" spans="1:28">
      <c r="A39" s="1">
        <v>28</v>
      </c>
      <c r="C39" s="9">
        <v>1</v>
      </c>
      <c r="D39" s="1" t="s">
        <v>444</v>
      </c>
      <c r="E39" s="1">
        <v>343</v>
      </c>
      <c r="F39" s="1" t="s">
        <v>124</v>
      </c>
      <c r="H39" s="206">
        <v>2080</v>
      </c>
      <c r="I39" s="166">
        <v>531</v>
      </c>
      <c r="J39" s="166"/>
      <c r="K39" s="167"/>
      <c r="L39" s="123">
        <v>93928</v>
      </c>
      <c r="M39" s="123">
        <v>35968.71</v>
      </c>
      <c r="N39" s="123"/>
      <c r="O39" s="123"/>
      <c r="P39" s="123">
        <f t="shared" ref="P39:P102" si="9">SUM(L39:O39)</f>
        <v>129896.70999999999</v>
      </c>
      <c r="Q39" s="119"/>
      <c r="R39" s="125">
        <v>48.42</v>
      </c>
      <c r="S39" s="119"/>
      <c r="T39" s="126">
        <f>R39*2080</f>
        <v>100713.60000000001</v>
      </c>
      <c r="U39" s="126">
        <f>(+I39*R39)*1.5</f>
        <v>38566.53</v>
      </c>
      <c r="V39" s="126"/>
      <c r="W39" s="126"/>
      <c r="X39" s="126">
        <f t="shared" si="8"/>
        <v>139280.13</v>
      </c>
      <c r="Y39" s="120"/>
      <c r="Z39" s="127">
        <f t="shared" ref="Z39:Z102" si="10">X39-P39</f>
        <v>9383.4200000000128</v>
      </c>
      <c r="AB39" s="169"/>
    </row>
    <row r="40" spans="1:28">
      <c r="A40" s="1">
        <v>29</v>
      </c>
      <c r="C40" s="9">
        <v>1</v>
      </c>
      <c r="D40" s="1" t="s">
        <v>445</v>
      </c>
      <c r="E40" s="1">
        <v>377</v>
      </c>
      <c r="F40" s="1" t="s">
        <v>123</v>
      </c>
      <c r="H40" s="206">
        <v>2080</v>
      </c>
      <c r="I40" s="166"/>
      <c r="J40" s="166">
        <v>61</v>
      </c>
      <c r="K40" s="167"/>
      <c r="L40" s="123">
        <v>113165.6</v>
      </c>
      <c r="M40" s="123"/>
      <c r="N40" s="123">
        <v>3329.99</v>
      </c>
      <c r="O40" s="123"/>
      <c r="P40" s="123">
        <f t="shared" si="9"/>
        <v>116495.59000000001</v>
      </c>
      <c r="Q40" s="119"/>
      <c r="R40" s="125"/>
      <c r="S40" s="119"/>
      <c r="T40" s="126">
        <f t="shared" ref="T40:T103" si="11">R40*2080</f>
        <v>0</v>
      </c>
      <c r="U40" s="126">
        <f t="shared" si="7"/>
        <v>0</v>
      </c>
      <c r="V40" s="126"/>
      <c r="W40" s="126"/>
      <c r="X40" s="126">
        <f t="shared" si="8"/>
        <v>0</v>
      </c>
      <c r="Y40" s="120"/>
      <c r="Z40" s="127">
        <f t="shared" si="10"/>
        <v>-116495.59000000001</v>
      </c>
      <c r="AB40" s="169"/>
    </row>
    <row r="41" spans="1:28">
      <c r="A41" s="1">
        <v>30</v>
      </c>
      <c r="C41" s="9">
        <v>1</v>
      </c>
      <c r="D41" s="1" t="s">
        <v>446</v>
      </c>
      <c r="E41" s="1">
        <v>397</v>
      </c>
      <c r="F41" s="1" t="s">
        <v>123</v>
      </c>
      <c r="H41" s="206">
        <v>1360</v>
      </c>
      <c r="I41" s="166">
        <v>16</v>
      </c>
      <c r="J41" s="166">
        <v>355.08</v>
      </c>
      <c r="K41" s="167"/>
      <c r="L41" s="123">
        <v>67388</v>
      </c>
      <c r="M41" s="123">
        <v>1189.2</v>
      </c>
      <c r="N41" s="123">
        <v>17594.21</v>
      </c>
      <c r="O41" s="123">
        <v>700</v>
      </c>
      <c r="P41" s="123">
        <f t="shared" si="9"/>
        <v>86871.41</v>
      </c>
      <c r="Q41" s="119"/>
      <c r="R41" s="125"/>
      <c r="S41" s="119"/>
      <c r="T41" s="126">
        <f t="shared" si="11"/>
        <v>0</v>
      </c>
      <c r="U41" s="126">
        <f t="shared" si="7"/>
        <v>0</v>
      </c>
      <c r="V41" s="126"/>
      <c r="W41" s="126"/>
      <c r="X41" s="126">
        <f t="shared" si="8"/>
        <v>0</v>
      </c>
      <c r="Y41" s="120"/>
      <c r="Z41" s="127">
        <f t="shared" si="10"/>
        <v>-86871.41</v>
      </c>
      <c r="AB41" s="169"/>
    </row>
    <row r="42" spans="1:28">
      <c r="A42" s="1">
        <v>31</v>
      </c>
      <c r="C42" s="9">
        <v>1</v>
      </c>
      <c r="D42" s="1" t="s">
        <v>447</v>
      </c>
      <c r="E42" s="1">
        <v>431</v>
      </c>
      <c r="H42" s="206">
        <v>2080</v>
      </c>
      <c r="I42" s="166"/>
      <c r="J42" s="166"/>
      <c r="K42" s="167"/>
      <c r="L42" s="123">
        <v>59868.800000000003</v>
      </c>
      <c r="M42" s="123"/>
      <c r="N42" s="123"/>
      <c r="O42" s="123"/>
      <c r="P42" s="123">
        <f t="shared" si="9"/>
        <v>59868.800000000003</v>
      </c>
      <c r="Q42" s="119"/>
      <c r="R42" s="125">
        <v>29.6</v>
      </c>
      <c r="S42" s="119"/>
      <c r="T42" s="126">
        <f t="shared" si="11"/>
        <v>61568</v>
      </c>
      <c r="U42" s="126">
        <f t="shared" si="7"/>
        <v>0</v>
      </c>
      <c r="V42" s="126"/>
      <c r="W42" s="126"/>
      <c r="X42" s="126">
        <f t="shared" si="8"/>
        <v>61568</v>
      </c>
      <c r="Y42" s="120"/>
      <c r="Z42" s="127">
        <f t="shared" si="10"/>
        <v>1699.1999999999971</v>
      </c>
      <c r="AB42" s="169"/>
    </row>
    <row r="43" spans="1:28">
      <c r="A43" s="1">
        <v>32</v>
      </c>
      <c r="C43" s="9">
        <v>1</v>
      </c>
      <c r="D43" s="1" t="s">
        <v>448</v>
      </c>
      <c r="E43" s="1">
        <v>440</v>
      </c>
      <c r="F43" s="1" t="s">
        <v>123</v>
      </c>
      <c r="H43" s="206">
        <v>569.5</v>
      </c>
      <c r="I43" s="166">
        <v>84</v>
      </c>
      <c r="J43" s="166">
        <v>988.3</v>
      </c>
      <c r="K43" s="167"/>
      <c r="L43" s="123">
        <v>18398.439999999999</v>
      </c>
      <c r="M43" s="123">
        <v>4068.57</v>
      </c>
      <c r="N43" s="123">
        <v>32337.18</v>
      </c>
      <c r="O43" s="123">
        <v>700</v>
      </c>
      <c r="P43" s="123">
        <f t="shared" si="9"/>
        <v>55504.19</v>
      </c>
      <c r="Q43" s="119"/>
      <c r="R43" s="125"/>
      <c r="S43" s="119"/>
      <c r="T43" s="126">
        <f t="shared" si="11"/>
        <v>0</v>
      </c>
      <c r="U43" s="126">
        <f t="shared" si="7"/>
        <v>0</v>
      </c>
      <c r="V43" s="126"/>
      <c r="W43" s="126"/>
      <c r="X43" s="126">
        <f t="shared" si="8"/>
        <v>0</v>
      </c>
      <c r="Y43" s="120"/>
      <c r="Z43" s="127">
        <f t="shared" si="10"/>
        <v>-55504.19</v>
      </c>
      <c r="AB43" s="169"/>
    </row>
    <row r="44" spans="1:28">
      <c r="A44" s="1">
        <v>33</v>
      </c>
      <c r="C44" s="9">
        <v>1</v>
      </c>
      <c r="D44" s="1" t="s">
        <v>449</v>
      </c>
      <c r="E44" s="1">
        <v>451</v>
      </c>
      <c r="F44" s="1" t="s">
        <v>124</v>
      </c>
      <c r="H44" s="206">
        <v>2080</v>
      </c>
      <c r="I44" s="166">
        <v>101</v>
      </c>
      <c r="J44" s="166"/>
      <c r="K44" s="167"/>
      <c r="L44" s="123">
        <v>93928</v>
      </c>
      <c r="M44" s="123">
        <v>6793.19</v>
      </c>
      <c r="N44" s="123"/>
      <c r="O44" s="123"/>
      <c r="P44" s="123">
        <f t="shared" si="9"/>
        <v>100721.19</v>
      </c>
      <c r="Q44" s="119"/>
      <c r="R44" s="125">
        <v>48.42</v>
      </c>
      <c r="S44" s="119"/>
      <c r="T44" s="126">
        <f t="shared" si="11"/>
        <v>100713.60000000001</v>
      </c>
      <c r="U44" s="126">
        <f>(+I44*R44)*1.5</f>
        <v>7335.63</v>
      </c>
      <c r="V44" s="126"/>
      <c r="W44" s="126"/>
      <c r="X44" s="126">
        <f t="shared" si="8"/>
        <v>108049.23000000001</v>
      </c>
      <c r="Y44" s="120"/>
      <c r="Z44" s="127">
        <f t="shared" si="10"/>
        <v>7328.0400000000081</v>
      </c>
      <c r="AB44" s="169"/>
    </row>
    <row r="45" spans="1:28">
      <c r="A45" s="1">
        <v>34</v>
      </c>
      <c r="C45" s="9">
        <v>1</v>
      </c>
      <c r="D45" s="1" t="s">
        <v>450</v>
      </c>
      <c r="E45" s="1">
        <v>460</v>
      </c>
      <c r="H45" s="206">
        <v>249</v>
      </c>
      <c r="I45" s="166"/>
      <c r="J45" s="166">
        <v>21.53</v>
      </c>
      <c r="K45" s="167"/>
      <c r="L45" s="123">
        <v>8942.82</v>
      </c>
      <c r="M45" s="123"/>
      <c r="N45" s="123">
        <v>791.01</v>
      </c>
      <c r="O45" s="123"/>
      <c r="P45" s="123">
        <f t="shared" si="9"/>
        <v>9733.83</v>
      </c>
      <c r="Q45" s="119"/>
      <c r="R45" s="125">
        <v>36.74</v>
      </c>
      <c r="S45" s="119"/>
      <c r="T45" s="126">
        <v>0</v>
      </c>
      <c r="U45" s="126">
        <f t="shared" si="7"/>
        <v>0</v>
      </c>
      <c r="V45" s="126"/>
      <c r="W45" s="126"/>
      <c r="X45" s="126">
        <f>SUM(T45:W45)</f>
        <v>0</v>
      </c>
      <c r="Y45" s="120"/>
      <c r="Z45" s="127">
        <f t="shared" si="10"/>
        <v>-9733.83</v>
      </c>
      <c r="AB45" s="169"/>
    </row>
    <row r="46" spans="1:28">
      <c r="A46" s="1">
        <v>35</v>
      </c>
      <c r="C46" s="9">
        <v>1</v>
      </c>
      <c r="D46" s="1" t="s">
        <v>451</v>
      </c>
      <c r="E46" s="1">
        <v>461</v>
      </c>
      <c r="H46" s="206">
        <v>2080</v>
      </c>
      <c r="I46" s="166"/>
      <c r="J46" s="166">
        <v>129</v>
      </c>
      <c r="K46" s="167"/>
      <c r="L46" s="123">
        <v>123350.55</v>
      </c>
      <c r="M46" s="123"/>
      <c r="N46" s="123">
        <v>7675.89</v>
      </c>
      <c r="O46" s="123"/>
      <c r="P46" s="123">
        <f t="shared" si="9"/>
        <v>131026.44</v>
      </c>
      <c r="Q46" s="119"/>
      <c r="R46" s="125">
        <v>44.11</v>
      </c>
      <c r="S46" s="119"/>
      <c r="T46" s="126">
        <f t="shared" si="11"/>
        <v>91748.800000000003</v>
      </c>
      <c r="U46" s="126">
        <f t="shared" si="7"/>
        <v>0</v>
      </c>
      <c r="V46" s="126"/>
      <c r="W46" s="126"/>
      <c r="X46" s="126">
        <f t="shared" si="8"/>
        <v>91748.800000000003</v>
      </c>
      <c r="Y46" s="120"/>
      <c r="Z46" s="127">
        <f t="shared" si="10"/>
        <v>-39277.64</v>
      </c>
      <c r="AB46" s="169"/>
    </row>
    <row r="47" spans="1:28">
      <c r="A47" s="1">
        <v>36</v>
      </c>
      <c r="C47" s="9">
        <v>1</v>
      </c>
      <c r="D47" s="1" t="s">
        <v>452</v>
      </c>
      <c r="E47" s="1">
        <v>464</v>
      </c>
      <c r="F47" s="1" t="s">
        <v>124</v>
      </c>
      <c r="H47" s="206">
        <v>2080</v>
      </c>
      <c r="I47" s="166">
        <v>223</v>
      </c>
      <c r="J47" s="166">
        <v>293</v>
      </c>
      <c r="K47" s="167"/>
      <c r="L47" s="123">
        <v>59868.800000000003</v>
      </c>
      <c r="M47" s="123">
        <v>9640.83</v>
      </c>
      <c r="N47" s="123">
        <v>8461.84</v>
      </c>
      <c r="O47" s="123"/>
      <c r="P47" s="123">
        <f t="shared" si="9"/>
        <v>77971.47</v>
      </c>
      <c r="Q47" s="119"/>
      <c r="R47" s="125">
        <v>30.18</v>
      </c>
      <c r="S47" s="119"/>
      <c r="T47" s="126">
        <f t="shared" si="11"/>
        <v>62774.400000000001</v>
      </c>
      <c r="U47" s="126">
        <f t="shared" si="7"/>
        <v>10095.210000000001</v>
      </c>
      <c r="V47" s="126"/>
      <c r="W47" s="126"/>
      <c r="X47" s="126">
        <f t="shared" si="8"/>
        <v>72869.61</v>
      </c>
      <c r="Y47" s="120"/>
      <c r="Z47" s="127">
        <f t="shared" si="10"/>
        <v>-5101.8600000000006</v>
      </c>
      <c r="AB47" s="169"/>
    </row>
    <row r="48" spans="1:28">
      <c r="A48" s="1">
        <v>37</v>
      </c>
      <c r="C48" s="9">
        <v>1</v>
      </c>
      <c r="D48" s="1" t="s">
        <v>453</v>
      </c>
      <c r="E48" s="1">
        <v>477</v>
      </c>
      <c r="H48" s="206">
        <v>2080</v>
      </c>
      <c r="I48" s="166"/>
      <c r="J48" s="166">
        <v>17</v>
      </c>
      <c r="K48" s="167"/>
      <c r="L48" s="123">
        <v>59999.26</v>
      </c>
      <c r="M48" s="123"/>
      <c r="N48" s="123">
        <v>512.74</v>
      </c>
      <c r="O48" s="123"/>
      <c r="P48" s="123">
        <f t="shared" si="9"/>
        <v>60512</v>
      </c>
      <c r="Q48" s="119"/>
      <c r="R48" s="125">
        <v>34.369999999999997</v>
      </c>
      <c r="S48" s="119"/>
      <c r="T48" s="126">
        <f t="shared" si="11"/>
        <v>71489.599999999991</v>
      </c>
      <c r="U48" s="126">
        <f t="shared" si="7"/>
        <v>0</v>
      </c>
      <c r="V48" s="126"/>
      <c r="W48" s="126"/>
      <c r="X48" s="126">
        <f t="shared" si="8"/>
        <v>71489.599999999991</v>
      </c>
      <c r="Y48" s="120"/>
      <c r="Z48" s="127">
        <f t="shared" si="10"/>
        <v>10977.599999999991</v>
      </c>
      <c r="AB48" s="169"/>
    </row>
    <row r="49" spans="1:28">
      <c r="A49" s="1">
        <v>38</v>
      </c>
      <c r="C49" s="9">
        <v>1</v>
      </c>
      <c r="D49" s="1" t="s">
        <v>454</v>
      </c>
      <c r="E49" s="1">
        <v>478</v>
      </c>
      <c r="F49" s="1" t="s">
        <v>124</v>
      </c>
      <c r="H49" s="206">
        <v>2008</v>
      </c>
      <c r="I49" s="166">
        <v>251.5</v>
      </c>
      <c r="J49" s="166"/>
      <c r="K49" s="167"/>
      <c r="L49" s="123">
        <v>90665.68</v>
      </c>
      <c r="M49" s="123">
        <v>17030.87</v>
      </c>
      <c r="N49" s="123"/>
      <c r="O49" s="123"/>
      <c r="P49" s="123">
        <f t="shared" si="9"/>
        <v>107696.54999999999</v>
      </c>
      <c r="Q49" s="119"/>
      <c r="R49" s="125">
        <v>48.42</v>
      </c>
      <c r="S49" s="119"/>
      <c r="T49" s="126">
        <f t="shared" si="11"/>
        <v>100713.60000000001</v>
      </c>
      <c r="U49" s="126">
        <f t="shared" si="7"/>
        <v>18266.445</v>
      </c>
      <c r="V49" s="126"/>
      <c r="W49" s="126"/>
      <c r="X49" s="126">
        <f t="shared" si="8"/>
        <v>118980.04500000001</v>
      </c>
      <c r="Y49" s="120"/>
      <c r="Z49" s="127">
        <f t="shared" si="10"/>
        <v>11283.495000000024</v>
      </c>
      <c r="AB49" s="169"/>
    </row>
    <row r="50" spans="1:28">
      <c r="A50" s="1">
        <v>39</v>
      </c>
      <c r="C50" s="9">
        <v>1</v>
      </c>
      <c r="D50" s="1" t="s">
        <v>455</v>
      </c>
      <c r="E50" s="1">
        <v>489</v>
      </c>
      <c r="F50" s="1" t="s">
        <v>124</v>
      </c>
      <c r="H50" s="206">
        <v>2080</v>
      </c>
      <c r="I50" s="166">
        <v>416</v>
      </c>
      <c r="J50" s="166">
        <v>140</v>
      </c>
      <c r="K50" s="167"/>
      <c r="L50" s="123">
        <v>89098.4</v>
      </c>
      <c r="M50" s="123">
        <v>26677.03</v>
      </c>
      <c r="N50" s="168">
        <v>6017.2</v>
      </c>
      <c r="O50" s="168">
        <v>500</v>
      </c>
      <c r="P50" s="123">
        <f t="shared" si="9"/>
        <v>122292.62999999999</v>
      </c>
      <c r="Q50" s="119"/>
      <c r="R50" s="125">
        <v>46.27</v>
      </c>
      <c r="S50" s="119"/>
      <c r="T50" s="126">
        <f t="shared" si="11"/>
        <v>96241.600000000006</v>
      </c>
      <c r="U50" s="126">
        <f t="shared" si="7"/>
        <v>28872.48</v>
      </c>
      <c r="V50" s="126"/>
      <c r="W50" s="126"/>
      <c r="X50" s="126">
        <f t="shared" si="8"/>
        <v>125114.08</v>
      </c>
      <c r="Y50" s="120"/>
      <c r="Z50" s="127">
        <f t="shared" si="10"/>
        <v>2821.4500000000116</v>
      </c>
      <c r="AB50" s="169"/>
    </row>
    <row r="51" spans="1:28">
      <c r="A51" s="1">
        <v>40</v>
      </c>
      <c r="C51" s="9">
        <v>1</v>
      </c>
      <c r="D51" s="1" t="s">
        <v>456</v>
      </c>
      <c r="E51" s="1">
        <v>506</v>
      </c>
      <c r="F51" s="1" t="s">
        <v>124</v>
      </c>
      <c r="H51" s="206">
        <v>2080</v>
      </c>
      <c r="I51" s="166">
        <v>76.5</v>
      </c>
      <c r="J51" s="166">
        <v>658</v>
      </c>
      <c r="K51" s="167"/>
      <c r="L51" s="123">
        <v>76162.399999999994</v>
      </c>
      <c r="M51" s="123">
        <v>4194.29</v>
      </c>
      <c r="N51" s="123">
        <v>24174.92</v>
      </c>
      <c r="O51" s="123"/>
      <c r="P51" s="123">
        <f t="shared" si="9"/>
        <v>104531.60999999999</v>
      </c>
      <c r="Q51" s="119"/>
      <c r="R51" s="125">
        <v>38.799999999999997</v>
      </c>
      <c r="S51" s="119"/>
      <c r="T51" s="126">
        <f t="shared" si="11"/>
        <v>80704</v>
      </c>
      <c r="U51" s="126">
        <f t="shared" si="7"/>
        <v>4452.2999999999993</v>
      </c>
      <c r="V51" s="126"/>
      <c r="W51" s="126"/>
      <c r="X51" s="126">
        <f t="shared" si="8"/>
        <v>85156.3</v>
      </c>
      <c r="Y51" s="120"/>
      <c r="Z51" s="127">
        <f t="shared" si="10"/>
        <v>-19375.309999999983</v>
      </c>
      <c r="AB51" s="169"/>
    </row>
    <row r="52" spans="1:28">
      <c r="A52" s="1">
        <v>41</v>
      </c>
      <c r="C52" s="9">
        <v>1</v>
      </c>
      <c r="D52" s="1" t="s">
        <v>457</v>
      </c>
      <c r="E52" s="1">
        <v>519</v>
      </c>
      <c r="F52" s="1" t="s">
        <v>124</v>
      </c>
      <c r="H52" s="206">
        <v>2024</v>
      </c>
      <c r="I52" s="166">
        <v>411</v>
      </c>
      <c r="J52" s="166"/>
      <c r="K52" s="167"/>
      <c r="L52" s="123">
        <v>86691.520000000004</v>
      </c>
      <c r="M52" s="123">
        <v>26408.15</v>
      </c>
      <c r="N52" s="123"/>
      <c r="O52" s="123"/>
      <c r="P52" s="123">
        <f t="shared" si="9"/>
        <v>113099.67000000001</v>
      </c>
      <c r="Q52" s="119"/>
      <c r="R52" s="125">
        <v>46.27</v>
      </c>
      <c r="S52" s="119"/>
      <c r="T52" s="126">
        <f t="shared" si="11"/>
        <v>96241.600000000006</v>
      </c>
      <c r="U52" s="126">
        <f t="shared" si="7"/>
        <v>28525.455000000002</v>
      </c>
      <c r="V52" s="126"/>
      <c r="W52" s="126"/>
      <c r="X52" s="126">
        <f t="shared" si="8"/>
        <v>124767.05500000001</v>
      </c>
      <c r="Y52" s="120"/>
      <c r="Z52" s="127">
        <f t="shared" si="10"/>
        <v>11667.384999999995</v>
      </c>
      <c r="AB52" s="169"/>
    </row>
    <row r="53" spans="1:28">
      <c r="A53" s="1">
        <v>42</v>
      </c>
      <c r="C53" s="9">
        <v>1</v>
      </c>
      <c r="D53" s="1" t="s">
        <v>458</v>
      </c>
      <c r="E53" s="1">
        <v>523</v>
      </c>
      <c r="F53" s="1" t="s">
        <v>124</v>
      </c>
      <c r="H53" s="206">
        <v>2080</v>
      </c>
      <c r="I53" s="166">
        <v>405.5</v>
      </c>
      <c r="J53" s="166"/>
      <c r="K53" s="167"/>
      <c r="L53" s="123">
        <v>89098.4</v>
      </c>
      <c r="M53" s="123">
        <v>26043.26</v>
      </c>
      <c r="N53" s="123"/>
      <c r="O53" s="123"/>
      <c r="P53" s="123">
        <f t="shared" si="9"/>
        <v>115141.65999999999</v>
      </c>
      <c r="Q53" s="119"/>
      <c r="R53" s="125">
        <v>46.27</v>
      </c>
      <c r="S53" s="119"/>
      <c r="T53" s="126">
        <f t="shared" si="11"/>
        <v>96241.600000000006</v>
      </c>
      <c r="U53" s="126">
        <f t="shared" si="7"/>
        <v>28143.727500000001</v>
      </c>
      <c r="V53" s="126"/>
      <c r="W53" s="126"/>
      <c r="X53" s="126">
        <f t="shared" si="8"/>
        <v>124385.32750000001</v>
      </c>
      <c r="Y53" s="120"/>
      <c r="Z53" s="127">
        <f t="shared" si="10"/>
        <v>9243.667500000025</v>
      </c>
      <c r="AB53" s="169"/>
    </row>
    <row r="54" spans="1:28">
      <c r="A54" s="1">
        <v>43</v>
      </c>
      <c r="C54" s="9">
        <v>1</v>
      </c>
      <c r="D54" s="1" t="s">
        <v>459</v>
      </c>
      <c r="E54" s="1">
        <v>524</v>
      </c>
      <c r="F54" s="1" t="s">
        <v>124</v>
      </c>
      <c r="H54" s="206">
        <v>2080</v>
      </c>
      <c r="I54" s="166">
        <v>269.5</v>
      </c>
      <c r="J54" s="166"/>
      <c r="K54" s="167" t="s">
        <v>298</v>
      </c>
      <c r="L54" s="123">
        <v>89098.4</v>
      </c>
      <c r="M54" s="123">
        <v>17343.740000000002</v>
      </c>
      <c r="N54" s="123"/>
      <c r="O54" s="123"/>
      <c r="P54" s="123">
        <f t="shared" si="9"/>
        <v>106442.14</v>
      </c>
      <c r="Q54" s="119"/>
      <c r="R54" s="125">
        <v>46.27</v>
      </c>
      <c r="S54" s="119"/>
      <c r="T54" s="126">
        <f t="shared" si="11"/>
        <v>96241.600000000006</v>
      </c>
      <c r="U54" s="126">
        <f t="shared" si="7"/>
        <v>18704.647500000003</v>
      </c>
      <c r="V54" s="126"/>
      <c r="W54" s="126"/>
      <c r="X54" s="126">
        <f t="shared" si="8"/>
        <v>114946.24750000001</v>
      </c>
      <c r="Y54" s="120"/>
      <c r="Z54" s="127">
        <f t="shared" si="10"/>
        <v>8504.1075000000128</v>
      </c>
      <c r="AB54" s="169"/>
    </row>
    <row r="55" spans="1:28">
      <c r="A55" s="1">
        <v>44</v>
      </c>
      <c r="C55" s="9">
        <v>1</v>
      </c>
      <c r="D55" s="1" t="s">
        <v>460</v>
      </c>
      <c r="E55" s="1">
        <v>526</v>
      </c>
      <c r="F55" s="1" t="s">
        <v>124</v>
      </c>
      <c r="H55" s="206">
        <v>2080</v>
      </c>
      <c r="I55" s="166">
        <v>871</v>
      </c>
      <c r="J55" s="166">
        <v>41</v>
      </c>
      <c r="K55" s="167"/>
      <c r="L55" s="123">
        <v>76162.399999999994</v>
      </c>
      <c r="M55" s="123">
        <v>47860.44</v>
      </c>
      <c r="N55" s="123">
        <v>1506.34</v>
      </c>
      <c r="O55" s="123"/>
      <c r="P55" s="123">
        <f t="shared" si="9"/>
        <v>125529.18</v>
      </c>
      <c r="Q55" s="119"/>
      <c r="R55" s="125">
        <v>38.799999999999997</v>
      </c>
      <c r="S55" s="119"/>
      <c r="T55" s="126">
        <f t="shared" si="11"/>
        <v>80704</v>
      </c>
      <c r="U55" s="126">
        <f t="shared" si="7"/>
        <v>50692.2</v>
      </c>
      <c r="V55" s="126"/>
      <c r="W55" s="126"/>
      <c r="X55" s="126">
        <f t="shared" si="8"/>
        <v>131396.20000000001</v>
      </c>
      <c r="Y55" s="120"/>
      <c r="Z55" s="127">
        <f t="shared" si="10"/>
        <v>5867.0200000000186</v>
      </c>
      <c r="AB55" s="169"/>
    </row>
    <row r="56" spans="1:28">
      <c r="A56" s="1">
        <v>45</v>
      </c>
      <c r="C56" s="9">
        <v>1</v>
      </c>
      <c r="D56" s="1" t="s">
        <v>461</v>
      </c>
      <c r="E56" s="1">
        <v>528</v>
      </c>
      <c r="F56" s="1" t="s">
        <v>124</v>
      </c>
      <c r="H56" s="206">
        <v>2080</v>
      </c>
      <c r="I56" s="166">
        <v>320</v>
      </c>
      <c r="J56" s="166"/>
      <c r="K56" s="167"/>
      <c r="L56" s="123">
        <v>93928</v>
      </c>
      <c r="M56" s="123">
        <v>21590.46</v>
      </c>
      <c r="N56" s="123"/>
      <c r="O56" s="123"/>
      <c r="P56" s="123">
        <f t="shared" si="9"/>
        <v>115518.45999999999</v>
      </c>
      <c r="Q56" s="119"/>
      <c r="R56" s="125">
        <v>48.42</v>
      </c>
      <c r="S56" s="119"/>
      <c r="T56" s="126">
        <f t="shared" si="11"/>
        <v>100713.60000000001</v>
      </c>
      <c r="U56" s="126">
        <f t="shared" si="7"/>
        <v>23241.600000000002</v>
      </c>
      <c r="V56" s="126"/>
      <c r="W56" s="126"/>
      <c r="X56" s="126">
        <f t="shared" si="8"/>
        <v>123955.20000000001</v>
      </c>
      <c r="Y56" s="120"/>
      <c r="Z56" s="127">
        <f t="shared" si="10"/>
        <v>8436.7400000000198</v>
      </c>
      <c r="AB56" s="169"/>
    </row>
    <row r="57" spans="1:28">
      <c r="A57" s="1">
        <v>46</v>
      </c>
      <c r="C57" s="9">
        <v>1</v>
      </c>
      <c r="D57" s="1" t="s">
        <v>462</v>
      </c>
      <c r="E57" s="1">
        <v>545</v>
      </c>
      <c r="F57" s="1" t="s">
        <v>123</v>
      </c>
      <c r="H57" s="206">
        <v>1520</v>
      </c>
      <c r="I57" s="166">
        <v>198</v>
      </c>
      <c r="J57" s="166">
        <v>647.25</v>
      </c>
      <c r="K57" s="167"/>
      <c r="L57" s="123">
        <v>82595.199999999997</v>
      </c>
      <c r="M57" s="123">
        <v>16096.4</v>
      </c>
      <c r="N57" s="123">
        <v>35333.379999999997</v>
      </c>
      <c r="O57" s="123">
        <v>700</v>
      </c>
      <c r="P57" s="123">
        <f t="shared" si="9"/>
        <v>134724.97999999998</v>
      </c>
      <c r="Q57" s="119"/>
      <c r="R57" s="125"/>
      <c r="S57" s="119"/>
      <c r="T57" s="126">
        <f t="shared" si="11"/>
        <v>0</v>
      </c>
      <c r="U57" s="126">
        <f t="shared" si="7"/>
        <v>0</v>
      </c>
      <c r="V57" s="126"/>
      <c r="W57" s="126"/>
      <c r="X57" s="126">
        <f t="shared" si="8"/>
        <v>0</v>
      </c>
      <c r="Y57" s="120"/>
      <c r="Z57" s="127">
        <f t="shared" si="10"/>
        <v>-134724.97999999998</v>
      </c>
      <c r="AB57" s="169"/>
    </row>
    <row r="58" spans="1:28">
      <c r="A58" s="1">
        <v>47</v>
      </c>
      <c r="C58" s="9">
        <v>1</v>
      </c>
      <c r="D58" s="1" t="s">
        <v>463</v>
      </c>
      <c r="E58" s="1">
        <v>546</v>
      </c>
      <c r="F58" s="1" t="s">
        <v>124</v>
      </c>
      <c r="H58" s="206">
        <v>2080</v>
      </c>
      <c r="I58" s="166">
        <v>92.5</v>
      </c>
      <c r="J58" s="166"/>
      <c r="K58" s="167"/>
      <c r="L58" s="123">
        <v>75282.399999999994</v>
      </c>
      <c r="M58" s="123">
        <v>4969.45</v>
      </c>
      <c r="N58" s="123"/>
      <c r="O58" s="123"/>
      <c r="P58" s="123">
        <f t="shared" si="9"/>
        <v>80251.849999999991</v>
      </c>
      <c r="Q58" s="119"/>
      <c r="R58" s="125">
        <v>38.799999999999997</v>
      </c>
      <c r="S58" s="119"/>
      <c r="T58" s="126">
        <f t="shared" si="11"/>
        <v>80704</v>
      </c>
      <c r="U58" s="126">
        <f t="shared" si="7"/>
        <v>5383.4999999999991</v>
      </c>
      <c r="V58" s="126"/>
      <c r="W58" s="126"/>
      <c r="X58" s="126">
        <f t="shared" si="8"/>
        <v>86087.5</v>
      </c>
      <c r="Y58" s="120"/>
      <c r="Z58" s="127">
        <f t="shared" si="10"/>
        <v>5835.6500000000087</v>
      </c>
      <c r="AB58" s="169"/>
    </row>
    <row r="59" spans="1:28">
      <c r="A59" s="1">
        <v>48</v>
      </c>
      <c r="C59" s="9">
        <v>1</v>
      </c>
      <c r="D59" s="1" t="s">
        <v>464</v>
      </c>
      <c r="E59" s="1">
        <v>562</v>
      </c>
      <c r="F59" s="1" t="s">
        <v>123</v>
      </c>
      <c r="H59" s="206">
        <v>120</v>
      </c>
      <c r="I59" s="166"/>
      <c r="J59" s="166">
        <v>339.71</v>
      </c>
      <c r="K59" s="167"/>
      <c r="L59" s="123">
        <v>4280.3999999999996</v>
      </c>
      <c r="M59" s="123"/>
      <c r="N59" s="123">
        <v>12117.46</v>
      </c>
      <c r="O59" s="123"/>
      <c r="P59" s="123">
        <f t="shared" si="9"/>
        <v>16397.86</v>
      </c>
      <c r="Q59" s="119"/>
      <c r="R59" s="125"/>
      <c r="S59" s="119"/>
      <c r="T59" s="126">
        <f t="shared" si="11"/>
        <v>0</v>
      </c>
      <c r="U59" s="126">
        <f t="shared" si="7"/>
        <v>0</v>
      </c>
      <c r="V59" s="126"/>
      <c r="W59" s="126"/>
      <c r="X59" s="126">
        <f t="shared" si="8"/>
        <v>0</v>
      </c>
      <c r="Y59" s="120"/>
      <c r="Z59" s="127">
        <f t="shared" si="10"/>
        <v>-16397.86</v>
      </c>
      <c r="AB59" s="169"/>
    </row>
    <row r="60" spans="1:28">
      <c r="A60" s="1">
        <v>49</v>
      </c>
      <c r="C60" s="9">
        <v>1</v>
      </c>
      <c r="D60" s="1" t="s">
        <v>465</v>
      </c>
      <c r="E60" s="1">
        <v>569</v>
      </c>
      <c r="F60" s="1" t="s">
        <v>124</v>
      </c>
      <c r="H60" s="206">
        <v>2016</v>
      </c>
      <c r="I60" s="166">
        <v>164</v>
      </c>
      <c r="J60" s="166"/>
      <c r="K60" s="167"/>
      <c r="L60" s="123">
        <v>86347.68</v>
      </c>
      <c r="M60" s="123">
        <v>10565.59</v>
      </c>
      <c r="N60" s="123"/>
      <c r="O60" s="123"/>
      <c r="P60" s="123">
        <f t="shared" si="9"/>
        <v>96913.26999999999</v>
      </c>
      <c r="Q60" s="119"/>
      <c r="R60" s="125">
        <v>46.27</v>
      </c>
      <c r="S60" s="119"/>
      <c r="T60" s="126">
        <f t="shared" si="11"/>
        <v>96241.600000000006</v>
      </c>
      <c r="U60" s="126">
        <f t="shared" si="7"/>
        <v>11382.420000000002</v>
      </c>
      <c r="V60" s="126"/>
      <c r="W60" s="126"/>
      <c r="X60" s="126">
        <f t="shared" si="8"/>
        <v>107624.02</v>
      </c>
      <c r="Y60" s="120"/>
      <c r="Z60" s="127">
        <f t="shared" si="10"/>
        <v>10710.750000000015</v>
      </c>
      <c r="AB60" s="169"/>
    </row>
    <row r="61" spans="1:28">
      <c r="A61" s="1">
        <v>50</v>
      </c>
      <c r="C61" s="9">
        <v>1</v>
      </c>
      <c r="D61" s="1" t="s">
        <v>466</v>
      </c>
      <c r="E61" s="1">
        <v>570</v>
      </c>
      <c r="F61" s="1" t="s">
        <v>124</v>
      </c>
      <c r="H61" s="206">
        <v>2080</v>
      </c>
      <c r="I61" s="166">
        <v>106.75</v>
      </c>
      <c r="J61" s="166">
        <v>150</v>
      </c>
      <c r="K61" s="167"/>
      <c r="L61" s="123">
        <v>93392</v>
      </c>
      <c r="M61" s="123">
        <v>7127.86</v>
      </c>
      <c r="N61" s="123">
        <v>6785</v>
      </c>
      <c r="O61" s="123"/>
      <c r="P61" s="123">
        <f t="shared" si="9"/>
        <v>107304.86</v>
      </c>
      <c r="Q61" s="119"/>
      <c r="R61" s="125">
        <v>46.56</v>
      </c>
      <c r="S61" s="119"/>
      <c r="T61" s="126">
        <f t="shared" si="11"/>
        <v>96844.800000000003</v>
      </c>
      <c r="U61" s="126">
        <f t="shared" si="7"/>
        <v>7455.420000000001</v>
      </c>
      <c r="V61" s="126"/>
      <c r="W61" s="126"/>
      <c r="X61" s="126">
        <f t="shared" si="8"/>
        <v>104300.22</v>
      </c>
      <c r="Y61" s="120"/>
      <c r="Z61" s="127">
        <f t="shared" si="10"/>
        <v>-3004.6399999999994</v>
      </c>
      <c r="AB61" s="169"/>
    </row>
    <row r="62" spans="1:28">
      <c r="A62" s="1">
        <v>51</v>
      </c>
      <c r="C62" s="9">
        <v>1</v>
      </c>
      <c r="D62" s="1" t="s">
        <v>467</v>
      </c>
      <c r="E62" s="1">
        <v>571</v>
      </c>
      <c r="F62" s="1" t="s">
        <v>124</v>
      </c>
      <c r="H62" s="206">
        <v>2080</v>
      </c>
      <c r="I62" s="166">
        <v>245</v>
      </c>
      <c r="J62" s="166">
        <v>344</v>
      </c>
      <c r="K62" s="167"/>
      <c r="L62" s="123">
        <v>98321.600000000006</v>
      </c>
      <c r="M62" s="123">
        <v>17371.79</v>
      </c>
      <c r="N62" s="123">
        <v>16260.88</v>
      </c>
      <c r="O62" s="123"/>
      <c r="P62" s="123">
        <f t="shared" si="9"/>
        <v>131954.27000000002</v>
      </c>
      <c r="Q62" s="119"/>
      <c r="R62" s="125">
        <v>47.27</v>
      </c>
      <c r="S62" s="119"/>
      <c r="T62" s="126">
        <f t="shared" si="11"/>
        <v>98321.600000000006</v>
      </c>
      <c r="U62" s="126">
        <f t="shared" si="7"/>
        <v>17371.725000000002</v>
      </c>
      <c r="V62" s="126"/>
      <c r="W62" s="126"/>
      <c r="X62" s="126">
        <f t="shared" si="8"/>
        <v>115693.32500000001</v>
      </c>
      <c r="Y62" s="120"/>
      <c r="Z62" s="127">
        <f t="shared" si="10"/>
        <v>-16260.945000000007</v>
      </c>
      <c r="AB62" s="169"/>
    </row>
    <row r="63" spans="1:28">
      <c r="A63" s="1">
        <v>52</v>
      </c>
      <c r="C63" s="9">
        <v>1</v>
      </c>
      <c r="D63" s="1" t="s">
        <v>468</v>
      </c>
      <c r="E63" s="1">
        <v>578</v>
      </c>
      <c r="F63" s="1" t="s">
        <v>124</v>
      </c>
      <c r="H63" s="206">
        <v>2080</v>
      </c>
      <c r="I63" s="166">
        <v>1.5</v>
      </c>
      <c r="J63" s="166"/>
      <c r="K63" s="167"/>
      <c r="L63" s="123">
        <v>76162.399999999994</v>
      </c>
      <c r="M63" s="123">
        <v>82.67</v>
      </c>
      <c r="N63" s="123"/>
      <c r="O63" s="123"/>
      <c r="P63" s="123">
        <f t="shared" si="9"/>
        <v>76245.069999999992</v>
      </c>
      <c r="Q63" s="119"/>
      <c r="R63" s="125">
        <v>37.75</v>
      </c>
      <c r="S63" s="119"/>
      <c r="T63" s="126">
        <f t="shared" si="11"/>
        <v>78520</v>
      </c>
      <c r="U63" s="126">
        <f t="shared" si="7"/>
        <v>84.9375</v>
      </c>
      <c r="V63" s="126"/>
      <c r="W63" s="126"/>
      <c r="X63" s="126">
        <f t="shared" si="8"/>
        <v>78604.9375</v>
      </c>
      <c r="Y63" s="120"/>
      <c r="Z63" s="127">
        <f t="shared" si="10"/>
        <v>2359.8675000000076</v>
      </c>
      <c r="AB63" s="169"/>
    </row>
    <row r="64" spans="1:28">
      <c r="A64" s="1">
        <v>53</v>
      </c>
      <c r="C64" s="9">
        <v>1</v>
      </c>
      <c r="D64" s="1" t="s">
        <v>469</v>
      </c>
      <c r="E64" s="1">
        <v>592</v>
      </c>
      <c r="F64" s="1" t="s">
        <v>123</v>
      </c>
      <c r="H64" s="206">
        <v>504</v>
      </c>
      <c r="I64" s="166">
        <v>170</v>
      </c>
      <c r="J64" s="166">
        <v>302.24</v>
      </c>
      <c r="K64" s="167"/>
      <c r="L64" s="123">
        <v>20342.64</v>
      </c>
      <c r="M64" s="123">
        <v>10289.66</v>
      </c>
      <c r="N64" s="168">
        <v>9096.2800000000007</v>
      </c>
      <c r="O64" s="168">
        <v>3274.4</v>
      </c>
      <c r="P64" s="123">
        <f t="shared" si="9"/>
        <v>43002.98</v>
      </c>
      <c r="Q64" s="119"/>
      <c r="R64" s="125"/>
      <c r="S64" s="119"/>
      <c r="T64" s="126">
        <f t="shared" si="11"/>
        <v>0</v>
      </c>
      <c r="U64" s="126">
        <f t="shared" si="7"/>
        <v>0</v>
      </c>
      <c r="V64" s="126"/>
      <c r="W64" s="126"/>
      <c r="X64" s="126">
        <f t="shared" si="8"/>
        <v>0</v>
      </c>
      <c r="Y64" s="120"/>
      <c r="Z64" s="127">
        <f t="shared" si="10"/>
        <v>-43002.98</v>
      </c>
      <c r="AB64" s="169"/>
    </row>
    <row r="65" spans="1:28">
      <c r="A65" s="1">
        <v>54</v>
      </c>
      <c r="C65" s="9">
        <v>1</v>
      </c>
      <c r="D65" s="1" t="s">
        <v>470</v>
      </c>
      <c r="E65" s="1">
        <v>594</v>
      </c>
      <c r="F65" s="1" t="s">
        <v>124</v>
      </c>
      <c r="H65" s="206">
        <v>2080</v>
      </c>
      <c r="I65" s="166">
        <v>6</v>
      </c>
      <c r="J65" s="166"/>
      <c r="K65" s="167"/>
      <c r="L65" s="123">
        <v>88668.4</v>
      </c>
      <c r="M65" s="123">
        <v>327.45</v>
      </c>
      <c r="N65" s="123"/>
      <c r="O65" s="123"/>
      <c r="P65" s="123">
        <f t="shared" si="9"/>
        <v>88995.849999999991</v>
      </c>
      <c r="Q65" s="119"/>
      <c r="R65" s="125">
        <v>42.06</v>
      </c>
      <c r="S65" s="119"/>
      <c r="T65" s="126">
        <f t="shared" si="11"/>
        <v>87484.800000000003</v>
      </c>
      <c r="U65" s="126">
        <f t="shared" si="7"/>
        <v>378.54</v>
      </c>
      <c r="V65" s="126"/>
      <c r="W65" s="126"/>
      <c r="X65" s="126">
        <f t="shared" si="8"/>
        <v>87863.34</v>
      </c>
      <c r="Y65" s="120"/>
      <c r="Z65" s="127">
        <f t="shared" si="10"/>
        <v>-1132.5099999999948</v>
      </c>
      <c r="AB65" s="169"/>
    </row>
    <row r="66" spans="1:28">
      <c r="A66" s="1">
        <v>55</v>
      </c>
      <c r="C66" s="9">
        <v>1</v>
      </c>
      <c r="D66" s="1" t="s">
        <v>471</v>
      </c>
      <c r="E66" s="1">
        <v>599</v>
      </c>
      <c r="F66" s="1" t="s">
        <v>124</v>
      </c>
      <c r="H66" s="206">
        <v>2080</v>
      </c>
      <c r="I66" s="166">
        <v>512</v>
      </c>
      <c r="J66" s="166">
        <v>106</v>
      </c>
      <c r="K66" s="167"/>
      <c r="L66" s="123">
        <v>89098.4</v>
      </c>
      <c r="M66" s="123">
        <v>32845.519999999997</v>
      </c>
      <c r="N66" s="123">
        <v>4555.88</v>
      </c>
      <c r="O66" s="123"/>
      <c r="P66" s="123">
        <f t="shared" si="9"/>
        <v>126499.79999999999</v>
      </c>
      <c r="Q66" s="119"/>
      <c r="R66" s="125">
        <v>46.27</v>
      </c>
      <c r="S66" s="119"/>
      <c r="T66" s="126">
        <f t="shared" si="11"/>
        <v>96241.600000000006</v>
      </c>
      <c r="U66" s="126">
        <f t="shared" si="7"/>
        <v>35535.360000000001</v>
      </c>
      <c r="V66" s="126"/>
      <c r="W66" s="126"/>
      <c r="X66" s="126">
        <f t="shared" si="8"/>
        <v>131776.96000000002</v>
      </c>
      <c r="Y66" s="120"/>
      <c r="Z66" s="127">
        <f t="shared" si="10"/>
        <v>5277.1600000000326</v>
      </c>
      <c r="AB66" s="169"/>
    </row>
    <row r="67" spans="1:28">
      <c r="A67" s="1">
        <v>56</v>
      </c>
      <c r="C67" s="9">
        <v>1</v>
      </c>
      <c r="D67" s="1" t="s">
        <v>472</v>
      </c>
      <c r="E67" s="1">
        <v>616</v>
      </c>
      <c r="F67" s="1" t="s">
        <v>124</v>
      </c>
      <c r="H67" s="206">
        <v>2080</v>
      </c>
      <c r="I67" s="166">
        <v>70</v>
      </c>
      <c r="J67" s="166"/>
      <c r="K67" s="167"/>
      <c r="L67" s="123">
        <v>76162.399999999994</v>
      </c>
      <c r="M67" s="123">
        <v>3806.37</v>
      </c>
      <c r="N67" s="123"/>
      <c r="O67" s="123"/>
      <c r="P67" s="123">
        <f t="shared" si="9"/>
        <v>79968.76999999999</v>
      </c>
      <c r="Q67" s="119"/>
      <c r="R67" s="125">
        <v>38.799999999999997</v>
      </c>
      <c r="S67" s="119"/>
      <c r="T67" s="126">
        <f t="shared" si="11"/>
        <v>80704</v>
      </c>
      <c r="U67" s="126">
        <f t="shared" si="7"/>
        <v>4074</v>
      </c>
      <c r="V67" s="126"/>
      <c r="W67" s="126"/>
      <c r="X67" s="126">
        <f t="shared" si="8"/>
        <v>84778</v>
      </c>
      <c r="Y67" s="120"/>
      <c r="Z67" s="127">
        <f t="shared" si="10"/>
        <v>4809.2300000000105</v>
      </c>
      <c r="AB67" s="169"/>
    </row>
    <row r="68" spans="1:28">
      <c r="A68" s="1">
        <v>57</v>
      </c>
      <c r="C68" s="9">
        <v>1</v>
      </c>
      <c r="D68" s="1" t="s">
        <v>473</v>
      </c>
      <c r="E68" s="1">
        <v>622</v>
      </c>
      <c r="F68" s="1" t="s">
        <v>124</v>
      </c>
      <c r="H68" s="206">
        <v>2080</v>
      </c>
      <c r="I68" s="166">
        <v>3</v>
      </c>
      <c r="J68" s="166"/>
      <c r="K68" s="167"/>
      <c r="L68" s="123">
        <v>67829.600000000006</v>
      </c>
      <c r="M68" s="123">
        <v>147.24</v>
      </c>
      <c r="N68" s="123"/>
      <c r="O68" s="123"/>
      <c r="P68" s="123">
        <f t="shared" si="9"/>
        <v>67976.840000000011</v>
      </c>
      <c r="Q68" s="119"/>
      <c r="R68" s="125">
        <v>33.619999999999997</v>
      </c>
      <c r="S68" s="119"/>
      <c r="T68" s="126">
        <f t="shared" si="11"/>
        <v>69929.599999999991</v>
      </c>
      <c r="U68" s="126">
        <f t="shared" si="7"/>
        <v>151.28999999999996</v>
      </c>
      <c r="V68" s="126"/>
      <c r="W68" s="126"/>
      <c r="X68" s="126">
        <f t="shared" si="8"/>
        <v>70080.889999999985</v>
      </c>
      <c r="Y68" s="120"/>
      <c r="Z68" s="127">
        <f t="shared" si="10"/>
        <v>2104.0499999999738</v>
      </c>
      <c r="AB68" s="169"/>
    </row>
    <row r="69" spans="1:28">
      <c r="A69" s="1">
        <v>58</v>
      </c>
      <c r="C69" s="9">
        <v>1</v>
      </c>
      <c r="D69" s="1" t="s">
        <v>474</v>
      </c>
      <c r="E69" s="1">
        <v>626</v>
      </c>
      <c r="F69" s="1" t="s">
        <v>124</v>
      </c>
      <c r="H69" s="206">
        <v>2080</v>
      </c>
      <c r="I69" s="166">
        <v>500.5</v>
      </c>
      <c r="J69" s="166"/>
      <c r="K69" s="167"/>
      <c r="L69" s="123">
        <v>89098.4</v>
      </c>
      <c r="M69" s="123">
        <v>32106.93</v>
      </c>
      <c r="N69" s="123"/>
      <c r="O69" s="123"/>
      <c r="P69" s="123">
        <f t="shared" si="9"/>
        <v>121205.32999999999</v>
      </c>
      <c r="Q69" s="119"/>
      <c r="R69" s="125">
        <v>46.27</v>
      </c>
      <c r="S69" s="119"/>
      <c r="T69" s="126">
        <f t="shared" si="11"/>
        <v>96241.600000000006</v>
      </c>
      <c r="U69" s="126">
        <f t="shared" si="7"/>
        <v>34737.202499999999</v>
      </c>
      <c r="V69" s="126"/>
      <c r="W69" s="126"/>
      <c r="X69" s="126">
        <f t="shared" si="8"/>
        <v>130978.80250000001</v>
      </c>
      <c r="Y69" s="120"/>
      <c r="Z69" s="127">
        <f t="shared" si="10"/>
        <v>9773.472500000018</v>
      </c>
      <c r="AB69" s="169"/>
    </row>
    <row r="70" spans="1:28">
      <c r="A70" s="1">
        <v>59</v>
      </c>
      <c r="C70" s="9">
        <v>1</v>
      </c>
      <c r="D70" s="1" t="s">
        <v>475</v>
      </c>
      <c r="E70" s="1">
        <v>629</v>
      </c>
      <c r="F70" s="1" t="s">
        <v>124</v>
      </c>
      <c r="H70" s="206">
        <v>2080</v>
      </c>
      <c r="I70" s="166">
        <v>385</v>
      </c>
      <c r="J70" s="166">
        <v>194</v>
      </c>
      <c r="K70" s="167"/>
      <c r="L70" s="123">
        <v>93928</v>
      </c>
      <c r="M70" s="123">
        <v>26036.9</v>
      </c>
      <c r="N70" s="123">
        <v>8790.14</v>
      </c>
      <c r="O70" s="123"/>
      <c r="P70" s="123">
        <f t="shared" si="9"/>
        <v>128755.04</v>
      </c>
      <c r="Q70" s="119"/>
      <c r="R70" s="125">
        <v>48.42</v>
      </c>
      <c r="S70" s="119"/>
      <c r="T70" s="126">
        <f t="shared" si="11"/>
        <v>100713.60000000001</v>
      </c>
      <c r="U70" s="126">
        <f t="shared" si="7"/>
        <v>27962.550000000003</v>
      </c>
      <c r="V70" s="126"/>
      <c r="W70" s="126"/>
      <c r="X70" s="126">
        <f t="shared" si="8"/>
        <v>128676.15000000001</v>
      </c>
      <c r="Y70" s="120"/>
      <c r="Z70" s="127">
        <f t="shared" si="10"/>
        <v>-78.889999999984866</v>
      </c>
      <c r="AB70" s="169"/>
    </row>
    <row r="71" spans="1:28">
      <c r="A71" s="1">
        <v>60</v>
      </c>
      <c r="C71" s="9">
        <v>1</v>
      </c>
      <c r="D71" s="1" t="s">
        <v>476</v>
      </c>
      <c r="E71" s="1">
        <v>630</v>
      </c>
      <c r="F71" s="1" t="s">
        <v>124</v>
      </c>
      <c r="H71" s="206">
        <v>2080</v>
      </c>
      <c r="I71" s="166">
        <v>14.75</v>
      </c>
      <c r="J71" s="166"/>
      <c r="K71" s="167"/>
      <c r="L71" s="123">
        <v>52261.599999999999</v>
      </c>
      <c r="M71" s="123">
        <v>557.25</v>
      </c>
      <c r="N71" s="123"/>
      <c r="O71" s="123"/>
      <c r="P71" s="123">
        <f t="shared" si="9"/>
        <v>52818.85</v>
      </c>
      <c r="Q71" s="119"/>
      <c r="R71" s="125">
        <v>25.74</v>
      </c>
      <c r="S71" s="119"/>
      <c r="T71" s="126">
        <f t="shared" si="11"/>
        <v>53539.199999999997</v>
      </c>
      <c r="U71" s="126">
        <f t="shared" si="7"/>
        <v>569.49749999999995</v>
      </c>
      <c r="V71" s="126"/>
      <c r="W71" s="126"/>
      <c r="X71" s="126">
        <f t="shared" si="8"/>
        <v>54108.697499999995</v>
      </c>
      <c r="Y71" s="120"/>
      <c r="Z71" s="127">
        <f t="shared" si="10"/>
        <v>1289.8474999999962</v>
      </c>
      <c r="AB71" s="169"/>
    </row>
    <row r="72" spans="1:28">
      <c r="A72" s="1">
        <v>61</v>
      </c>
      <c r="C72" s="9">
        <v>1</v>
      </c>
      <c r="D72" s="1" t="s">
        <v>477</v>
      </c>
      <c r="E72" s="1">
        <v>631</v>
      </c>
      <c r="F72" s="1" t="s">
        <v>124</v>
      </c>
      <c r="H72" s="206">
        <v>2080</v>
      </c>
      <c r="I72" s="166">
        <v>6.5</v>
      </c>
      <c r="J72" s="166">
        <v>42</v>
      </c>
      <c r="K72" s="167"/>
      <c r="L72" s="123">
        <v>59868.800000000003</v>
      </c>
      <c r="M72" s="123">
        <v>281.58</v>
      </c>
      <c r="N72" s="123">
        <v>1212.96</v>
      </c>
      <c r="O72" s="123"/>
      <c r="P72" s="123">
        <f t="shared" si="9"/>
        <v>61363.340000000004</v>
      </c>
      <c r="Q72" s="119"/>
      <c r="R72" s="125">
        <v>29.6</v>
      </c>
      <c r="S72" s="119"/>
      <c r="T72" s="126">
        <f t="shared" si="11"/>
        <v>61568</v>
      </c>
      <c r="U72" s="126">
        <f t="shared" si="7"/>
        <v>288.60000000000002</v>
      </c>
      <c r="V72" s="126"/>
      <c r="W72" s="126"/>
      <c r="X72" s="126">
        <f t="shared" si="8"/>
        <v>61856.6</v>
      </c>
      <c r="Y72" s="120"/>
      <c r="Z72" s="127">
        <f t="shared" si="10"/>
        <v>493.25999999999476</v>
      </c>
      <c r="AB72" s="169"/>
    </row>
    <row r="73" spans="1:28">
      <c r="A73" s="1">
        <v>62</v>
      </c>
      <c r="C73" s="9">
        <v>1</v>
      </c>
      <c r="D73" s="1" t="s">
        <v>478</v>
      </c>
      <c r="E73" s="1">
        <v>633</v>
      </c>
      <c r="F73" s="1" t="s">
        <v>124</v>
      </c>
      <c r="H73" s="206">
        <v>2080</v>
      </c>
      <c r="I73" s="166">
        <v>12.5</v>
      </c>
      <c r="J73" s="166"/>
      <c r="K73" s="167"/>
      <c r="L73" s="123">
        <v>52261.65</v>
      </c>
      <c r="M73" s="123">
        <v>472.71</v>
      </c>
      <c r="N73" s="123"/>
      <c r="O73" s="123"/>
      <c r="P73" s="123">
        <f t="shared" si="9"/>
        <v>52734.36</v>
      </c>
      <c r="Q73" s="119"/>
      <c r="R73" s="125">
        <v>25.74</v>
      </c>
      <c r="S73" s="119"/>
      <c r="T73" s="126">
        <f t="shared" si="11"/>
        <v>53539.199999999997</v>
      </c>
      <c r="U73" s="126">
        <f t="shared" si="7"/>
        <v>482.625</v>
      </c>
      <c r="V73" s="126"/>
      <c r="W73" s="126"/>
      <c r="X73" s="126">
        <f t="shared" si="8"/>
        <v>54021.824999999997</v>
      </c>
      <c r="Y73" s="120"/>
      <c r="Z73" s="127">
        <f t="shared" si="10"/>
        <v>1287.4649999999965</v>
      </c>
      <c r="AB73" s="169"/>
    </row>
    <row r="74" spans="1:28">
      <c r="A74" s="1">
        <v>63</v>
      </c>
      <c r="C74" s="9">
        <v>1</v>
      </c>
      <c r="D74" s="1" t="s">
        <v>479</v>
      </c>
      <c r="E74" s="1">
        <v>634</v>
      </c>
      <c r="F74" s="1" t="s">
        <v>124</v>
      </c>
      <c r="H74" s="206">
        <v>2080</v>
      </c>
      <c r="I74" s="166">
        <v>193</v>
      </c>
      <c r="J74" s="166"/>
      <c r="K74" s="167"/>
      <c r="L74" s="123">
        <v>89098.4</v>
      </c>
      <c r="M74" s="123">
        <v>12377.09</v>
      </c>
      <c r="N74" s="123"/>
      <c r="O74" s="123"/>
      <c r="P74" s="123">
        <f t="shared" si="9"/>
        <v>101475.48999999999</v>
      </c>
      <c r="Q74" s="119"/>
      <c r="R74" s="125">
        <v>46.27</v>
      </c>
      <c r="S74" s="119"/>
      <c r="T74" s="126">
        <f t="shared" si="11"/>
        <v>96241.600000000006</v>
      </c>
      <c r="U74" s="126">
        <f t="shared" si="7"/>
        <v>13395.165000000001</v>
      </c>
      <c r="V74" s="126"/>
      <c r="W74" s="126"/>
      <c r="X74" s="126">
        <f t="shared" si="8"/>
        <v>109636.76500000001</v>
      </c>
      <c r="Y74" s="120"/>
      <c r="Z74" s="127">
        <f t="shared" si="10"/>
        <v>8161.2750000000233</v>
      </c>
      <c r="AB74" s="169"/>
    </row>
    <row r="75" spans="1:28">
      <c r="A75" s="1">
        <v>64</v>
      </c>
      <c r="C75" s="9">
        <v>1</v>
      </c>
      <c r="D75" s="1" t="s">
        <v>480</v>
      </c>
      <c r="E75" s="1">
        <v>635</v>
      </c>
      <c r="F75" s="1" t="s">
        <v>124</v>
      </c>
      <c r="H75" s="206">
        <v>2080</v>
      </c>
      <c r="I75" s="166">
        <v>897.5</v>
      </c>
      <c r="J75" s="166">
        <v>155</v>
      </c>
      <c r="K75" s="167"/>
      <c r="L75" s="123">
        <v>89098.4</v>
      </c>
      <c r="M75" s="123">
        <v>57625.65</v>
      </c>
      <c r="N75" s="123">
        <v>6661.9</v>
      </c>
      <c r="O75" s="123"/>
      <c r="P75" s="123">
        <f t="shared" si="9"/>
        <v>153385.94999999998</v>
      </c>
      <c r="Q75" s="119"/>
      <c r="R75" s="125">
        <v>46.27</v>
      </c>
      <c r="S75" s="119"/>
      <c r="T75" s="126">
        <f t="shared" si="11"/>
        <v>96241.600000000006</v>
      </c>
      <c r="U75" s="126">
        <f t="shared" si="7"/>
        <v>62290.987500000003</v>
      </c>
      <c r="V75" s="126"/>
      <c r="W75" s="126"/>
      <c r="X75" s="126">
        <f t="shared" si="8"/>
        <v>158532.58750000002</v>
      </c>
      <c r="Y75" s="120"/>
      <c r="Z75" s="127">
        <f t="shared" si="10"/>
        <v>5146.6375000000407</v>
      </c>
      <c r="AB75" s="169"/>
    </row>
    <row r="76" spans="1:28">
      <c r="A76" s="1">
        <v>65</v>
      </c>
      <c r="C76" s="9">
        <v>1</v>
      </c>
      <c r="D76" s="1" t="s">
        <v>481</v>
      </c>
      <c r="E76" s="1">
        <v>644</v>
      </c>
      <c r="F76" s="1" t="s">
        <v>124</v>
      </c>
      <c r="H76" s="206">
        <v>2080</v>
      </c>
      <c r="I76" s="166">
        <v>112.25</v>
      </c>
      <c r="J76" s="166"/>
      <c r="K76" s="167" t="s">
        <v>298</v>
      </c>
      <c r="L76" s="123">
        <v>70813.350000000006</v>
      </c>
      <c r="M76" s="123">
        <v>5550.03</v>
      </c>
      <c r="N76" s="123"/>
      <c r="O76" s="123">
        <v>300</v>
      </c>
      <c r="P76" s="123">
        <f t="shared" si="9"/>
        <v>76663.38</v>
      </c>
      <c r="Q76" s="119"/>
      <c r="R76" s="125">
        <v>37.75</v>
      </c>
      <c r="S76" s="119"/>
      <c r="T76" s="126">
        <f t="shared" si="11"/>
        <v>78520</v>
      </c>
      <c r="U76" s="126">
        <f t="shared" si="7"/>
        <v>6356.15625</v>
      </c>
      <c r="V76" s="126"/>
      <c r="W76" s="126"/>
      <c r="X76" s="126">
        <f t="shared" si="8"/>
        <v>84876.15625</v>
      </c>
      <c r="Y76" s="120"/>
      <c r="Z76" s="127">
        <f t="shared" si="10"/>
        <v>8212.7762499999953</v>
      </c>
      <c r="AB76" s="169"/>
    </row>
    <row r="77" spans="1:28">
      <c r="A77" s="1">
        <v>66</v>
      </c>
      <c r="C77" s="9">
        <v>1</v>
      </c>
      <c r="D77" s="1" t="s">
        <v>482</v>
      </c>
      <c r="E77" s="1">
        <v>645</v>
      </c>
      <c r="H77" s="206">
        <v>2080</v>
      </c>
      <c r="I77" s="166"/>
      <c r="J77" s="166"/>
      <c r="K77" s="167"/>
      <c r="L77" s="123">
        <v>52261.599999999999</v>
      </c>
      <c r="M77" s="123"/>
      <c r="N77" s="123"/>
      <c r="O77" s="123">
        <v>300</v>
      </c>
      <c r="P77" s="123">
        <f t="shared" si="9"/>
        <v>52561.599999999999</v>
      </c>
      <c r="Q77" s="119"/>
      <c r="R77" s="125">
        <v>25.74</v>
      </c>
      <c r="S77" s="119"/>
      <c r="T77" s="126">
        <f t="shared" si="11"/>
        <v>53539.199999999997</v>
      </c>
      <c r="U77" s="126">
        <f t="shared" si="7"/>
        <v>0</v>
      </c>
      <c r="V77" s="126"/>
      <c r="W77" s="126"/>
      <c r="X77" s="126">
        <f t="shared" si="8"/>
        <v>53539.199999999997</v>
      </c>
      <c r="Y77" s="120"/>
      <c r="Z77" s="127">
        <f t="shared" si="10"/>
        <v>977.59999999999854</v>
      </c>
      <c r="AB77" s="169"/>
    </row>
    <row r="78" spans="1:28">
      <c r="A78" s="1">
        <v>67</v>
      </c>
      <c r="C78" s="9">
        <v>1</v>
      </c>
      <c r="D78" s="1" t="s">
        <v>483</v>
      </c>
      <c r="E78" s="1">
        <v>652</v>
      </c>
      <c r="H78" s="206">
        <v>1708.5</v>
      </c>
      <c r="I78" s="166"/>
      <c r="J78" s="166"/>
      <c r="K78" s="167"/>
      <c r="L78" s="123">
        <v>62513.49</v>
      </c>
      <c r="M78" s="123"/>
      <c r="N78" s="123"/>
      <c r="O78" s="123"/>
      <c r="P78" s="123">
        <f t="shared" si="9"/>
        <v>62513.49</v>
      </c>
      <c r="Q78" s="119"/>
      <c r="R78" s="125">
        <v>37.75</v>
      </c>
      <c r="S78" s="119"/>
      <c r="T78" s="126">
        <f t="shared" si="11"/>
        <v>78520</v>
      </c>
      <c r="U78" s="126">
        <f t="shared" si="7"/>
        <v>0</v>
      </c>
      <c r="V78" s="126"/>
      <c r="W78" s="126"/>
      <c r="X78" s="126">
        <f t="shared" si="8"/>
        <v>78520</v>
      </c>
      <c r="Y78" s="120"/>
      <c r="Z78" s="127">
        <f t="shared" si="10"/>
        <v>16006.510000000002</v>
      </c>
      <c r="AB78" s="169"/>
    </row>
    <row r="79" spans="1:28">
      <c r="A79" s="1">
        <v>68</v>
      </c>
      <c r="C79" s="9">
        <v>1</v>
      </c>
      <c r="D79" s="1" t="s">
        <v>484</v>
      </c>
      <c r="E79" s="1">
        <v>653</v>
      </c>
      <c r="F79" s="1" t="s">
        <v>123</v>
      </c>
      <c r="H79" s="206">
        <v>0</v>
      </c>
      <c r="I79" s="166"/>
      <c r="J79" s="166">
        <v>645.91</v>
      </c>
      <c r="K79" s="167"/>
      <c r="L79" s="123"/>
      <c r="M79" s="123"/>
      <c r="N79" s="123">
        <v>34233.230000000003</v>
      </c>
      <c r="O79" s="123"/>
      <c r="P79" s="123">
        <f t="shared" si="9"/>
        <v>34233.230000000003</v>
      </c>
      <c r="Q79" s="119"/>
      <c r="R79" s="125"/>
      <c r="S79" s="119"/>
      <c r="T79" s="126">
        <f t="shared" si="11"/>
        <v>0</v>
      </c>
      <c r="U79" s="126">
        <f t="shared" si="7"/>
        <v>0</v>
      </c>
      <c r="V79" s="126"/>
      <c r="W79" s="126"/>
      <c r="X79" s="126">
        <f t="shared" si="8"/>
        <v>0</v>
      </c>
      <c r="Y79" s="120"/>
      <c r="Z79" s="127">
        <f t="shared" si="10"/>
        <v>-34233.230000000003</v>
      </c>
      <c r="AB79" s="169"/>
    </row>
    <row r="80" spans="1:28">
      <c r="A80" s="1">
        <v>69</v>
      </c>
      <c r="C80" s="9">
        <v>1</v>
      </c>
      <c r="D80" s="1" t="s">
        <v>485</v>
      </c>
      <c r="E80" s="1">
        <v>656</v>
      </c>
      <c r="F80" s="1" t="s">
        <v>124</v>
      </c>
      <c r="H80" s="206">
        <v>2016</v>
      </c>
      <c r="I80" s="166">
        <v>938</v>
      </c>
      <c r="J80" s="166"/>
      <c r="K80" s="167"/>
      <c r="L80" s="123">
        <v>86347.68</v>
      </c>
      <c r="M80" s="123">
        <v>60319.17</v>
      </c>
      <c r="N80" s="123"/>
      <c r="O80" s="123"/>
      <c r="P80" s="123">
        <f t="shared" si="9"/>
        <v>146666.84999999998</v>
      </c>
      <c r="Q80" s="119"/>
      <c r="R80" s="125">
        <v>46.27</v>
      </c>
      <c r="S80" s="119"/>
      <c r="T80" s="126">
        <f t="shared" si="11"/>
        <v>96241.600000000006</v>
      </c>
      <c r="U80" s="126">
        <f t="shared" si="7"/>
        <v>65101.89</v>
      </c>
      <c r="V80" s="126"/>
      <c r="W80" s="126"/>
      <c r="X80" s="126">
        <f t="shared" si="8"/>
        <v>161343.49</v>
      </c>
      <c r="Y80" s="120"/>
      <c r="Z80" s="127">
        <f t="shared" si="10"/>
        <v>14676.640000000014</v>
      </c>
      <c r="AB80" s="169"/>
    </row>
    <row r="81" spans="1:28">
      <c r="A81" s="1">
        <v>70</v>
      </c>
      <c r="C81" s="9">
        <v>1</v>
      </c>
      <c r="D81" s="1" t="s">
        <v>486</v>
      </c>
      <c r="E81" s="1">
        <v>657</v>
      </c>
      <c r="F81" s="1" t="s">
        <v>124</v>
      </c>
      <c r="H81" s="206">
        <v>2080</v>
      </c>
      <c r="I81" s="166">
        <v>4.25</v>
      </c>
      <c r="J81" s="166"/>
      <c r="K81" s="167"/>
      <c r="L81" s="123">
        <v>76162.399999999994</v>
      </c>
      <c r="M81" s="123">
        <v>234.25</v>
      </c>
      <c r="N81" s="123"/>
      <c r="O81" s="123"/>
      <c r="P81" s="123">
        <f t="shared" si="9"/>
        <v>76396.649999999994</v>
      </c>
      <c r="Q81" s="119"/>
      <c r="R81" s="125">
        <v>37.75</v>
      </c>
      <c r="S81" s="119"/>
      <c r="T81" s="126">
        <f t="shared" si="11"/>
        <v>78520</v>
      </c>
      <c r="U81" s="126">
        <f t="shared" si="7"/>
        <v>240.65625</v>
      </c>
      <c r="V81" s="126"/>
      <c r="W81" s="126"/>
      <c r="X81" s="126">
        <f t="shared" si="8"/>
        <v>78760.65625</v>
      </c>
      <c r="Y81" s="120"/>
      <c r="Z81" s="127">
        <f t="shared" si="10"/>
        <v>2364.0062500000058</v>
      </c>
      <c r="AB81" s="169"/>
    </row>
    <row r="82" spans="1:28">
      <c r="A82" s="1">
        <v>71</v>
      </c>
      <c r="C82" s="9">
        <v>1</v>
      </c>
      <c r="D82" s="1" t="s">
        <v>487</v>
      </c>
      <c r="E82" s="1">
        <v>660</v>
      </c>
      <c r="H82" s="206">
        <v>2080</v>
      </c>
      <c r="I82" s="166"/>
      <c r="J82" s="166"/>
      <c r="K82" s="167"/>
      <c r="L82" s="123">
        <v>53724.36</v>
      </c>
      <c r="M82" s="123"/>
      <c r="N82" s="123"/>
      <c r="O82" s="123"/>
      <c r="P82" s="123">
        <f t="shared" si="9"/>
        <v>53724.36</v>
      </c>
      <c r="Q82" s="119"/>
      <c r="R82" s="125">
        <v>28.37</v>
      </c>
      <c r="S82" s="119"/>
      <c r="T82" s="126">
        <f t="shared" si="11"/>
        <v>59009.599999999999</v>
      </c>
      <c r="U82" s="126">
        <f t="shared" si="7"/>
        <v>0</v>
      </c>
      <c r="V82" s="126"/>
      <c r="W82" s="126"/>
      <c r="X82" s="126">
        <f t="shared" si="8"/>
        <v>59009.599999999999</v>
      </c>
      <c r="Y82" s="120"/>
      <c r="Z82" s="127">
        <f t="shared" si="10"/>
        <v>5285.239999999998</v>
      </c>
      <c r="AB82" s="169"/>
    </row>
    <row r="83" spans="1:28">
      <c r="A83" s="1">
        <v>72</v>
      </c>
      <c r="C83" s="9">
        <v>1</v>
      </c>
      <c r="D83" s="1" t="s">
        <v>488</v>
      </c>
      <c r="E83" s="1">
        <v>661</v>
      </c>
      <c r="F83" s="1" t="s">
        <v>123</v>
      </c>
      <c r="H83" s="206">
        <v>1120</v>
      </c>
      <c r="I83" s="166">
        <v>0.75</v>
      </c>
      <c r="J83" s="166"/>
      <c r="K83" s="167"/>
      <c r="L83" s="123">
        <v>28235.200000000001</v>
      </c>
      <c r="M83" s="123">
        <v>28.36</v>
      </c>
      <c r="N83" s="123"/>
      <c r="O83" s="123"/>
      <c r="P83" s="123">
        <f t="shared" si="9"/>
        <v>28263.56</v>
      </c>
      <c r="Q83" s="119"/>
      <c r="R83" s="125"/>
      <c r="S83" s="119"/>
      <c r="T83" s="126">
        <f t="shared" si="11"/>
        <v>0</v>
      </c>
      <c r="U83" s="126">
        <f t="shared" si="7"/>
        <v>0</v>
      </c>
      <c r="V83" s="126"/>
      <c r="W83" s="126"/>
      <c r="X83" s="126">
        <f t="shared" si="8"/>
        <v>0</v>
      </c>
      <c r="Y83" s="120"/>
      <c r="Z83" s="127">
        <f t="shared" si="10"/>
        <v>-28263.56</v>
      </c>
      <c r="AB83" s="169"/>
    </row>
    <row r="84" spans="1:28">
      <c r="A84" s="1">
        <v>73</v>
      </c>
      <c r="C84" s="9">
        <v>1</v>
      </c>
      <c r="D84" s="1" t="s">
        <v>489</v>
      </c>
      <c r="E84" s="1">
        <v>662</v>
      </c>
      <c r="H84" s="206">
        <v>2080</v>
      </c>
      <c r="I84" s="166"/>
      <c r="J84" s="166"/>
      <c r="K84" s="167"/>
      <c r="L84" s="123">
        <v>53875.69</v>
      </c>
      <c r="M84" s="123"/>
      <c r="N84" s="123"/>
      <c r="O84" s="123"/>
      <c r="P84" s="123">
        <f t="shared" si="9"/>
        <v>53875.69</v>
      </c>
      <c r="Q84" s="119"/>
      <c r="R84" s="125">
        <v>35.29</v>
      </c>
      <c r="S84" s="119"/>
      <c r="T84" s="126">
        <f t="shared" si="11"/>
        <v>73403.199999999997</v>
      </c>
      <c r="U84" s="126">
        <f t="shared" si="7"/>
        <v>0</v>
      </c>
      <c r="V84" s="126"/>
      <c r="W84" s="126"/>
      <c r="X84" s="126">
        <f t="shared" si="8"/>
        <v>73403.199999999997</v>
      </c>
      <c r="Y84" s="120"/>
      <c r="Z84" s="127">
        <f t="shared" si="10"/>
        <v>19527.509999999995</v>
      </c>
      <c r="AB84" s="169"/>
    </row>
    <row r="85" spans="1:28">
      <c r="A85" s="1">
        <v>74</v>
      </c>
      <c r="C85" s="9">
        <v>1</v>
      </c>
      <c r="D85" s="1" t="s">
        <v>490</v>
      </c>
      <c r="E85" s="1">
        <v>664</v>
      </c>
      <c r="F85" s="1" t="s">
        <v>124</v>
      </c>
      <c r="H85" s="206">
        <v>2080</v>
      </c>
      <c r="I85" s="166">
        <v>11.5</v>
      </c>
      <c r="J85" s="166"/>
      <c r="K85" s="167"/>
      <c r="L85" s="123">
        <v>76162.399999999994</v>
      </c>
      <c r="M85" s="123">
        <v>631.38</v>
      </c>
      <c r="N85" s="123"/>
      <c r="O85" s="123"/>
      <c r="P85" s="123">
        <f t="shared" si="9"/>
        <v>76793.78</v>
      </c>
      <c r="Q85" s="119"/>
      <c r="R85" s="125">
        <v>37.75</v>
      </c>
      <c r="S85" s="119"/>
      <c r="T85" s="126">
        <f t="shared" si="11"/>
        <v>78520</v>
      </c>
      <c r="U85" s="126">
        <f t="shared" si="7"/>
        <v>651.1875</v>
      </c>
      <c r="V85" s="126"/>
      <c r="W85" s="126"/>
      <c r="X85" s="126">
        <f t="shared" si="8"/>
        <v>79171.1875</v>
      </c>
      <c r="Y85" s="120"/>
      <c r="Z85" s="127">
        <f t="shared" si="10"/>
        <v>2377.4075000000012</v>
      </c>
      <c r="AB85" s="169"/>
    </row>
    <row r="86" spans="1:28">
      <c r="A86" s="1">
        <v>75</v>
      </c>
      <c r="C86" s="9">
        <v>1</v>
      </c>
      <c r="D86" s="1" t="s">
        <v>491</v>
      </c>
      <c r="E86" s="1">
        <v>665</v>
      </c>
      <c r="F86" s="1" t="s">
        <v>124</v>
      </c>
      <c r="H86" s="206">
        <v>2080</v>
      </c>
      <c r="I86" s="166">
        <v>13.5</v>
      </c>
      <c r="J86" s="166"/>
      <c r="K86" s="167"/>
      <c r="L86" s="123">
        <v>52261.599999999999</v>
      </c>
      <c r="M86" s="123">
        <v>509.42</v>
      </c>
      <c r="N86" s="123"/>
      <c r="O86" s="123"/>
      <c r="P86" s="123">
        <f t="shared" si="9"/>
        <v>52771.02</v>
      </c>
      <c r="Q86" s="119"/>
      <c r="R86" s="125">
        <v>25.74</v>
      </c>
      <c r="S86" s="119"/>
      <c r="T86" s="126">
        <f t="shared" si="11"/>
        <v>53539.199999999997</v>
      </c>
      <c r="U86" s="126">
        <f t="shared" si="7"/>
        <v>521.2349999999999</v>
      </c>
      <c r="V86" s="126"/>
      <c r="W86" s="126"/>
      <c r="X86" s="126">
        <f t="shared" si="8"/>
        <v>54060.434999999998</v>
      </c>
      <c r="Y86" s="120"/>
      <c r="Z86" s="127">
        <f t="shared" si="10"/>
        <v>1289.4150000000009</v>
      </c>
      <c r="AB86" s="169"/>
    </row>
    <row r="87" spans="1:28">
      <c r="A87" s="1">
        <v>76</v>
      </c>
      <c r="C87" s="9">
        <v>1</v>
      </c>
      <c r="D87" s="1" t="s">
        <v>492</v>
      </c>
      <c r="E87" s="1">
        <v>667</v>
      </c>
      <c r="F87" s="1" t="s">
        <v>124</v>
      </c>
      <c r="H87" s="206">
        <v>2080</v>
      </c>
      <c r="I87" s="166">
        <v>322</v>
      </c>
      <c r="J87" s="166"/>
      <c r="K87" s="167"/>
      <c r="L87" s="123">
        <v>93928</v>
      </c>
      <c r="M87" s="123">
        <v>21833.32</v>
      </c>
      <c r="N87" s="123"/>
      <c r="O87" s="123"/>
      <c r="P87" s="123">
        <f t="shared" si="9"/>
        <v>115761.32</v>
      </c>
      <c r="Q87" s="119"/>
      <c r="R87" s="125">
        <v>48.42</v>
      </c>
      <c r="S87" s="119"/>
      <c r="T87" s="126">
        <f t="shared" si="11"/>
        <v>100713.60000000001</v>
      </c>
      <c r="U87" s="126">
        <f t="shared" si="7"/>
        <v>23386.86</v>
      </c>
      <c r="V87" s="126"/>
      <c r="W87" s="126"/>
      <c r="X87" s="126">
        <f t="shared" si="8"/>
        <v>124100.46</v>
      </c>
      <c r="Y87" s="120"/>
      <c r="Z87" s="127">
        <f t="shared" si="10"/>
        <v>8339.14</v>
      </c>
      <c r="AB87" s="169"/>
    </row>
    <row r="88" spans="1:28">
      <c r="A88" s="1">
        <v>77</v>
      </c>
      <c r="C88" s="9">
        <v>1</v>
      </c>
      <c r="D88" s="1" t="s">
        <v>493</v>
      </c>
      <c r="E88" s="1">
        <v>671</v>
      </c>
      <c r="F88" s="1" t="s">
        <v>124</v>
      </c>
      <c r="H88" s="206">
        <v>2080</v>
      </c>
      <c r="I88" s="166">
        <v>400.5</v>
      </c>
      <c r="J88" s="166"/>
      <c r="K88" s="167"/>
      <c r="L88" s="123">
        <v>89098.4</v>
      </c>
      <c r="M88" s="123">
        <v>25702.15</v>
      </c>
      <c r="N88" s="123"/>
      <c r="O88" s="123">
        <v>200</v>
      </c>
      <c r="P88" s="123">
        <f t="shared" si="9"/>
        <v>115000.54999999999</v>
      </c>
      <c r="Q88" s="119"/>
      <c r="R88" s="125">
        <v>46.27</v>
      </c>
      <c r="S88" s="119"/>
      <c r="T88" s="126">
        <f t="shared" si="11"/>
        <v>96241.600000000006</v>
      </c>
      <c r="U88" s="126">
        <f t="shared" si="7"/>
        <v>27796.702500000003</v>
      </c>
      <c r="V88" s="126"/>
      <c r="W88" s="126"/>
      <c r="X88" s="126">
        <f t="shared" si="8"/>
        <v>124038.30250000001</v>
      </c>
      <c r="Y88" s="120"/>
      <c r="Z88" s="127">
        <f t="shared" si="10"/>
        <v>9037.7525000000169</v>
      </c>
      <c r="AB88" s="169"/>
    </row>
    <row r="89" spans="1:28">
      <c r="A89" s="1">
        <v>78</v>
      </c>
      <c r="C89" s="9">
        <v>1</v>
      </c>
      <c r="D89" s="1" t="s">
        <v>494</v>
      </c>
      <c r="E89" s="1">
        <v>677</v>
      </c>
      <c r="F89" s="1" t="s">
        <v>124</v>
      </c>
      <c r="H89" s="206">
        <v>2080</v>
      </c>
      <c r="I89" s="166">
        <v>247</v>
      </c>
      <c r="J89" s="166"/>
      <c r="K89" s="167"/>
      <c r="L89" s="123">
        <v>76820.66</v>
      </c>
      <c r="M89" s="123">
        <v>13363.1</v>
      </c>
      <c r="N89" s="123"/>
      <c r="O89" s="123"/>
      <c r="P89" s="123">
        <f t="shared" si="9"/>
        <v>90183.760000000009</v>
      </c>
      <c r="Q89" s="119"/>
      <c r="R89" s="125">
        <v>41.02</v>
      </c>
      <c r="S89" s="119"/>
      <c r="T89" s="126">
        <f t="shared" si="11"/>
        <v>85321.600000000006</v>
      </c>
      <c r="U89" s="126">
        <f t="shared" si="7"/>
        <v>15197.91</v>
      </c>
      <c r="V89" s="126"/>
      <c r="W89" s="126"/>
      <c r="X89" s="126">
        <f t="shared" si="8"/>
        <v>100519.51000000001</v>
      </c>
      <c r="Y89" s="120"/>
      <c r="Z89" s="127">
        <f t="shared" si="10"/>
        <v>10335.75</v>
      </c>
      <c r="AB89" s="169"/>
    </row>
    <row r="90" spans="1:28">
      <c r="A90" s="1">
        <v>79</v>
      </c>
      <c r="C90" s="9">
        <v>1</v>
      </c>
      <c r="D90" s="1" t="s">
        <v>495</v>
      </c>
      <c r="E90" s="1">
        <v>678</v>
      </c>
      <c r="F90" s="1" t="s">
        <v>124</v>
      </c>
      <c r="H90" s="206">
        <v>2080</v>
      </c>
      <c r="I90" s="166">
        <v>7.5</v>
      </c>
      <c r="J90" s="166"/>
      <c r="K90" s="167"/>
      <c r="L90" s="123">
        <v>52261.599999999999</v>
      </c>
      <c r="M90" s="123">
        <v>280.06</v>
      </c>
      <c r="N90" s="123"/>
      <c r="O90" s="123"/>
      <c r="P90" s="123">
        <f t="shared" si="9"/>
        <v>52541.659999999996</v>
      </c>
      <c r="Q90" s="119"/>
      <c r="R90" s="125">
        <v>25.74</v>
      </c>
      <c r="S90" s="119"/>
      <c r="T90" s="126">
        <f t="shared" si="11"/>
        <v>53539.199999999997</v>
      </c>
      <c r="U90" s="126">
        <f t="shared" si="7"/>
        <v>289.57499999999999</v>
      </c>
      <c r="V90" s="126"/>
      <c r="W90" s="126"/>
      <c r="X90" s="126">
        <f t="shared" si="8"/>
        <v>53828.774999999994</v>
      </c>
      <c r="Y90" s="120"/>
      <c r="Z90" s="127">
        <f t="shared" si="10"/>
        <v>1287.114999999998</v>
      </c>
      <c r="AB90" s="169"/>
    </row>
    <row r="91" spans="1:28">
      <c r="A91" s="1">
        <v>80</v>
      </c>
      <c r="C91" s="9">
        <v>1</v>
      </c>
      <c r="D91" s="1" t="s">
        <v>496</v>
      </c>
      <c r="E91" s="1">
        <v>679</v>
      </c>
      <c r="F91" s="1" t="s">
        <v>124</v>
      </c>
      <c r="H91" s="206">
        <v>2080</v>
      </c>
      <c r="I91" s="166">
        <v>1.75</v>
      </c>
      <c r="J91" s="166"/>
      <c r="K91" s="167"/>
      <c r="L91" s="123">
        <v>76162.399999999994</v>
      </c>
      <c r="M91" s="123">
        <v>96.45</v>
      </c>
      <c r="N91" s="123"/>
      <c r="O91" s="123"/>
      <c r="P91" s="123">
        <f t="shared" si="9"/>
        <v>76258.849999999991</v>
      </c>
      <c r="Q91" s="119"/>
      <c r="R91" s="125">
        <v>37.75</v>
      </c>
      <c r="S91" s="119"/>
      <c r="T91" s="126">
        <f t="shared" si="11"/>
        <v>78520</v>
      </c>
      <c r="U91" s="126">
        <f t="shared" si="7"/>
        <v>99.09375</v>
      </c>
      <c r="V91" s="126"/>
      <c r="W91" s="126"/>
      <c r="X91" s="126">
        <f t="shared" si="8"/>
        <v>78619.09375</v>
      </c>
      <c r="Y91" s="120"/>
      <c r="Z91" s="127">
        <f t="shared" si="10"/>
        <v>2360.2437500000087</v>
      </c>
      <c r="AB91" s="169"/>
    </row>
    <row r="92" spans="1:28">
      <c r="A92" s="1">
        <v>81</v>
      </c>
      <c r="C92" s="9">
        <v>1</v>
      </c>
      <c r="D92" s="1" t="s">
        <v>497</v>
      </c>
      <c r="E92" s="1">
        <v>681</v>
      </c>
      <c r="F92" s="1" t="s">
        <v>124</v>
      </c>
      <c r="H92" s="206">
        <v>2080</v>
      </c>
      <c r="I92" s="166">
        <v>0.5</v>
      </c>
      <c r="J92" s="166"/>
      <c r="K92" s="167"/>
      <c r="L92" s="123">
        <v>52261.63</v>
      </c>
      <c r="M92" s="123">
        <v>18.91</v>
      </c>
      <c r="N92" s="123"/>
      <c r="O92" s="123"/>
      <c r="P92" s="123">
        <f t="shared" si="9"/>
        <v>52280.54</v>
      </c>
      <c r="Q92" s="119"/>
      <c r="R92" s="125">
        <v>27.03</v>
      </c>
      <c r="S92" s="119"/>
      <c r="T92" s="126">
        <f t="shared" si="11"/>
        <v>56222.400000000001</v>
      </c>
      <c r="U92" s="126">
        <f t="shared" si="7"/>
        <v>20.272500000000001</v>
      </c>
      <c r="V92" s="126"/>
      <c r="W92" s="126"/>
      <c r="X92" s="126">
        <f t="shared" si="8"/>
        <v>56242.672500000001</v>
      </c>
      <c r="Y92" s="120"/>
      <c r="Z92" s="127">
        <f t="shared" si="10"/>
        <v>3962.1324999999997</v>
      </c>
      <c r="AB92" s="169"/>
    </row>
    <row r="93" spans="1:28">
      <c r="A93" s="1">
        <v>82</v>
      </c>
      <c r="C93" s="9">
        <v>1</v>
      </c>
      <c r="D93" s="1" t="s">
        <v>498</v>
      </c>
      <c r="E93" s="1">
        <v>682</v>
      </c>
      <c r="H93" s="206">
        <v>2080</v>
      </c>
      <c r="I93" s="166"/>
      <c r="J93" s="166"/>
      <c r="K93" s="167"/>
      <c r="L93" s="123">
        <v>50591.199999999997</v>
      </c>
      <c r="M93" s="123"/>
      <c r="N93" s="123"/>
      <c r="O93" s="123"/>
      <c r="P93" s="123">
        <f t="shared" si="9"/>
        <v>50591.199999999997</v>
      </c>
      <c r="Q93" s="119"/>
      <c r="R93" s="125">
        <v>25.74</v>
      </c>
      <c r="S93" s="119"/>
      <c r="T93" s="126">
        <f t="shared" si="11"/>
        <v>53539.199999999997</v>
      </c>
      <c r="U93" s="126">
        <f t="shared" si="7"/>
        <v>0</v>
      </c>
      <c r="V93" s="126"/>
      <c r="W93" s="126"/>
      <c r="X93" s="126">
        <f t="shared" si="8"/>
        <v>53539.199999999997</v>
      </c>
      <c r="Y93" s="120"/>
      <c r="Z93" s="127">
        <f t="shared" si="10"/>
        <v>2948</v>
      </c>
      <c r="AB93" s="169"/>
    </row>
    <row r="94" spans="1:28">
      <c r="A94" s="1">
        <v>83</v>
      </c>
      <c r="C94" s="9">
        <v>1</v>
      </c>
      <c r="D94" s="1" t="s">
        <v>499</v>
      </c>
      <c r="E94" s="1">
        <v>684</v>
      </c>
      <c r="F94" s="1" t="s">
        <v>124</v>
      </c>
      <c r="H94" s="206">
        <v>2080</v>
      </c>
      <c r="I94" s="166">
        <v>316</v>
      </c>
      <c r="J94" s="166"/>
      <c r="K94" s="167"/>
      <c r="L94" s="123">
        <v>75282.41</v>
      </c>
      <c r="M94" s="123">
        <v>17110.54</v>
      </c>
      <c r="N94" s="123"/>
      <c r="O94" s="123"/>
      <c r="P94" s="123">
        <f t="shared" si="9"/>
        <v>92392.950000000012</v>
      </c>
      <c r="Q94" s="119"/>
      <c r="R94" s="125">
        <v>38.799999999999997</v>
      </c>
      <c r="S94" s="119"/>
      <c r="T94" s="126">
        <f t="shared" si="11"/>
        <v>80704</v>
      </c>
      <c r="U94" s="126">
        <f t="shared" si="7"/>
        <v>18391.199999999997</v>
      </c>
      <c r="V94" s="126"/>
      <c r="W94" s="126"/>
      <c r="X94" s="126">
        <f t="shared" si="8"/>
        <v>99095.2</v>
      </c>
      <c r="Y94" s="120"/>
      <c r="Z94" s="127">
        <f t="shared" si="10"/>
        <v>6702.2499999999854</v>
      </c>
      <c r="AB94" s="169"/>
    </row>
    <row r="95" spans="1:28">
      <c r="A95" s="1">
        <v>84</v>
      </c>
      <c r="C95" s="9">
        <v>1</v>
      </c>
      <c r="D95" s="1" t="s">
        <v>500</v>
      </c>
      <c r="E95" s="1">
        <v>685</v>
      </c>
      <c r="F95" s="1" t="s">
        <v>123</v>
      </c>
      <c r="H95" s="206">
        <v>56</v>
      </c>
      <c r="I95" s="166"/>
      <c r="J95" s="166">
        <v>32.340000000000003</v>
      </c>
      <c r="K95" s="167"/>
      <c r="L95" s="123">
        <v>1779.12</v>
      </c>
      <c r="M95" s="123"/>
      <c r="N95" s="123">
        <v>1027.44</v>
      </c>
      <c r="O95" s="123"/>
      <c r="P95" s="123">
        <f t="shared" si="9"/>
        <v>2806.56</v>
      </c>
      <c r="Q95" s="119"/>
      <c r="R95" s="125"/>
      <c r="S95" s="119"/>
      <c r="T95" s="126">
        <f t="shared" si="11"/>
        <v>0</v>
      </c>
      <c r="U95" s="126">
        <f t="shared" si="7"/>
        <v>0</v>
      </c>
      <c r="V95" s="126"/>
      <c r="W95" s="126"/>
      <c r="X95" s="126">
        <f t="shared" si="8"/>
        <v>0</v>
      </c>
      <c r="Y95" s="120"/>
      <c r="Z95" s="127">
        <f t="shared" si="10"/>
        <v>-2806.56</v>
      </c>
      <c r="AB95" s="169"/>
    </row>
    <row r="96" spans="1:28">
      <c r="A96" s="1">
        <v>85</v>
      </c>
      <c r="C96" s="9">
        <v>1</v>
      </c>
      <c r="D96" s="1" t="s">
        <v>501</v>
      </c>
      <c r="E96" s="1">
        <v>686</v>
      </c>
      <c r="F96" s="1" t="s">
        <v>124</v>
      </c>
      <c r="H96" s="206">
        <v>2080</v>
      </c>
      <c r="I96" s="166">
        <v>97</v>
      </c>
      <c r="J96" s="166"/>
      <c r="K96" s="167"/>
      <c r="L96" s="123">
        <v>60465.19</v>
      </c>
      <c r="M96" s="123">
        <v>3879.63</v>
      </c>
      <c r="N96" s="123"/>
      <c r="O96" s="123"/>
      <c r="P96" s="123">
        <f t="shared" si="9"/>
        <v>64344.82</v>
      </c>
      <c r="Q96" s="119"/>
      <c r="R96" s="125">
        <v>35.49</v>
      </c>
      <c r="S96" s="119"/>
      <c r="T96" s="126">
        <f t="shared" si="11"/>
        <v>73819.199999999997</v>
      </c>
      <c r="U96" s="126">
        <f t="shared" si="7"/>
        <v>5163.7950000000001</v>
      </c>
      <c r="V96" s="126"/>
      <c r="W96" s="126"/>
      <c r="X96" s="126">
        <f t="shared" si="8"/>
        <v>78982.994999999995</v>
      </c>
      <c r="Y96" s="120"/>
      <c r="Z96" s="127">
        <f t="shared" si="10"/>
        <v>14638.174999999996</v>
      </c>
      <c r="AB96" s="169"/>
    </row>
    <row r="97" spans="1:28">
      <c r="A97" s="1">
        <v>86</v>
      </c>
      <c r="C97" s="9">
        <v>1</v>
      </c>
      <c r="D97" s="1" t="s">
        <v>502</v>
      </c>
      <c r="E97" s="1">
        <v>689</v>
      </c>
      <c r="F97" s="1" t="s">
        <v>124</v>
      </c>
      <c r="H97" s="206">
        <v>2080</v>
      </c>
      <c r="I97" s="166">
        <v>336.5</v>
      </c>
      <c r="J97" s="166"/>
      <c r="K97" s="167"/>
      <c r="L97" s="123">
        <v>93908.160000000003</v>
      </c>
      <c r="M97" s="123">
        <v>22733.96</v>
      </c>
      <c r="N97" s="123"/>
      <c r="O97" s="123"/>
      <c r="P97" s="123">
        <f t="shared" si="9"/>
        <v>116642.12</v>
      </c>
      <c r="Q97" s="119"/>
      <c r="R97" s="125">
        <v>48.42</v>
      </c>
      <c r="S97" s="119"/>
      <c r="T97" s="126">
        <f t="shared" si="11"/>
        <v>100713.60000000001</v>
      </c>
      <c r="U97" s="126">
        <f t="shared" si="7"/>
        <v>24439.994999999999</v>
      </c>
      <c r="V97" s="126"/>
      <c r="W97" s="126"/>
      <c r="X97" s="126">
        <f t="shared" si="8"/>
        <v>125153.595</v>
      </c>
      <c r="Y97" s="120"/>
      <c r="Z97" s="127">
        <f t="shared" si="10"/>
        <v>8511.4750000000058</v>
      </c>
      <c r="AB97" s="169"/>
    </row>
    <row r="98" spans="1:28">
      <c r="A98" s="1">
        <v>87</v>
      </c>
      <c r="C98" s="9">
        <v>1</v>
      </c>
      <c r="D98" s="1" t="s">
        <v>503</v>
      </c>
      <c r="E98" s="1">
        <v>690</v>
      </c>
      <c r="F98" s="1" t="s">
        <v>124</v>
      </c>
      <c r="H98" s="206">
        <v>2024</v>
      </c>
      <c r="I98" s="166">
        <v>336</v>
      </c>
      <c r="J98" s="166"/>
      <c r="K98" s="167"/>
      <c r="L98" s="123">
        <v>86691.520000000004</v>
      </c>
      <c r="M98" s="123">
        <v>21560.71</v>
      </c>
      <c r="N98" s="123"/>
      <c r="O98" s="123"/>
      <c r="P98" s="123">
        <f t="shared" si="9"/>
        <v>108252.23000000001</v>
      </c>
      <c r="Q98" s="119"/>
      <c r="R98" s="125">
        <v>46.27</v>
      </c>
      <c r="S98" s="119"/>
      <c r="T98" s="126">
        <f t="shared" si="11"/>
        <v>96241.600000000006</v>
      </c>
      <c r="U98" s="126">
        <f t="shared" si="7"/>
        <v>23320.080000000002</v>
      </c>
      <c r="V98" s="126"/>
      <c r="W98" s="126"/>
      <c r="X98" s="126">
        <f t="shared" si="8"/>
        <v>119561.68000000001</v>
      </c>
      <c r="Y98" s="120"/>
      <c r="Z98" s="127">
        <f t="shared" si="10"/>
        <v>11309.449999999997</v>
      </c>
      <c r="AB98" s="169"/>
    </row>
    <row r="99" spans="1:28">
      <c r="A99" s="1">
        <v>88</v>
      </c>
      <c r="C99" s="9">
        <v>1</v>
      </c>
      <c r="D99" s="1" t="s">
        <v>504</v>
      </c>
      <c r="E99" s="1">
        <v>691</v>
      </c>
      <c r="F99" s="1" t="s">
        <v>124</v>
      </c>
      <c r="H99" s="206">
        <v>2052.5</v>
      </c>
      <c r="I99" s="166">
        <v>5.75</v>
      </c>
      <c r="J99" s="166"/>
      <c r="K99" s="167" t="s">
        <v>298</v>
      </c>
      <c r="L99" s="123">
        <v>71053.47</v>
      </c>
      <c r="M99" s="123">
        <v>300.44</v>
      </c>
      <c r="N99" s="123"/>
      <c r="O99" s="123"/>
      <c r="P99" s="123">
        <f t="shared" si="9"/>
        <v>71353.91</v>
      </c>
      <c r="Q99" s="119"/>
      <c r="R99" s="125">
        <v>36.869999999999997</v>
      </c>
      <c r="S99" s="119"/>
      <c r="T99" s="126">
        <f t="shared" si="11"/>
        <v>76689.599999999991</v>
      </c>
      <c r="U99" s="126">
        <f t="shared" si="7"/>
        <v>318.00374999999997</v>
      </c>
      <c r="V99" s="126"/>
      <c r="W99" s="126"/>
      <c r="X99" s="126">
        <f t="shared" si="8"/>
        <v>77007.603749999995</v>
      </c>
      <c r="Y99" s="120"/>
      <c r="Z99" s="127">
        <f t="shared" si="10"/>
        <v>5653.6937499999913</v>
      </c>
      <c r="AB99" s="169"/>
    </row>
    <row r="100" spans="1:28">
      <c r="A100" s="1">
        <v>89</v>
      </c>
      <c r="C100" s="9">
        <v>1</v>
      </c>
      <c r="D100" s="1" t="s">
        <v>505</v>
      </c>
      <c r="E100" s="1">
        <v>693</v>
      </c>
      <c r="F100" s="1" t="s">
        <v>124</v>
      </c>
      <c r="H100" s="206">
        <v>2080</v>
      </c>
      <c r="I100" s="166">
        <v>341</v>
      </c>
      <c r="J100" s="166"/>
      <c r="K100" s="167"/>
      <c r="L100" s="123">
        <v>93928</v>
      </c>
      <c r="M100" s="123">
        <v>23071.19</v>
      </c>
      <c r="N100" s="123"/>
      <c r="O100" s="123"/>
      <c r="P100" s="123">
        <f t="shared" si="9"/>
        <v>116999.19</v>
      </c>
      <c r="Q100" s="119"/>
      <c r="R100" s="125">
        <v>48.42</v>
      </c>
      <c r="S100" s="119"/>
      <c r="T100" s="126">
        <f t="shared" si="11"/>
        <v>100713.60000000001</v>
      </c>
      <c r="U100" s="126">
        <f t="shared" si="7"/>
        <v>24766.83</v>
      </c>
      <c r="V100" s="126"/>
      <c r="W100" s="126"/>
      <c r="X100" s="126">
        <f t="shared" si="8"/>
        <v>125480.43000000001</v>
      </c>
      <c r="Y100" s="120"/>
      <c r="Z100" s="127">
        <f t="shared" si="10"/>
        <v>8481.2400000000052</v>
      </c>
      <c r="AB100" s="169"/>
    </row>
    <row r="101" spans="1:28">
      <c r="A101" s="1">
        <v>90</v>
      </c>
      <c r="C101" s="9">
        <v>1</v>
      </c>
      <c r="D101" s="1" t="s">
        <v>506</v>
      </c>
      <c r="E101" s="1">
        <v>694</v>
      </c>
      <c r="F101" s="1" t="s">
        <v>123</v>
      </c>
      <c r="H101" s="206">
        <v>320</v>
      </c>
      <c r="I101" s="166">
        <v>71</v>
      </c>
      <c r="J101" s="166">
        <v>318.35000000000002</v>
      </c>
      <c r="K101" s="167"/>
      <c r="L101" s="123">
        <v>13453.6</v>
      </c>
      <c r="M101" s="123">
        <v>4493.95</v>
      </c>
      <c r="N101" s="168">
        <v>10244.280000000001</v>
      </c>
      <c r="O101" s="168">
        <v>3438.4</v>
      </c>
      <c r="P101" s="123">
        <f t="shared" si="9"/>
        <v>31630.230000000003</v>
      </c>
      <c r="Q101" s="119"/>
      <c r="R101" s="125"/>
      <c r="S101" s="119"/>
      <c r="T101" s="126">
        <f t="shared" si="11"/>
        <v>0</v>
      </c>
      <c r="U101" s="126">
        <f t="shared" si="7"/>
        <v>0</v>
      </c>
      <c r="V101" s="126"/>
      <c r="W101" s="126"/>
      <c r="X101" s="126">
        <f t="shared" si="8"/>
        <v>0</v>
      </c>
      <c r="Y101" s="120"/>
      <c r="Z101" s="127">
        <f t="shared" si="10"/>
        <v>-31630.230000000003</v>
      </c>
      <c r="AB101" s="169"/>
    </row>
    <row r="102" spans="1:28">
      <c r="A102" s="1">
        <v>91</v>
      </c>
      <c r="C102" s="9">
        <v>1</v>
      </c>
      <c r="D102" s="1" t="s">
        <v>507</v>
      </c>
      <c r="E102" s="1">
        <v>695</v>
      </c>
      <c r="F102" s="1" t="s">
        <v>124</v>
      </c>
      <c r="H102" s="206">
        <v>2080</v>
      </c>
      <c r="I102" s="166">
        <v>508</v>
      </c>
      <c r="J102" s="166"/>
      <c r="K102" s="167"/>
      <c r="L102" s="123">
        <v>89098.4</v>
      </c>
      <c r="M102" s="123">
        <v>32585.77</v>
      </c>
      <c r="N102" s="123"/>
      <c r="O102" s="123"/>
      <c r="P102" s="123">
        <f t="shared" si="9"/>
        <v>121684.17</v>
      </c>
      <c r="Q102" s="119"/>
      <c r="R102" s="125">
        <v>46.27</v>
      </c>
      <c r="S102" s="119"/>
      <c r="T102" s="126">
        <f t="shared" si="11"/>
        <v>96241.600000000006</v>
      </c>
      <c r="U102" s="126">
        <f t="shared" ref="U102:U165" si="12">(+I102*R102)*1.5</f>
        <v>35257.74</v>
      </c>
      <c r="V102" s="126"/>
      <c r="W102" s="126"/>
      <c r="X102" s="126">
        <f t="shared" ref="X102:X165" si="13">SUM(T102:W102)</f>
        <v>131499.34</v>
      </c>
      <c r="Y102" s="120"/>
      <c r="Z102" s="127">
        <f t="shared" si="10"/>
        <v>9815.1699999999983</v>
      </c>
      <c r="AB102" s="169"/>
    </row>
    <row r="103" spans="1:28">
      <c r="A103" s="1">
        <v>92</v>
      </c>
      <c r="C103" s="9">
        <v>1</v>
      </c>
      <c r="D103" s="1" t="s">
        <v>508</v>
      </c>
      <c r="E103" s="1">
        <v>696</v>
      </c>
      <c r="F103" s="1" t="s">
        <v>124</v>
      </c>
      <c r="H103" s="206">
        <v>2080</v>
      </c>
      <c r="I103" s="166">
        <v>429.5</v>
      </c>
      <c r="J103" s="166"/>
      <c r="K103" s="167"/>
      <c r="L103" s="123">
        <v>89098.4</v>
      </c>
      <c r="M103" s="123">
        <v>27605.51</v>
      </c>
      <c r="N103" s="123"/>
      <c r="O103" s="123"/>
      <c r="P103" s="123">
        <f t="shared" ref="P103:P166" si="14">SUM(L103:O103)</f>
        <v>116703.90999999999</v>
      </c>
      <c r="Q103" s="119"/>
      <c r="R103" s="125">
        <v>46.27</v>
      </c>
      <c r="S103" s="119"/>
      <c r="T103" s="126">
        <f t="shared" si="11"/>
        <v>96241.600000000006</v>
      </c>
      <c r="U103" s="126">
        <f t="shared" si="12"/>
        <v>29809.447500000002</v>
      </c>
      <c r="V103" s="126"/>
      <c r="W103" s="126"/>
      <c r="X103" s="126">
        <f t="shared" si="13"/>
        <v>126051.04750000002</v>
      </c>
      <c r="Y103" s="120"/>
      <c r="Z103" s="127">
        <f t="shared" ref="Z103:Z166" si="15">X103-P103</f>
        <v>9347.1375000000262</v>
      </c>
      <c r="AB103" s="169"/>
    </row>
    <row r="104" spans="1:28">
      <c r="A104" s="1">
        <v>93</v>
      </c>
      <c r="C104" s="9">
        <v>1</v>
      </c>
      <c r="D104" s="1" t="s">
        <v>509</v>
      </c>
      <c r="E104" s="1">
        <v>697</v>
      </c>
      <c r="F104" s="1" t="s">
        <v>124</v>
      </c>
      <c r="H104" s="206">
        <v>2080</v>
      </c>
      <c r="I104" s="166">
        <v>456.5</v>
      </c>
      <c r="J104" s="166"/>
      <c r="K104" s="167"/>
      <c r="L104" s="123">
        <v>90221.6</v>
      </c>
      <c r="M104" s="123">
        <v>29632.21</v>
      </c>
      <c r="N104" s="123"/>
      <c r="O104" s="123"/>
      <c r="P104" s="123">
        <f t="shared" si="14"/>
        <v>119853.81</v>
      </c>
      <c r="Q104" s="119"/>
      <c r="R104" s="125">
        <v>48.42</v>
      </c>
      <c r="S104" s="119"/>
      <c r="T104" s="126">
        <f t="shared" ref="T104:T167" si="16">R104*2080</f>
        <v>100713.60000000001</v>
      </c>
      <c r="U104" s="126">
        <f t="shared" si="12"/>
        <v>33155.595000000001</v>
      </c>
      <c r="V104" s="126"/>
      <c r="W104" s="126"/>
      <c r="X104" s="126">
        <f t="shared" si="13"/>
        <v>133869.19500000001</v>
      </c>
      <c r="Y104" s="120"/>
      <c r="Z104" s="127">
        <f t="shared" si="15"/>
        <v>14015.385000000009</v>
      </c>
      <c r="AB104" s="169"/>
    </row>
    <row r="105" spans="1:28">
      <c r="A105" s="1">
        <v>94</v>
      </c>
      <c r="C105" s="9">
        <v>1</v>
      </c>
      <c r="D105" s="1" t="s">
        <v>510</v>
      </c>
      <c r="E105" s="1">
        <v>699</v>
      </c>
      <c r="F105" s="1" t="s">
        <v>124</v>
      </c>
      <c r="H105" s="206">
        <v>2080</v>
      </c>
      <c r="I105" s="166">
        <v>653.5</v>
      </c>
      <c r="J105" s="166"/>
      <c r="K105" s="167"/>
      <c r="L105" s="123">
        <v>89097.68</v>
      </c>
      <c r="M105" s="123">
        <v>41883.17</v>
      </c>
      <c r="N105" s="123"/>
      <c r="O105" s="123"/>
      <c r="P105" s="123">
        <f t="shared" si="14"/>
        <v>130980.84999999999</v>
      </c>
      <c r="Q105" s="119"/>
      <c r="R105" s="125">
        <v>48.42</v>
      </c>
      <c r="S105" s="119"/>
      <c r="T105" s="126">
        <f t="shared" si="16"/>
        <v>100713.60000000001</v>
      </c>
      <c r="U105" s="126">
        <f t="shared" si="12"/>
        <v>47463.705000000002</v>
      </c>
      <c r="V105" s="126"/>
      <c r="W105" s="126"/>
      <c r="X105" s="126">
        <f t="shared" si="13"/>
        <v>148177.30499999999</v>
      </c>
      <c r="Y105" s="120"/>
      <c r="Z105" s="127">
        <f t="shared" si="15"/>
        <v>17196.455000000002</v>
      </c>
      <c r="AB105" s="169"/>
    </row>
    <row r="106" spans="1:28">
      <c r="A106" s="1">
        <v>95</v>
      </c>
      <c r="C106" s="9">
        <v>1</v>
      </c>
      <c r="D106" s="1" t="s">
        <v>511</v>
      </c>
      <c r="E106" s="1">
        <v>700</v>
      </c>
      <c r="F106" s="1" t="s">
        <v>124</v>
      </c>
      <c r="H106" s="206">
        <v>2080</v>
      </c>
      <c r="I106" s="166">
        <v>157.5</v>
      </c>
      <c r="J106" s="166">
        <v>31</v>
      </c>
      <c r="K106" s="167"/>
      <c r="L106" s="123">
        <v>70250.89</v>
      </c>
      <c r="M106" s="123">
        <v>8093.32</v>
      </c>
      <c r="N106" s="123">
        <v>1065.04</v>
      </c>
      <c r="O106" s="123"/>
      <c r="P106" s="123">
        <f t="shared" si="14"/>
        <v>79409.249999999985</v>
      </c>
      <c r="Q106" s="119"/>
      <c r="R106" s="125">
        <v>34.49</v>
      </c>
      <c r="S106" s="119"/>
      <c r="T106" s="126">
        <f t="shared" si="16"/>
        <v>71739.199999999997</v>
      </c>
      <c r="U106" s="126">
        <f t="shared" si="12"/>
        <v>8148.2625000000007</v>
      </c>
      <c r="V106" s="126"/>
      <c r="W106" s="126"/>
      <c r="X106" s="126">
        <f t="shared" si="13"/>
        <v>79887.462499999994</v>
      </c>
      <c r="Y106" s="120"/>
      <c r="Z106" s="127">
        <f t="shared" si="15"/>
        <v>478.21250000000873</v>
      </c>
      <c r="AB106" s="169"/>
    </row>
    <row r="107" spans="1:28">
      <c r="A107" s="1">
        <v>96</v>
      </c>
      <c r="C107" s="9">
        <v>1</v>
      </c>
      <c r="D107" s="1" t="s">
        <v>512</v>
      </c>
      <c r="E107" s="1">
        <v>701</v>
      </c>
      <c r="F107" s="1" t="s">
        <v>124</v>
      </c>
      <c r="H107" s="206">
        <v>2080</v>
      </c>
      <c r="I107" s="166">
        <v>20</v>
      </c>
      <c r="J107" s="166"/>
      <c r="K107" s="167"/>
      <c r="L107" s="123">
        <v>52261.61</v>
      </c>
      <c r="M107" s="123">
        <v>753.84</v>
      </c>
      <c r="N107" s="123"/>
      <c r="O107" s="123"/>
      <c r="P107" s="123">
        <f t="shared" si="14"/>
        <v>53015.45</v>
      </c>
      <c r="Q107" s="119"/>
      <c r="R107" s="125">
        <v>25.74</v>
      </c>
      <c r="S107" s="119"/>
      <c r="T107" s="126">
        <f t="shared" si="16"/>
        <v>53539.199999999997</v>
      </c>
      <c r="U107" s="126">
        <f t="shared" si="12"/>
        <v>772.19999999999993</v>
      </c>
      <c r="V107" s="126"/>
      <c r="W107" s="126"/>
      <c r="X107" s="126">
        <f t="shared" si="13"/>
        <v>54311.399999999994</v>
      </c>
      <c r="Y107" s="120"/>
      <c r="Z107" s="127">
        <f t="shared" si="15"/>
        <v>1295.9499999999971</v>
      </c>
      <c r="AB107" s="169"/>
    </row>
    <row r="108" spans="1:28">
      <c r="A108" s="1">
        <v>97</v>
      </c>
      <c r="C108" s="9">
        <v>1</v>
      </c>
      <c r="D108" s="1" t="s">
        <v>513</v>
      </c>
      <c r="E108" s="1">
        <v>705</v>
      </c>
      <c r="F108" s="1" t="s">
        <v>124</v>
      </c>
      <c r="H108" s="206">
        <v>2080</v>
      </c>
      <c r="I108" s="166">
        <v>446</v>
      </c>
      <c r="J108" s="166"/>
      <c r="K108" s="167"/>
      <c r="L108" s="123">
        <v>70749.11</v>
      </c>
      <c r="M108" s="123">
        <v>22820.19</v>
      </c>
      <c r="N108" s="123"/>
      <c r="O108" s="123">
        <v>100</v>
      </c>
      <c r="P108" s="123">
        <f t="shared" si="14"/>
        <v>93669.3</v>
      </c>
      <c r="Q108" s="119"/>
      <c r="R108" s="125">
        <v>41.9</v>
      </c>
      <c r="S108" s="119"/>
      <c r="T108" s="126">
        <f t="shared" si="16"/>
        <v>87152</v>
      </c>
      <c r="U108" s="126">
        <f t="shared" si="12"/>
        <v>28031.1</v>
      </c>
      <c r="V108" s="126"/>
      <c r="W108" s="126"/>
      <c r="X108" s="126">
        <f t="shared" si="13"/>
        <v>115183.1</v>
      </c>
      <c r="Y108" s="120"/>
      <c r="Z108" s="127">
        <f t="shared" si="15"/>
        <v>21513.800000000003</v>
      </c>
      <c r="AB108" s="169"/>
    </row>
    <row r="109" spans="1:28">
      <c r="A109" s="1">
        <v>98</v>
      </c>
      <c r="C109" s="9">
        <v>1</v>
      </c>
      <c r="D109" s="1" t="s">
        <v>514</v>
      </c>
      <c r="E109" s="1">
        <v>706</v>
      </c>
      <c r="F109" s="1" t="s">
        <v>124</v>
      </c>
      <c r="H109" s="206">
        <v>2080</v>
      </c>
      <c r="I109" s="166">
        <v>371</v>
      </c>
      <c r="J109" s="166"/>
      <c r="K109" s="167"/>
      <c r="L109" s="123">
        <v>86816.8</v>
      </c>
      <c r="M109" s="123">
        <v>23041.58</v>
      </c>
      <c r="N109" s="123"/>
      <c r="O109" s="123">
        <v>100</v>
      </c>
      <c r="P109" s="123">
        <f t="shared" si="14"/>
        <v>109958.38</v>
      </c>
      <c r="Q109" s="119"/>
      <c r="R109" s="125">
        <v>46.27</v>
      </c>
      <c r="S109" s="119"/>
      <c r="T109" s="126">
        <f t="shared" si="16"/>
        <v>96241.600000000006</v>
      </c>
      <c r="U109" s="126">
        <f t="shared" si="12"/>
        <v>25749.255000000005</v>
      </c>
      <c r="V109" s="126"/>
      <c r="W109" s="126"/>
      <c r="X109" s="126">
        <f t="shared" si="13"/>
        <v>121990.85500000001</v>
      </c>
      <c r="Y109" s="120"/>
      <c r="Z109" s="127">
        <f t="shared" si="15"/>
        <v>12032.475000000006</v>
      </c>
      <c r="AB109" s="169"/>
    </row>
    <row r="110" spans="1:28">
      <c r="A110" s="1">
        <v>99</v>
      </c>
      <c r="C110" s="9">
        <v>1</v>
      </c>
      <c r="D110" s="1" t="s">
        <v>515</v>
      </c>
      <c r="E110" s="1">
        <v>707</v>
      </c>
      <c r="F110" s="1" t="s">
        <v>124</v>
      </c>
      <c r="H110" s="206">
        <v>2080</v>
      </c>
      <c r="I110" s="166">
        <v>410.5</v>
      </c>
      <c r="J110" s="166"/>
      <c r="K110" s="167"/>
      <c r="L110" s="123">
        <v>87718.8</v>
      </c>
      <c r="M110" s="123">
        <v>25907.5</v>
      </c>
      <c r="N110" s="123"/>
      <c r="O110" s="123">
        <v>100</v>
      </c>
      <c r="P110" s="123">
        <f t="shared" si="14"/>
        <v>113726.3</v>
      </c>
      <c r="Q110" s="119"/>
      <c r="R110" s="125">
        <v>46.27</v>
      </c>
      <c r="S110" s="119"/>
      <c r="T110" s="126">
        <f t="shared" si="16"/>
        <v>96241.600000000006</v>
      </c>
      <c r="U110" s="126">
        <f t="shared" si="12"/>
        <v>28490.752500000002</v>
      </c>
      <c r="V110" s="126"/>
      <c r="W110" s="126"/>
      <c r="X110" s="126">
        <f t="shared" si="13"/>
        <v>124732.35250000001</v>
      </c>
      <c r="Y110" s="120"/>
      <c r="Z110" s="127">
        <f t="shared" si="15"/>
        <v>11006.052500000005</v>
      </c>
      <c r="AB110" s="169"/>
    </row>
    <row r="111" spans="1:28">
      <c r="A111" s="1">
        <v>100</v>
      </c>
      <c r="C111" s="9">
        <v>1</v>
      </c>
      <c r="D111" s="1" t="s">
        <v>516</v>
      </c>
      <c r="E111" s="1">
        <v>711</v>
      </c>
      <c r="F111" s="1" t="s">
        <v>124</v>
      </c>
      <c r="H111" s="206">
        <v>2080</v>
      </c>
      <c r="I111" s="166">
        <v>548</v>
      </c>
      <c r="J111" s="166"/>
      <c r="K111" s="167"/>
      <c r="L111" s="123">
        <v>89619.199999999997</v>
      </c>
      <c r="M111" s="123">
        <v>35350.33</v>
      </c>
      <c r="N111" s="123"/>
      <c r="O111" s="123">
        <v>100</v>
      </c>
      <c r="P111" s="123">
        <f t="shared" si="14"/>
        <v>125069.53</v>
      </c>
      <c r="Q111" s="119"/>
      <c r="R111" s="125">
        <v>48.42</v>
      </c>
      <c r="S111" s="119"/>
      <c r="T111" s="126">
        <f t="shared" si="16"/>
        <v>100713.60000000001</v>
      </c>
      <c r="U111" s="126">
        <f t="shared" si="12"/>
        <v>39801.24</v>
      </c>
      <c r="V111" s="126"/>
      <c r="W111" s="126"/>
      <c r="X111" s="126">
        <f t="shared" si="13"/>
        <v>140514.84</v>
      </c>
      <c r="Y111" s="120"/>
      <c r="Z111" s="127">
        <f t="shared" si="15"/>
        <v>15445.309999999998</v>
      </c>
      <c r="AB111" s="169"/>
    </row>
    <row r="112" spans="1:28">
      <c r="A112" s="1">
        <v>101</v>
      </c>
      <c r="C112" s="9">
        <v>1</v>
      </c>
      <c r="D112" s="1" t="s">
        <v>517</v>
      </c>
      <c r="E112" s="1">
        <v>712</v>
      </c>
      <c r="F112" s="1" t="s">
        <v>124</v>
      </c>
      <c r="H112" s="206">
        <v>1536</v>
      </c>
      <c r="I112" s="166">
        <v>0.75</v>
      </c>
      <c r="J112" s="166"/>
      <c r="K112" s="167"/>
      <c r="L112" s="123">
        <v>38576.36</v>
      </c>
      <c r="M112" s="123">
        <v>28.36</v>
      </c>
      <c r="N112" s="123"/>
      <c r="O112" s="168">
        <v>100</v>
      </c>
      <c r="P112" s="123">
        <f t="shared" si="14"/>
        <v>38704.720000000001</v>
      </c>
      <c r="Q112" s="119"/>
      <c r="R112" s="125">
        <v>25.74</v>
      </c>
      <c r="S112" s="119"/>
      <c r="T112" s="126">
        <f t="shared" si="16"/>
        <v>53539.199999999997</v>
      </c>
      <c r="U112" s="126">
        <f t="shared" si="12"/>
        <v>28.9575</v>
      </c>
      <c r="V112" s="126"/>
      <c r="W112" s="126"/>
      <c r="X112" s="126">
        <f t="shared" si="13"/>
        <v>53568.157499999994</v>
      </c>
      <c r="Y112" s="120"/>
      <c r="Z112" s="127">
        <f t="shared" si="15"/>
        <v>14863.437499999993</v>
      </c>
      <c r="AB112" s="169"/>
    </row>
    <row r="113" spans="1:28">
      <c r="A113" s="1">
        <v>102</v>
      </c>
      <c r="C113" s="9">
        <v>1</v>
      </c>
      <c r="D113" s="1" t="s">
        <v>518</v>
      </c>
      <c r="E113" s="1">
        <v>714</v>
      </c>
      <c r="F113" s="1" t="s">
        <v>123</v>
      </c>
      <c r="H113" s="206">
        <v>2080</v>
      </c>
      <c r="I113" s="166">
        <v>277.5</v>
      </c>
      <c r="J113" s="166"/>
      <c r="K113" s="167"/>
      <c r="L113" s="123">
        <v>92837.1</v>
      </c>
      <c r="M113" s="123">
        <v>17133.18</v>
      </c>
      <c r="N113" s="123"/>
      <c r="O113" s="123">
        <v>100</v>
      </c>
      <c r="P113" s="123">
        <f t="shared" si="14"/>
        <v>110070.28</v>
      </c>
      <c r="Q113" s="119"/>
      <c r="R113" s="125"/>
      <c r="S113" s="119"/>
      <c r="T113" s="126">
        <f t="shared" si="16"/>
        <v>0</v>
      </c>
      <c r="U113" s="126">
        <f t="shared" si="12"/>
        <v>0</v>
      </c>
      <c r="V113" s="126"/>
      <c r="W113" s="126"/>
      <c r="X113" s="126">
        <f t="shared" si="13"/>
        <v>0</v>
      </c>
      <c r="Y113" s="120"/>
      <c r="Z113" s="127">
        <f t="shared" si="15"/>
        <v>-110070.28</v>
      </c>
      <c r="AB113" s="169"/>
    </row>
    <row r="114" spans="1:28">
      <c r="A114" s="1">
        <v>103</v>
      </c>
      <c r="C114" s="9">
        <v>1</v>
      </c>
      <c r="D114" s="1" t="s">
        <v>519</v>
      </c>
      <c r="E114" s="1">
        <v>715</v>
      </c>
      <c r="F114" s="1" t="s">
        <v>124</v>
      </c>
      <c r="H114" s="206">
        <v>2080</v>
      </c>
      <c r="I114" s="166">
        <v>1.75</v>
      </c>
      <c r="J114" s="166"/>
      <c r="K114" s="167"/>
      <c r="L114" s="123">
        <v>52261.63</v>
      </c>
      <c r="M114" s="123">
        <v>66.17</v>
      </c>
      <c r="N114" s="123"/>
      <c r="O114" s="123">
        <v>100</v>
      </c>
      <c r="P114" s="123">
        <f t="shared" si="14"/>
        <v>52427.799999999996</v>
      </c>
      <c r="Q114" s="119"/>
      <c r="R114" s="125">
        <v>25.74</v>
      </c>
      <c r="S114" s="119"/>
      <c r="T114" s="126">
        <f t="shared" si="16"/>
        <v>53539.199999999997</v>
      </c>
      <c r="U114" s="126">
        <f t="shared" si="12"/>
        <v>67.567499999999995</v>
      </c>
      <c r="V114" s="126"/>
      <c r="W114" s="126"/>
      <c r="X114" s="126">
        <f t="shared" si="13"/>
        <v>53606.767499999994</v>
      </c>
      <c r="Y114" s="120"/>
      <c r="Z114" s="127">
        <f t="shared" si="15"/>
        <v>1178.9674999999988</v>
      </c>
      <c r="AB114" s="169"/>
    </row>
    <row r="115" spans="1:28">
      <c r="A115" s="1">
        <v>104</v>
      </c>
      <c r="C115" s="9">
        <v>1</v>
      </c>
      <c r="D115" s="1" t="s">
        <v>520</v>
      </c>
      <c r="E115" s="1">
        <v>718</v>
      </c>
      <c r="F115" s="1" t="s">
        <v>124</v>
      </c>
      <c r="H115" s="206">
        <v>440</v>
      </c>
      <c r="I115" s="166">
        <v>21</v>
      </c>
      <c r="J115" s="166"/>
      <c r="K115" s="167"/>
      <c r="L115" s="123">
        <v>12539.2</v>
      </c>
      <c r="M115" s="123">
        <v>899.64</v>
      </c>
      <c r="N115" s="123"/>
      <c r="O115" s="123"/>
      <c r="P115" s="123">
        <f t="shared" si="14"/>
        <v>13438.84</v>
      </c>
      <c r="Q115" s="119"/>
      <c r="R115" s="125">
        <v>36.86</v>
      </c>
      <c r="S115" s="119"/>
      <c r="T115" s="126">
        <f t="shared" si="16"/>
        <v>76668.800000000003</v>
      </c>
      <c r="U115" s="126">
        <f t="shared" si="12"/>
        <v>1161.0899999999999</v>
      </c>
      <c r="V115" s="126"/>
      <c r="W115" s="126"/>
      <c r="X115" s="126">
        <f t="shared" si="13"/>
        <v>77829.89</v>
      </c>
      <c r="Y115" s="120"/>
      <c r="Z115" s="127">
        <f t="shared" si="15"/>
        <v>64391.05</v>
      </c>
      <c r="AB115" s="169"/>
    </row>
    <row r="116" spans="1:28">
      <c r="A116" s="1">
        <v>105</v>
      </c>
      <c r="C116" s="9">
        <v>1</v>
      </c>
      <c r="D116" s="1" t="s">
        <v>521</v>
      </c>
      <c r="E116" s="1">
        <v>719</v>
      </c>
      <c r="F116" s="1" t="s">
        <v>123</v>
      </c>
      <c r="H116" s="206">
        <v>928</v>
      </c>
      <c r="I116" s="166">
        <v>209.5</v>
      </c>
      <c r="J116" s="166">
        <v>192.41</v>
      </c>
      <c r="K116" s="167"/>
      <c r="L116" s="123">
        <v>35872.25</v>
      </c>
      <c r="M116" s="123">
        <v>12106.83</v>
      </c>
      <c r="N116" s="168">
        <v>4378.37</v>
      </c>
      <c r="O116" s="168">
        <v>3116</v>
      </c>
      <c r="P116" s="123">
        <f t="shared" si="14"/>
        <v>55473.450000000004</v>
      </c>
      <c r="Q116" s="119"/>
      <c r="R116" s="125"/>
      <c r="S116" s="119"/>
      <c r="T116" s="126">
        <f t="shared" si="16"/>
        <v>0</v>
      </c>
      <c r="U116" s="126">
        <f t="shared" si="12"/>
        <v>0</v>
      </c>
      <c r="V116" s="126"/>
      <c r="W116" s="126"/>
      <c r="X116" s="126">
        <f t="shared" si="13"/>
        <v>0</v>
      </c>
      <c r="Y116" s="120"/>
      <c r="Z116" s="127">
        <f t="shared" si="15"/>
        <v>-55473.450000000004</v>
      </c>
      <c r="AB116" s="169"/>
    </row>
    <row r="117" spans="1:28">
      <c r="A117" s="1">
        <v>106</v>
      </c>
      <c r="C117" s="9">
        <v>1</v>
      </c>
      <c r="D117" s="1" t="s">
        <v>522</v>
      </c>
      <c r="E117" s="1">
        <v>720</v>
      </c>
      <c r="F117" s="1" t="s">
        <v>123</v>
      </c>
      <c r="H117" s="206">
        <v>1192</v>
      </c>
      <c r="I117" s="166">
        <v>357.3</v>
      </c>
      <c r="J117" s="166">
        <v>80.81</v>
      </c>
      <c r="K117" s="167"/>
      <c r="L117" s="123">
        <v>41862.080000000002</v>
      </c>
      <c r="M117" s="123">
        <v>18757.46</v>
      </c>
      <c r="N117" s="168">
        <v>639.45000000000005</v>
      </c>
      <c r="O117" s="168">
        <v>2434.56</v>
      </c>
      <c r="P117" s="123">
        <f t="shared" si="14"/>
        <v>63693.549999999996</v>
      </c>
      <c r="Q117" s="119"/>
      <c r="R117" s="125"/>
      <c r="S117" s="119"/>
      <c r="T117" s="126">
        <f t="shared" si="16"/>
        <v>0</v>
      </c>
      <c r="U117" s="126">
        <f t="shared" si="12"/>
        <v>0</v>
      </c>
      <c r="V117" s="126"/>
      <c r="W117" s="126"/>
      <c r="X117" s="126">
        <f t="shared" si="13"/>
        <v>0</v>
      </c>
      <c r="Y117" s="120"/>
      <c r="Z117" s="127">
        <f t="shared" si="15"/>
        <v>-63693.549999999996</v>
      </c>
      <c r="AB117" s="169"/>
    </row>
    <row r="118" spans="1:28">
      <c r="A118" s="1">
        <v>107</v>
      </c>
      <c r="C118" s="9">
        <v>1</v>
      </c>
      <c r="D118" s="1" t="s">
        <v>523</v>
      </c>
      <c r="E118" s="1">
        <v>721</v>
      </c>
      <c r="F118" s="1" t="s">
        <v>124</v>
      </c>
      <c r="H118" s="206">
        <v>2080</v>
      </c>
      <c r="I118" s="166">
        <v>77.5</v>
      </c>
      <c r="J118" s="166"/>
      <c r="K118" s="167"/>
      <c r="L118" s="123">
        <v>65494.400000000001</v>
      </c>
      <c r="M118" s="123">
        <v>3517.32</v>
      </c>
      <c r="N118" s="123"/>
      <c r="O118" s="123"/>
      <c r="P118" s="123">
        <f t="shared" si="14"/>
        <v>69011.72</v>
      </c>
      <c r="Q118" s="119"/>
      <c r="R118" s="125">
        <v>36.86</v>
      </c>
      <c r="S118" s="119"/>
      <c r="T118" s="126">
        <f t="shared" si="16"/>
        <v>76668.800000000003</v>
      </c>
      <c r="U118" s="126">
        <f t="shared" si="12"/>
        <v>4284.9750000000004</v>
      </c>
      <c r="V118" s="126"/>
      <c r="W118" s="126"/>
      <c r="X118" s="126">
        <f t="shared" si="13"/>
        <v>80953.775000000009</v>
      </c>
      <c r="Y118" s="120"/>
      <c r="Z118" s="127">
        <f t="shared" si="15"/>
        <v>11942.055000000008</v>
      </c>
      <c r="AB118" s="169"/>
    </row>
    <row r="119" spans="1:28">
      <c r="A119" s="1">
        <v>108</v>
      </c>
      <c r="C119" s="9">
        <v>1</v>
      </c>
      <c r="D119" s="1" t="s">
        <v>524</v>
      </c>
      <c r="E119" s="1">
        <v>722</v>
      </c>
      <c r="F119" s="1" t="s">
        <v>124</v>
      </c>
      <c r="H119" s="206">
        <v>2080</v>
      </c>
      <c r="I119" s="166">
        <v>228.5</v>
      </c>
      <c r="J119" s="166"/>
      <c r="K119" s="167"/>
      <c r="L119" s="123">
        <v>74378.399999999994</v>
      </c>
      <c r="M119" s="123">
        <v>12309.98</v>
      </c>
      <c r="N119" s="123"/>
      <c r="O119" s="123"/>
      <c r="P119" s="123">
        <f t="shared" si="14"/>
        <v>86688.37999999999</v>
      </c>
      <c r="Q119" s="119"/>
      <c r="R119" s="125">
        <v>44.11</v>
      </c>
      <c r="S119" s="119"/>
      <c r="T119" s="126">
        <f t="shared" si="16"/>
        <v>91748.800000000003</v>
      </c>
      <c r="U119" s="126">
        <f t="shared" si="12"/>
        <v>15118.702499999999</v>
      </c>
      <c r="V119" s="126"/>
      <c r="W119" s="126"/>
      <c r="X119" s="126">
        <f t="shared" si="13"/>
        <v>106867.5025</v>
      </c>
      <c r="Y119" s="120"/>
      <c r="Z119" s="127">
        <f t="shared" si="15"/>
        <v>20179.122500000012</v>
      </c>
      <c r="AB119" s="169"/>
    </row>
    <row r="120" spans="1:28">
      <c r="A120" s="1">
        <v>109</v>
      </c>
      <c r="C120" s="9">
        <v>1</v>
      </c>
      <c r="D120" s="1" t="s">
        <v>525</v>
      </c>
      <c r="E120" s="1">
        <v>723</v>
      </c>
      <c r="F120" s="1" t="s">
        <v>124</v>
      </c>
      <c r="H120" s="206">
        <v>2080</v>
      </c>
      <c r="I120" s="166">
        <v>424</v>
      </c>
      <c r="J120" s="166"/>
      <c r="K120" s="167"/>
      <c r="L120" s="123">
        <v>89098.4</v>
      </c>
      <c r="M120" s="123">
        <v>27228.45</v>
      </c>
      <c r="N120" s="123"/>
      <c r="O120" s="123"/>
      <c r="P120" s="123">
        <f t="shared" si="14"/>
        <v>116326.84999999999</v>
      </c>
      <c r="Q120" s="119"/>
      <c r="R120" s="125">
        <v>46.27</v>
      </c>
      <c r="S120" s="119"/>
      <c r="T120" s="126">
        <f t="shared" si="16"/>
        <v>96241.600000000006</v>
      </c>
      <c r="U120" s="126">
        <f t="shared" si="12"/>
        <v>29427.72</v>
      </c>
      <c r="V120" s="126"/>
      <c r="W120" s="126"/>
      <c r="X120" s="126">
        <f t="shared" si="13"/>
        <v>125669.32</v>
      </c>
      <c r="Y120" s="120"/>
      <c r="Z120" s="127">
        <f t="shared" si="15"/>
        <v>9342.4700000000157</v>
      </c>
      <c r="AB120" s="169"/>
    </row>
    <row r="121" spans="1:28">
      <c r="A121" s="1">
        <v>110</v>
      </c>
      <c r="C121" s="9">
        <v>1</v>
      </c>
      <c r="D121" s="1" t="s">
        <v>526</v>
      </c>
      <c r="E121" s="1">
        <v>724</v>
      </c>
      <c r="F121" s="1" t="s">
        <v>124</v>
      </c>
      <c r="H121" s="206">
        <v>2080</v>
      </c>
      <c r="I121" s="166">
        <v>0.5</v>
      </c>
      <c r="J121" s="166"/>
      <c r="K121" s="167" t="s">
        <v>298</v>
      </c>
      <c r="L121" s="123">
        <v>52261.599999999999</v>
      </c>
      <c r="M121" s="123">
        <v>18.91</v>
      </c>
      <c r="N121" s="123"/>
      <c r="O121" s="123"/>
      <c r="P121" s="123">
        <f t="shared" si="14"/>
        <v>52280.51</v>
      </c>
      <c r="Q121" s="119"/>
      <c r="R121" s="125">
        <v>25.74</v>
      </c>
      <c r="S121" s="119"/>
      <c r="T121" s="126">
        <f t="shared" si="16"/>
        <v>53539.199999999997</v>
      </c>
      <c r="U121" s="126">
        <f t="shared" si="12"/>
        <v>19.305</v>
      </c>
      <c r="V121" s="126"/>
      <c r="W121" s="126"/>
      <c r="X121" s="126">
        <f t="shared" si="13"/>
        <v>53558.504999999997</v>
      </c>
      <c r="Y121" s="120"/>
      <c r="Z121" s="127">
        <f t="shared" si="15"/>
        <v>1277.9949999999953</v>
      </c>
      <c r="AB121" s="169"/>
    </row>
    <row r="122" spans="1:28">
      <c r="A122" s="1">
        <v>111</v>
      </c>
      <c r="C122" s="9">
        <v>1</v>
      </c>
      <c r="D122" s="1" t="s">
        <v>527</v>
      </c>
      <c r="E122" s="1">
        <v>725</v>
      </c>
      <c r="F122" s="1" t="s">
        <v>123</v>
      </c>
      <c r="H122" s="206">
        <v>680</v>
      </c>
      <c r="I122" s="166"/>
      <c r="J122" s="166">
        <v>416.81</v>
      </c>
      <c r="K122" s="167"/>
      <c r="L122" s="123">
        <v>108655.74</v>
      </c>
      <c r="M122" s="123"/>
      <c r="N122" s="123">
        <v>70136.62</v>
      </c>
      <c r="O122" s="123"/>
      <c r="P122" s="123">
        <f t="shared" si="14"/>
        <v>178792.36</v>
      </c>
      <c r="Q122" s="119"/>
      <c r="R122" s="125"/>
      <c r="S122" s="119"/>
      <c r="T122" s="126">
        <f t="shared" si="16"/>
        <v>0</v>
      </c>
      <c r="U122" s="126">
        <f t="shared" si="12"/>
        <v>0</v>
      </c>
      <c r="V122" s="126"/>
      <c r="W122" s="126"/>
      <c r="X122" s="126">
        <f t="shared" si="13"/>
        <v>0</v>
      </c>
      <c r="Y122" s="120"/>
      <c r="Z122" s="127">
        <f t="shared" si="15"/>
        <v>-178792.36</v>
      </c>
      <c r="AB122" s="169"/>
    </row>
    <row r="123" spans="1:28">
      <c r="A123" s="1">
        <v>112</v>
      </c>
      <c r="C123" s="9">
        <v>1</v>
      </c>
      <c r="D123" s="1" t="s">
        <v>528</v>
      </c>
      <c r="E123" s="1">
        <v>726</v>
      </c>
      <c r="F123" s="1" t="s">
        <v>124</v>
      </c>
      <c r="H123" s="206">
        <v>2080</v>
      </c>
      <c r="I123" s="166">
        <v>279</v>
      </c>
      <c r="J123" s="166"/>
      <c r="K123" s="167"/>
      <c r="L123" s="123">
        <v>72581.600000000006</v>
      </c>
      <c r="M123" s="123">
        <v>14656.13</v>
      </c>
      <c r="N123" s="123"/>
      <c r="O123" s="123"/>
      <c r="P123" s="123">
        <f t="shared" si="14"/>
        <v>87237.73000000001</v>
      </c>
      <c r="Q123" s="119"/>
      <c r="R123" s="125">
        <v>46.27</v>
      </c>
      <c r="S123" s="119"/>
      <c r="T123" s="126">
        <f t="shared" si="16"/>
        <v>96241.600000000006</v>
      </c>
      <c r="U123" s="126">
        <f t="shared" si="12"/>
        <v>19363.995000000003</v>
      </c>
      <c r="V123" s="126"/>
      <c r="W123" s="126"/>
      <c r="X123" s="126">
        <f t="shared" si="13"/>
        <v>115605.595</v>
      </c>
      <c r="Y123" s="120"/>
      <c r="Z123" s="127">
        <f t="shared" si="15"/>
        <v>28367.864999999991</v>
      </c>
      <c r="AB123" s="169"/>
    </row>
    <row r="124" spans="1:28">
      <c r="A124" s="1">
        <v>113</v>
      </c>
      <c r="C124" s="9">
        <v>1</v>
      </c>
      <c r="D124" s="1" t="s">
        <v>529</v>
      </c>
      <c r="E124" s="1">
        <v>729</v>
      </c>
      <c r="F124" s="1" t="s">
        <v>123</v>
      </c>
      <c r="H124" s="206">
        <v>1488</v>
      </c>
      <c r="I124" s="166">
        <v>338</v>
      </c>
      <c r="J124" s="166">
        <v>226.91</v>
      </c>
      <c r="K124" s="167"/>
      <c r="L124" s="123">
        <v>61354.559999999998</v>
      </c>
      <c r="M124" s="123">
        <v>20939.84</v>
      </c>
      <c r="N124" s="123">
        <v>9421.2999999999993</v>
      </c>
      <c r="O124" s="168"/>
      <c r="P124" s="123">
        <f t="shared" si="14"/>
        <v>91715.7</v>
      </c>
      <c r="Q124" s="119"/>
      <c r="R124" s="125"/>
      <c r="S124" s="119"/>
      <c r="T124" s="126">
        <f t="shared" si="16"/>
        <v>0</v>
      </c>
      <c r="U124" s="126">
        <f t="shared" si="12"/>
        <v>0</v>
      </c>
      <c r="V124" s="126"/>
      <c r="W124" s="126"/>
      <c r="X124" s="126">
        <f t="shared" si="13"/>
        <v>0</v>
      </c>
      <c r="Y124" s="120"/>
      <c r="Z124" s="127">
        <f t="shared" si="15"/>
        <v>-91715.7</v>
      </c>
      <c r="AB124" s="169"/>
    </row>
    <row r="125" spans="1:28">
      <c r="A125" s="1">
        <v>114</v>
      </c>
      <c r="C125" s="9">
        <v>1</v>
      </c>
      <c r="D125" s="1" t="s">
        <v>530</v>
      </c>
      <c r="E125" s="1">
        <v>730</v>
      </c>
      <c r="F125" s="1" t="s">
        <v>124</v>
      </c>
      <c r="H125" s="206">
        <v>2080.5</v>
      </c>
      <c r="I125" s="166">
        <v>549.5</v>
      </c>
      <c r="J125" s="166"/>
      <c r="K125" s="167"/>
      <c r="L125" s="123">
        <v>66380.12</v>
      </c>
      <c r="M125" s="123">
        <v>25823.21</v>
      </c>
      <c r="N125" s="123"/>
      <c r="O125" s="123"/>
      <c r="P125" s="123">
        <f t="shared" si="14"/>
        <v>92203.329999999987</v>
      </c>
      <c r="Q125" s="119"/>
      <c r="R125" s="125">
        <v>42.06</v>
      </c>
      <c r="S125" s="119"/>
      <c r="T125" s="126">
        <f t="shared" si="16"/>
        <v>87484.800000000003</v>
      </c>
      <c r="U125" s="126">
        <f t="shared" si="12"/>
        <v>34667.955000000002</v>
      </c>
      <c r="V125" s="126"/>
      <c r="W125" s="126"/>
      <c r="X125" s="126">
        <f t="shared" si="13"/>
        <v>122152.755</v>
      </c>
      <c r="Y125" s="120"/>
      <c r="Z125" s="127">
        <f t="shared" si="15"/>
        <v>29949.425000000017</v>
      </c>
      <c r="AB125" s="169"/>
    </row>
    <row r="126" spans="1:28">
      <c r="A126" s="1">
        <v>115</v>
      </c>
      <c r="C126" s="9">
        <v>1</v>
      </c>
      <c r="D126" s="1" t="s">
        <v>531</v>
      </c>
      <c r="E126" s="1">
        <v>733</v>
      </c>
      <c r="F126" s="1" t="s">
        <v>124</v>
      </c>
      <c r="H126" s="206">
        <v>2080</v>
      </c>
      <c r="I126" s="166">
        <v>87.5</v>
      </c>
      <c r="J126" s="166"/>
      <c r="K126" s="167"/>
      <c r="L126" s="123">
        <v>85012</v>
      </c>
      <c r="M126" s="123">
        <v>5358.59</v>
      </c>
      <c r="N126" s="123"/>
      <c r="O126" s="123"/>
      <c r="P126" s="123">
        <f t="shared" si="14"/>
        <v>90370.59</v>
      </c>
      <c r="Q126" s="119"/>
      <c r="R126" s="125">
        <v>42.06</v>
      </c>
      <c r="S126" s="119"/>
      <c r="T126" s="126">
        <f t="shared" si="16"/>
        <v>87484.800000000003</v>
      </c>
      <c r="U126" s="126">
        <f t="shared" si="12"/>
        <v>5520.375</v>
      </c>
      <c r="V126" s="126"/>
      <c r="W126" s="126"/>
      <c r="X126" s="126">
        <f t="shared" si="13"/>
        <v>93005.175000000003</v>
      </c>
      <c r="Y126" s="120"/>
      <c r="Z126" s="127">
        <f t="shared" si="15"/>
        <v>2634.5850000000064</v>
      </c>
      <c r="AB126" s="169"/>
    </row>
    <row r="127" spans="1:28">
      <c r="A127" s="1">
        <v>116</v>
      </c>
      <c r="C127" s="9">
        <v>1</v>
      </c>
      <c r="D127" s="1" t="s">
        <v>532</v>
      </c>
      <c r="E127" s="1">
        <v>734</v>
      </c>
      <c r="F127" s="1" t="s">
        <v>123</v>
      </c>
      <c r="H127" s="206">
        <v>672</v>
      </c>
      <c r="I127" s="166">
        <v>153.5</v>
      </c>
      <c r="J127" s="166">
        <v>250.28</v>
      </c>
      <c r="K127" s="167"/>
      <c r="L127" s="123">
        <v>27458.880000000001</v>
      </c>
      <c r="M127" s="123">
        <v>9385.5499999999993</v>
      </c>
      <c r="N127" s="168">
        <v>7030.86</v>
      </c>
      <c r="O127" s="168">
        <v>3303.2</v>
      </c>
      <c r="P127" s="123">
        <f t="shared" si="14"/>
        <v>47178.49</v>
      </c>
      <c r="Q127" s="119"/>
      <c r="R127" s="125"/>
      <c r="S127" s="119"/>
      <c r="T127" s="126">
        <f t="shared" si="16"/>
        <v>0</v>
      </c>
      <c r="U127" s="126">
        <f t="shared" si="12"/>
        <v>0</v>
      </c>
      <c r="V127" s="126"/>
      <c r="W127" s="126"/>
      <c r="X127" s="126">
        <f t="shared" si="13"/>
        <v>0</v>
      </c>
      <c r="Y127" s="120"/>
      <c r="Z127" s="127">
        <f t="shared" si="15"/>
        <v>-47178.49</v>
      </c>
      <c r="AB127" s="169"/>
    </row>
    <row r="128" spans="1:28">
      <c r="A128" s="1">
        <v>117</v>
      </c>
      <c r="C128" s="9">
        <v>1</v>
      </c>
      <c r="D128" s="1" t="s">
        <v>533</v>
      </c>
      <c r="E128" s="1">
        <v>736</v>
      </c>
      <c r="F128" s="1" t="s">
        <v>124</v>
      </c>
      <c r="H128" s="206">
        <v>2080</v>
      </c>
      <c r="I128" s="166">
        <v>7.75</v>
      </c>
      <c r="J128" s="166"/>
      <c r="K128" s="167"/>
      <c r="L128" s="123">
        <v>65837.600000000006</v>
      </c>
      <c r="M128" s="123">
        <v>380.37</v>
      </c>
      <c r="N128" s="123"/>
      <c r="O128" s="123"/>
      <c r="P128" s="123">
        <f t="shared" si="14"/>
        <v>66217.97</v>
      </c>
      <c r="Q128" s="119"/>
      <c r="R128" s="125">
        <v>37.75</v>
      </c>
      <c r="S128" s="119"/>
      <c r="T128" s="126">
        <f t="shared" si="16"/>
        <v>78520</v>
      </c>
      <c r="U128" s="126">
        <f t="shared" si="12"/>
        <v>438.84375</v>
      </c>
      <c r="V128" s="126"/>
      <c r="W128" s="126"/>
      <c r="X128" s="126">
        <f t="shared" si="13"/>
        <v>78958.84375</v>
      </c>
      <c r="Y128" s="120"/>
      <c r="Z128" s="127">
        <f t="shared" si="15"/>
        <v>12740.873749999999</v>
      </c>
      <c r="AB128" s="169"/>
    </row>
    <row r="129" spans="1:28">
      <c r="A129" s="1">
        <v>118</v>
      </c>
      <c r="C129" s="9">
        <v>1</v>
      </c>
      <c r="D129" s="1" t="s">
        <v>534</v>
      </c>
      <c r="E129" s="1">
        <v>737</v>
      </c>
      <c r="F129" s="1" t="s">
        <v>124</v>
      </c>
      <c r="H129" s="206">
        <v>2080</v>
      </c>
      <c r="I129" s="166">
        <v>458.5</v>
      </c>
      <c r="J129" s="166"/>
      <c r="K129" s="167"/>
      <c r="L129" s="123">
        <v>86093.6</v>
      </c>
      <c r="M129" s="123">
        <v>28414.560000000001</v>
      </c>
      <c r="N129" s="123"/>
      <c r="O129" s="123"/>
      <c r="P129" s="123">
        <f t="shared" si="14"/>
        <v>114508.16</v>
      </c>
      <c r="Q129" s="119"/>
      <c r="R129" s="125">
        <v>46.27</v>
      </c>
      <c r="S129" s="119"/>
      <c r="T129" s="126">
        <f t="shared" si="16"/>
        <v>96241.600000000006</v>
      </c>
      <c r="U129" s="126">
        <f t="shared" si="12"/>
        <v>31822.192500000005</v>
      </c>
      <c r="V129" s="126"/>
      <c r="W129" s="126"/>
      <c r="X129" s="126">
        <f t="shared" si="13"/>
        <v>128063.79250000001</v>
      </c>
      <c r="Y129" s="120"/>
      <c r="Z129" s="127">
        <f t="shared" si="15"/>
        <v>13555.632500000007</v>
      </c>
      <c r="AB129" s="169"/>
    </row>
    <row r="130" spans="1:28">
      <c r="A130" s="1">
        <v>119</v>
      </c>
      <c r="C130" s="9">
        <v>1</v>
      </c>
      <c r="D130" s="1" t="s">
        <v>535</v>
      </c>
      <c r="E130" s="1">
        <v>738</v>
      </c>
      <c r="F130" s="1" t="s">
        <v>124</v>
      </c>
      <c r="H130" s="206">
        <v>2080</v>
      </c>
      <c r="I130" s="166">
        <v>409</v>
      </c>
      <c r="J130" s="166"/>
      <c r="K130" s="167"/>
      <c r="L130" s="123">
        <v>81574.55</v>
      </c>
      <c r="M130" s="123">
        <v>23812.14</v>
      </c>
      <c r="N130" s="123"/>
      <c r="O130" s="123"/>
      <c r="P130" s="123">
        <f t="shared" si="14"/>
        <v>105386.69</v>
      </c>
      <c r="Q130" s="119"/>
      <c r="R130" s="125">
        <v>46.27</v>
      </c>
      <c r="S130" s="119"/>
      <c r="T130" s="126">
        <f t="shared" si="16"/>
        <v>96241.600000000006</v>
      </c>
      <c r="U130" s="126">
        <f t="shared" si="12"/>
        <v>28386.645</v>
      </c>
      <c r="V130" s="126"/>
      <c r="W130" s="126"/>
      <c r="X130" s="126">
        <f t="shared" si="13"/>
        <v>124628.24500000001</v>
      </c>
      <c r="Y130" s="120"/>
      <c r="Z130" s="127">
        <f t="shared" si="15"/>
        <v>19241.555000000008</v>
      </c>
      <c r="AB130" s="169"/>
    </row>
    <row r="131" spans="1:28">
      <c r="A131" s="1">
        <v>120</v>
      </c>
      <c r="C131" s="9">
        <v>1</v>
      </c>
      <c r="D131" s="1" t="s">
        <v>536</v>
      </c>
      <c r="E131" s="1">
        <v>739</v>
      </c>
      <c r="F131" s="1" t="s">
        <v>124</v>
      </c>
      <c r="H131" s="206">
        <v>2080</v>
      </c>
      <c r="I131" s="166">
        <v>9</v>
      </c>
      <c r="J131" s="166"/>
      <c r="K131" s="167"/>
      <c r="L131" s="123">
        <v>58273.36</v>
      </c>
      <c r="M131" s="123">
        <v>403.18</v>
      </c>
      <c r="N131" s="123"/>
      <c r="O131" s="123"/>
      <c r="P131" s="123">
        <f t="shared" si="14"/>
        <v>58676.54</v>
      </c>
      <c r="Q131" s="119"/>
      <c r="R131" s="125">
        <v>37.81</v>
      </c>
      <c r="S131" s="119"/>
      <c r="T131" s="126">
        <f t="shared" si="16"/>
        <v>78644.800000000003</v>
      </c>
      <c r="U131" s="126">
        <f t="shared" si="12"/>
        <v>510.43500000000006</v>
      </c>
      <c r="V131" s="126"/>
      <c r="W131" s="126"/>
      <c r="X131" s="126">
        <f t="shared" si="13"/>
        <v>79155.235000000001</v>
      </c>
      <c r="Y131" s="120"/>
      <c r="Z131" s="127">
        <f t="shared" si="15"/>
        <v>20478.695</v>
      </c>
      <c r="AB131" s="169"/>
    </row>
    <row r="132" spans="1:28">
      <c r="A132" s="1">
        <v>121</v>
      </c>
      <c r="C132" s="9">
        <v>1</v>
      </c>
      <c r="D132" s="1" t="s">
        <v>537</v>
      </c>
      <c r="E132" s="1">
        <v>740</v>
      </c>
      <c r="F132" s="1" t="s">
        <v>123</v>
      </c>
      <c r="H132" s="206">
        <v>456</v>
      </c>
      <c r="I132" s="166"/>
      <c r="J132" s="166">
        <v>97.44</v>
      </c>
      <c r="K132" s="167"/>
      <c r="L132" s="123">
        <v>26933.02</v>
      </c>
      <c r="M132" s="123"/>
      <c r="N132" s="123">
        <v>5889.27</v>
      </c>
      <c r="O132" s="123"/>
      <c r="P132" s="123">
        <f t="shared" si="14"/>
        <v>32822.29</v>
      </c>
      <c r="Q132" s="119"/>
      <c r="R132" s="125"/>
      <c r="S132" s="119"/>
      <c r="T132" s="126">
        <f t="shared" si="16"/>
        <v>0</v>
      </c>
      <c r="U132" s="126">
        <f t="shared" si="12"/>
        <v>0</v>
      </c>
      <c r="V132" s="126"/>
      <c r="W132" s="126"/>
      <c r="X132" s="126">
        <f t="shared" si="13"/>
        <v>0</v>
      </c>
      <c r="Y132" s="120"/>
      <c r="Z132" s="127">
        <f t="shared" si="15"/>
        <v>-32822.29</v>
      </c>
      <c r="AB132" s="169"/>
    </row>
    <row r="133" spans="1:28">
      <c r="A133" s="1">
        <v>122</v>
      </c>
      <c r="C133" s="9">
        <v>1</v>
      </c>
      <c r="D133" s="1" t="s">
        <v>538</v>
      </c>
      <c r="E133" s="1">
        <v>741</v>
      </c>
      <c r="F133" s="1" t="s">
        <v>123</v>
      </c>
      <c r="H133" s="206">
        <v>2080</v>
      </c>
      <c r="I133" s="166"/>
      <c r="J133" s="166"/>
      <c r="K133" s="167"/>
      <c r="L133" s="123">
        <v>235384.68</v>
      </c>
      <c r="M133" s="123"/>
      <c r="N133" s="123"/>
      <c r="O133" s="123"/>
      <c r="P133" s="123">
        <f t="shared" si="14"/>
        <v>235384.68</v>
      </c>
      <c r="Q133" s="119"/>
      <c r="R133" s="125"/>
      <c r="S133" s="119"/>
      <c r="T133" s="126">
        <f t="shared" si="16"/>
        <v>0</v>
      </c>
      <c r="U133" s="126">
        <f t="shared" si="12"/>
        <v>0</v>
      </c>
      <c r="V133" s="126"/>
      <c r="W133" s="126"/>
      <c r="X133" s="126">
        <f t="shared" si="13"/>
        <v>0</v>
      </c>
      <c r="Y133" s="120"/>
      <c r="Z133" s="127">
        <f t="shared" si="15"/>
        <v>-235384.68</v>
      </c>
      <c r="AB133" s="169"/>
    </row>
    <row r="134" spans="1:28">
      <c r="A134" s="1">
        <v>123</v>
      </c>
      <c r="C134" s="9">
        <v>1</v>
      </c>
      <c r="D134" s="1" t="s">
        <v>539</v>
      </c>
      <c r="E134" s="1">
        <v>742</v>
      </c>
      <c r="F134" s="1" t="s">
        <v>124</v>
      </c>
      <c r="H134" s="206">
        <v>2080</v>
      </c>
      <c r="I134" s="166">
        <v>3</v>
      </c>
      <c r="J134" s="166"/>
      <c r="K134" s="167"/>
      <c r="L134" s="123">
        <v>47261.81</v>
      </c>
      <c r="M134" s="123">
        <v>90.45</v>
      </c>
      <c r="N134" s="123"/>
      <c r="O134" s="123"/>
      <c r="P134" s="123">
        <f t="shared" si="14"/>
        <v>47352.259999999995</v>
      </c>
      <c r="Q134" s="119"/>
      <c r="R134" s="125">
        <v>26.91</v>
      </c>
      <c r="S134" s="119"/>
      <c r="T134" s="126">
        <f t="shared" si="16"/>
        <v>55972.800000000003</v>
      </c>
      <c r="U134" s="126">
        <f t="shared" si="12"/>
        <v>121.095</v>
      </c>
      <c r="V134" s="126"/>
      <c r="W134" s="126"/>
      <c r="X134" s="126">
        <f t="shared" si="13"/>
        <v>56093.895000000004</v>
      </c>
      <c r="Y134" s="120"/>
      <c r="Z134" s="127">
        <f t="shared" si="15"/>
        <v>8741.6350000000093</v>
      </c>
      <c r="AB134" s="169"/>
    </row>
    <row r="135" spans="1:28">
      <c r="A135" s="1">
        <v>124</v>
      </c>
      <c r="C135" s="9">
        <v>1</v>
      </c>
      <c r="D135" s="1" t="s">
        <v>540</v>
      </c>
      <c r="E135" s="1">
        <v>743</v>
      </c>
      <c r="F135" s="1" t="s">
        <v>124</v>
      </c>
      <c r="H135" s="206">
        <v>2080</v>
      </c>
      <c r="I135" s="166">
        <v>1</v>
      </c>
      <c r="J135" s="166"/>
      <c r="K135" s="167"/>
      <c r="L135" s="123">
        <v>45843.199999999997</v>
      </c>
      <c r="M135" s="123">
        <v>31.9</v>
      </c>
      <c r="N135" s="123"/>
      <c r="O135" s="123"/>
      <c r="P135" s="123">
        <f t="shared" si="14"/>
        <v>45875.1</v>
      </c>
      <c r="Q135" s="119"/>
      <c r="R135" s="125">
        <v>27.13</v>
      </c>
      <c r="S135" s="119"/>
      <c r="T135" s="126">
        <f t="shared" si="16"/>
        <v>56430.400000000001</v>
      </c>
      <c r="U135" s="126">
        <f t="shared" si="12"/>
        <v>40.695</v>
      </c>
      <c r="V135" s="126"/>
      <c r="W135" s="126"/>
      <c r="X135" s="126">
        <f t="shared" si="13"/>
        <v>56471.095000000001</v>
      </c>
      <c r="Y135" s="120"/>
      <c r="Z135" s="127">
        <f t="shared" si="15"/>
        <v>10595.995000000003</v>
      </c>
      <c r="AB135" s="169"/>
    </row>
    <row r="136" spans="1:28">
      <c r="A136" s="1">
        <v>125</v>
      </c>
      <c r="C136" s="9">
        <v>1</v>
      </c>
      <c r="D136" s="1" t="s">
        <v>541</v>
      </c>
      <c r="E136" s="1">
        <v>744</v>
      </c>
      <c r="F136" s="1" t="s">
        <v>124</v>
      </c>
      <c r="H136" s="206">
        <v>2080</v>
      </c>
      <c r="I136" s="166">
        <v>1.25</v>
      </c>
      <c r="J136" s="166"/>
      <c r="K136" s="167"/>
      <c r="L136" s="123">
        <v>45843.199999999997</v>
      </c>
      <c r="M136" s="123">
        <v>39.86</v>
      </c>
      <c r="N136" s="123"/>
      <c r="O136" s="123"/>
      <c r="P136" s="123">
        <f t="shared" si="14"/>
        <v>45883.06</v>
      </c>
      <c r="Q136" s="119"/>
      <c r="R136" s="125">
        <v>25.74</v>
      </c>
      <c r="S136" s="119"/>
      <c r="T136" s="126">
        <f t="shared" si="16"/>
        <v>53539.199999999997</v>
      </c>
      <c r="U136" s="126">
        <f t="shared" si="12"/>
        <v>48.262499999999996</v>
      </c>
      <c r="V136" s="126"/>
      <c r="W136" s="126"/>
      <c r="X136" s="126">
        <f t="shared" si="13"/>
        <v>53587.462499999994</v>
      </c>
      <c r="Y136" s="120"/>
      <c r="Z136" s="127">
        <f t="shared" si="15"/>
        <v>7704.4024999999965</v>
      </c>
      <c r="AB136" s="169"/>
    </row>
    <row r="137" spans="1:28">
      <c r="A137" s="1">
        <v>126</v>
      </c>
      <c r="C137" s="9">
        <v>1</v>
      </c>
      <c r="D137" s="1" t="s">
        <v>542</v>
      </c>
      <c r="E137" s="1">
        <v>746</v>
      </c>
      <c r="F137" s="1" t="s">
        <v>123</v>
      </c>
      <c r="H137" s="206">
        <v>2080</v>
      </c>
      <c r="I137" s="166">
        <v>29</v>
      </c>
      <c r="J137" s="166"/>
      <c r="K137" s="167"/>
      <c r="L137" s="123">
        <v>65624.820000000007</v>
      </c>
      <c r="M137" s="123">
        <v>1394.08</v>
      </c>
      <c r="N137" s="123"/>
      <c r="O137" s="123"/>
      <c r="P137" s="123">
        <f t="shared" si="14"/>
        <v>67018.900000000009</v>
      </c>
      <c r="Q137" s="119"/>
      <c r="R137" s="125"/>
      <c r="S137" s="119"/>
      <c r="T137" s="126">
        <f t="shared" si="16"/>
        <v>0</v>
      </c>
      <c r="U137" s="126">
        <f t="shared" si="12"/>
        <v>0</v>
      </c>
      <c r="V137" s="126"/>
      <c r="W137" s="126"/>
      <c r="X137" s="126">
        <f t="shared" si="13"/>
        <v>0</v>
      </c>
      <c r="Y137" s="120"/>
      <c r="Z137" s="127">
        <f t="shared" si="15"/>
        <v>-67018.900000000009</v>
      </c>
      <c r="AB137" s="169"/>
    </row>
    <row r="138" spans="1:28">
      <c r="A138" s="1">
        <v>127</v>
      </c>
      <c r="C138" s="9">
        <v>1</v>
      </c>
      <c r="D138" s="1" t="s">
        <v>543</v>
      </c>
      <c r="E138" s="1">
        <v>747</v>
      </c>
      <c r="F138" s="1" t="s">
        <v>124</v>
      </c>
      <c r="H138" s="206">
        <v>2079.25</v>
      </c>
      <c r="I138" s="166">
        <v>0.75</v>
      </c>
      <c r="J138" s="166"/>
      <c r="K138" s="167"/>
      <c r="L138" s="123">
        <v>45828.13</v>
      </c>
      <c r="M138" s="123">
        <v>25.4</v>
      </c>
      <c r="N138" s="123"/>
      <c r="O138" s="123"/>
      <c r="P138" s="123">
        <f t="shared" si="14"/>
        <v>45853.53</v>
      </c>
      <c r="Q138" s="119"/>
      <c r="R138" s="125">
        <v>25.74</v>
      </c>
      <c r="S138" s="119"/>
      <c r="T138" s="126">
        <f t="shared" si="16"/>
        <v>53539.199999999997</v>
      </c>
      <c r="U138" s="126">
        <f t="shared" si="12"/>
        <v>28.9575</v>
      </c>
      <c r="V138" s="126"/>
      <c r="W138" s="126"/>
      <c r="X138" s="126">
        <f t="shared" si="13"/>
        <v>53568.157499999994</v>
      </c>
      <c r="Y138" s="120"/>
      <c r="Z138" s="127">
        <f t="shared" si="15"/>
        <v>7714.6274999999951</v>
      </c>
      <c r="AB138" s="169"/>
    </row>
    <row r="139" spans="1:28">
      <c r="A139" s="1">
        <v>128</v>
      </c>
      <c r="C139" s="9">
        <v>1</v>
      </c>
      <c r="D139" s="1" t="s">
        <v>544</v>
      </c>
      <c r="E139" s="1">
        <v>749</v>
      </c>
      <c r="F139" s="1" t="s">
        <v>123</v>
      </c>
      <c r="H139" s="206">
        <v>400</v>
      </c>
      <c r="I139" s="166">
        <v>95.5</v>
      </c>
      <c r="J139" s="166">
        <v>57.57</v>
      </c>
      <c r="K139" s="167"/>
      <c r="L139" s="123">
        <v>13063.2</v>
      </c>
      <c r="M139" s="123">
        <v>4669.97</v>
      </c>
      <c r="N139" s="123">
        <v>584.03</v>
      </c>
      <c r="O139" s="168">
        <v>1329.6</v>
      </c>
      <c r="P139" s="123">
        <f t="shared" si="14"/>
        <v>19646.8</v>
      </c>
      <c r="Q139" s="119"/>
      <c r="R139" s="125"/>
      <c r="S139" s="119"/>
      <c r="T139" s="126">
        <f t="shared" si="16"/>
        <v>0</v>
      </c>
      <c r="U139" s="126">
        <f t="shared" si="12"/>
        <v>0</v>
      </c>
      <c r="V139" s="126"/>
      <c r="W139" s="126"/>
      <c r="X139" s="126">
        <f t="shared" si="13"/>
        <v>0</v>
      </c>
      <c r="Y139" s="120"/>
      <c r="Z139" s="127">
        <f t="shared" si="15"/>
        <v>-19646.8</v>
      </c>
      <c r="AB139" s="169"/>
    </row>
    <row r="140" spans="1:28">
      <c r="A140" s="1">
        <v>129</v>
      </c>
      <c r="C140" s="9">
        <v>1</v>
      </c>
      <c r="D140" s="1" t="s">
        <v>545</v>
      </c>
      <c r="E140" s="1">
        <v>750</v>
      </c>
      <c r="F140" s="1" t="s">
        <v>124</v>
      </c>
      <c r="H140" s="206">
        <v>2086</v>
      </c>
      <c r="I140" s="166">
        <v>304.75</v>
      </c>
      <c r="J140" s="166"/>
      <c r="K140" s="167"/>
      <c r="L140" s="123">
        <v>65841.490000000005</v>
      </c>
      <c r="M140" s="123">
        <v>14056.41</v>
      </c>
      <c r="N140" s="123"/>
      <c r="O140" s="123"/>
      <c r="P140" s="123">
        <f t="shared" si="14"/>
        <v>79897.900000000009</v>
      </c>
      <c r="Q140" s="119"/>
      <c r="R140" s="125">
        <v>42.06</v>
      </c>
      <c r="S140" s="119"/>
      <c r="T140" s="126">
        <f t="shared" si="16"/>
        <v>87484.800000000003</v>
      </c>
      <c r="U140" s="126">
        <f t="shared" si="12"/>
        <v>19226.677499999998</v>
      </c>
      <c r="V140" s="126"/>
      <c r="W140" s="126"/>
      <c r="X140" s="126">
        <f t="shared" si="13"/>
        <v>106711.47750000001</v>
      </c>
      <c r="Y140" s="120"/>
      <c r="Z140" s="127">
        <f t="shared" si="15"/>
        <v>26813.577499999999</v>
      </c>
      <c r="AB140" s="169"/>
    </row>
    <row r="141" spans="1:28">
      <c r="A141" s="1">
        <v>130</v>
      </c>
      <c r="C141" s="9">
        <v>1</v>
      </c>
      <c r="D141" s="1" t="s">
        <v>546</v>
      </c>
      <c r="E141" s="1">
        <v>751</v>
      </c>
      <c r="H141" s="206">
        <v>2080</v>
      </c>
      <c r="I141" s="166"/>
      <c r="J141" s="166"/>
      <c r="K141" s="167"/>
      <c r="L141" s="123">
        <v>45843.199999999997</v>
      </c>
      <c r="M141" s="123"/>
      <c r="N141" s="123"/>
      <c r="O141" s="123"/>
      <c r="P141" s="123">
        <f t="shared" si="14"/>
        <v>45843.199999999997</v>
      </c>
      <c r="Q141" s="119"/>
      <c r="R141" s="125">
        <v>25.74</v>
      </c>
      <c r="S141" s="119"/>
      <c r="T141" s="126">
        <f t="shared" si="16"/>
        <v>53539.199999999997</v>
      </c>
      <c r="U141" s="126">
        <f t="shared" si="12"/>
        <v>0</v>
      </c>
      <c r="V141" s="126"/>
      <c r="W141" s="126"/>
      <c r="X141" s="126">
        <f t="shared" si="13"/>
        <v>53539.199999999997</v>
      </c>
      <c r="Y141" s="120"/>
      <c r="Z141" s="127">
        <f t="shared" si="15"/>
        <v>7696</v>
      </c>
      <c r="AB141" s="169"/>
    </row>
    <row r="142" spans="1:28">
      <c r="A142" s="1">
        <v>131</v>
      </c>
      <c r="C142" s="9">
        <v>1</v>
      </c>
      <c r="D142" s="1" t="s">
        <v>547</v>
      </c>
      <c r="E142" s="1">
        <v>752</v>
      </c>
      <c r="F142" s="1" t="s">
        <v>124</v>
      </c>
      <c r="H142" s="206">
        <v>2080</v>
      </c>
      <c r="I142" s="166">
        <v>531</v>
      </c>
      <c r="J142" s="166"/>
      <c r="K142" s="167"/>
      <c r="L142" s="123">
        <v>70749.600000000006</v>
      </c>
      <c r="M142" s="123">
        <v>26868.82</v>
      </c>
      <c r="N142" s="123"/>
      <c r="O142" s="123"/>
      <c r="P142" s="123">
        <f t="shared" si="14"/>
        <v>97618.420000000013</v>
      </c>
      <c r="Q142" s="119"/>
      <c r="R142" s="125">
        <v>41.9</v>
      </c>
      <c r="S142" s="119"/>
      <c r="T142" s="126">
        <f t="shared" si="16"/>
        <v>87152</v>
      </c>
      <c r="U142" s="126">
        <f t="shared" si="12"/>
        <v>33373.35</v>
      </c>
      <c r="V142" s="126"/>
      <c r="W142" s="126"/>
      <c r="X142" s="126">
        <f t="shared" si="13"/>
        <v>120525.35</v>
      </c>
      <c r="Y142" s="120"/>
      <c r="Z142" s="127">
        <f t="shared" si="15"/>
        <v>22906.929999999993</v>
      </c>
      <c r="AB142" s="169"/>
    </row>
    <row r="143" spans="1:28">
      <c r="A143" s="1">
        <v>132</v>
      </c>
      <c r="C143" s="9">
        <v>1</v>
      </c>
      <c r="D143" s="1" t="s">
        <v>548</v>
      </c>
      <c r="E143" s="1">
        <v>753</v>
      </c>
      <c r="F143" s="1" t="s">
        <v>124</v>
      </c>
      <c r="H143" s="206">
        <v>2080</v>
      </c>
      <c r="I143" s="166">
        <v>500</v>
      </c>
      <c r="J143" s="166"/>
      <c r="K143" s="167" t="s">
        <v>298</v>
      </c>
      <c r="L143" s="123">
        <v>74307.199999999997</v>
      </c>
      <c r="M143" s="123">
        <v>26611.27</v>
      </c>
      <c r="N143" s="123"/>
      <c r="O143" s="123"/>
      <c r="P143" s="123">
        <f t="shared" si="14"/>
        <v>100918.47</v>
      </c>
      <c r="Q143" s="119"/>
      <c r="R143" s="125">
        <v>43.95</v>
      </c>
      <c r="S143" s="119"/>
      <c r="T143" s="126">
        <f t="shared" si="16"/>
        <v>91416</v>
      </c>
      <c r="U143" s="126">
        <f t="shared" si="12"/>
        <v>32962.5</v>
      </c>
      <c r="V143" s="126"/>
      <c r="W143" s="126"/>
      <c r="X143" s="126">
        <f t="shared" si="13"/>
        <v>124378.5</v>
      </c>
      <c r="Y143" s="120"/>
      <c r="Z143" s="127">
        <f t="shared" si="15"/>
        <v>23460.03</v>
      </c>
      <c r="AB143" s="169"/>
    </row>
    <row r="144" spans="1:28">
      <c r="A144" s="1">
        <v>133</v>
      </c>
      <c r="C144" s="9">
        <v>1</v>
      </c>
      <c r="D144" s="1" t="s">
        <v>549</v>
      </c>
      <c r="E144" s="1">
        <v>754</v>
      </c>
      <c r="F144" s="1" t="s">
        <v>124</v>
      </c>
      <c r="H144" s="206">
        <v>2080</v>
      </c>
      <c r="I144" s="166">
        <v>419</v>
      </c>
      <c r="J144" s="166"/>
      <c r="K144" s="167"/>
      <c r="L144" s="123">
        <v>70749.119999999995</v>
      </c>
      <c r="M144" s="123">
        <v>21505.32</v>
      </c>
      <c r="N144" s="123"/>
      <c r="O144" s="123"/>
      <c r="P144" s="123">
        <f t="shared" si="14"/>
        <v>92254.44</v>
      </c>
      <c r="Q144" s="119"/>
      <c r="R144" s="125">
        <v>41.9</v>
      </c>
      <c r="S144" s="119"/>
      <c r="T144" s="126">
        <f t="shared" si="16"/>
        <v>87152</v>
      </c>
      <c r="U144" s="126">
        <f t="shared" si="12"/>
        <v>26334.149999999998</v>
      </c>
      <c r="V144" s="126"/>
      <c r="W144" s="126"/>
      <c r="X144" s="126">
        <f t="shared" si="13"/>
        <v>113486.15</v>
      </c>
      <c r="Y144" s="120"/>
      <c r="Z144" s="127">
        <f t="shared" si="15"/>
        <v>21231.709999999992</v>
      </c>
      <c r="AB144" s="169"/>
    </row>
    <row r="145" spans="1:28">
      <c r="A145" s="1">
        <v>134</v>
      </c>
      <c r="C145" s="9">
        <v>1</v>
      </c>
      <c r="D145" s="1" t="s">
        <v>550</v>
      </c>
      <c r="E145" s="1">
        <v>755</v>
      </c>
      <c r="F145" s="1" t="s">
        <v>124</v>
      </c>
      <c r="H145" s="206">
        <v>2056</v>
      </c>
      <c r="I145" s="166">
        <v>291</v>
      </c>
      <c r="J145" s="166"/>
      <c r="K145" s="167"/>
      <c r="L145" s="123">
        <v>50232.26</v>
      </c>
      <c r="M145" s="123">
        <v>10968.12</v>
      </c>
      <c r="N145" s="123"/>
      <c r="O145" s="123"/>
      <c r="P145" s="123">
        <f t="shared" si="14"/>
        <v>61200.380000000005</v>
      </c>
      <c r="Q145" s="119"/>
      <c r="R145" s="125">
        <v>35.49</v>
      </c>
      <c r="S145" s="119"/>
      <c r="T145" s="126">
        <f t="shared" si="16"/>
        <v>73819.199999999997</v>
      </c>
      <c r="U145" s="126">
        <f t="shared" si="12"/>
        <v>15491.385</v>
      </c>
      <c r="V145" s="126"/>
      <c r="W145" s="126"/>
      <c r="X145" s="126">
        <f t="shared" si="13"/>
        <v>89310.584999999992</v>
      </c>
      <c r="Y145" s="120"/>
      <c r="Z145" s="127">
        <f t="shared" si="15"/>
        <v>28110.204999999987</v>
      </c>
      <c r="AB145" s="169"/>
    </row>
    <row r="146" spans="1:28">
      <c r="A146" s="1">
        <v>135</v>
      </c>
      <c r="C146" s="9">
        <v>1</v>
      </c>
      <c r="D146" s="1" t="s">
        <v>551</v>
      </c>
      <c r="E146" s="1">
        <v>756</v>
      </c>
      <c r="F146" s="1" t="s">
        <v>124</v>
      </c>
      <c r="H146" s="206">
        <v>2080</v>
      </c>
      <c r="I146" s="166">
        <v>545</v>
      </c>
      <c r="J146" s="166"/>
      <c r="K146" s="167"/>
      <c r="L146" s="123">
        <v>69192.960000000006</v>
      </c>
      <c r="M146" s="123">
        <v>27030.95</v>
      </c>
      <c r="N146" s="123"/>
      <c r="O146" s="123"/>
      <c r="P146" s="123">
        <f t="shared" si="14"/>
        <v>96223.91</v>
      </c>
      <c r="Q146" s="119"/>
      <c r="R146" s="125">
        <v>41.9</v>
      </c>
      <c r="S146" s="119"/>
      <c r="T146" s="126">
        <f t="shared" si="16"/>
        <v>87152</v>
      </c>
      <c r="U146" s="126">
        <f t="shared" si="12"/>
        <v>34253.25</v>
      </c>
      <c r="V146" s="126"/>
      <c r="W146" s="126"/>
      <c r="X146" s="126">
        <f t="shared" si="13"/>
        <v>121405.25</v>
      </c>
      <c r="Y146" s="120"/>
      <c r="Z146" s="127">
        <f t="shared" si="15"/>
        <v>25181.339999999997</v>
      </c>
      <c r="AB146" s="169"/>
    </row>
    <row r="147" spans="1:28">
      <c r="A147" s="1">
        <v>136</v>
      </c>
      <c r="C147" s="9">
        <v>1</v>
      </c>
      <c r="D147" s="1" t="s">
        <v>552</v>
      </c>
      <c r="E147" s="1">
        <v>757</v>
      </c>
      <c r="F147" s="1" t="s">
        <v>124</v>
      </c>
      <c r="H147" s="206">
        <v>2080</v>
      </c>
      <c r="I147" s="166">
        <v>3</v>
      </c>
      <c r="J147" s="166"/>
      <c r="K147" s="167"/>
      <c r="L147" s="123">
        <v>58457.61</v>
      </c>
      <c r="M147" s="123">
        <v>123.75</v>
      </c>
      <c r="N147" s="123"/>
      <c r="O147" s="123"/>
      <c r="P147" s="123">
        <f t="shared" si="14"/>
        <v>58581.36</v>
      </c>
      <c r="Q147" s="119"/>
      <c r="R147" s="125">
        <v>31.61</v>
      </c>
      <c r="S147" s="119"/>
      <c r="T147" s="126">
        <f t="shared" si="16"/>
        <v>65748.800000000003</v>
      </c>
      <c r="U147" s="126">
        <f t="shared" si="12"/>
        <v>142.245</v>
      </c>
      <c r="V147" s="126"/>
      <c r="W147" s="126"/>
      <c r="X147" s="126">
        <f t="shared" si="13"/>
        <v>65891.044999999998</v>
      </c>
      <c r="Y147" s="120"/>
      <c r="Z147" s="127">
        <f t="shared" si="15"/>
        <v>7309.6849999999977</v>
      </c>
      <c r="AB147" s="169"/>
    </row>
    <row r="148" spans="1:28">
      <c r="A148" s="1">
        <v>137</v>
      </c>
      <c r="C148" s="9">
        <v>1</v>
      </c>
      <c r="D148" s="1" t="s">
        <v>553</v>
      </c>
      <c r="E148" s="1">
        <v>758</v>
      </c>
      <c r="F148" s="1" t="s">
        <v>124</v>
      </c>
      <c r="H148" s="206">
        <v>1612</v>
      </c>
      <c r="I148" s="166">
        <v>392</v>
      </c>
      <c r="J148" s="166"/>
      <c r="K148" s="167"/>
      <c r="L148" s="123">
        <v>54091.54</v>
      </c>
      <c r="M148" s="123">
        <v>19599.52</v>
      </c>
      <c r="N148" s="123"/>
      <c r="O148" s="123"/>
      <c r="P148" s="123">
        <f t="shared" si="14"/>
        <v>73691.06</v>
      </c>
      <c r="Q148" s="119"/>
      <c r="R148" s="125">
        <v>41.9</v>
      </c>
      <c r="S148" s="119"/>
      <c r="T148" s="126">
        <f t="shared" si="16"/>
        <v>87152</v>
      </c>
      <c r="U148" s="126">
        <f t="shared" si="12"/>
        <v>24637.199999999997</v>
      </c>
      <c r="V148" s="126"/>
      <c r="W148" s="126"/>
      <c r="X148" s="126">
        <f t="shared" si="13"/>
        <v>111789.2</v>
      </c>
      <c r="Y148" s="120"/>
      <c r="Z148" s="127">
        <f t="shared" si="15"/>
        <v>38098.14</v>
      </c>
      <c r="AB148" s="169"/>
    </row>
    <row r="149" spans="1:28">
      <c r="A149" s="1">
        <v>138</v>
      </c>
      <c r="C149" s="9">
        <v>1</v>
      </c>
      <c r="D149" s="1" t="s">
        <v>554</v>
      </c>
      <c r="E149" s="1">
        <v>759</v>
      </c>
      <c r="F149" s="1" t="s">
        <v>124</v>
      </c>
      <c r="H149" s="206">
        <v>2088</v>
      </c>
      <c r="I149" s="166">
        <v>276.5</v>
      </c>
      <c r="J149" s="166"/>
      <c r="K149" s="167"/>
      <c r="L149" s="123">
        <v>56859.35</v>
      </c>
      <c r="M149" s="123">
        <v>11207.9</v>
      </c>
      <c r="N149" s="123"/>
      <c r="O149" s="123"/>
      <c r="P149" s="123">
        <f t="shared" si="14"/>
        <v>68067.25</v>
      </c>
      <c r="Q149" s="119"/>
      <c r="R149" s="125">
        <v>36.86</v>
      </c>
      <c r="S149" s="119"/>
      <c r="T149" s="126">
        <f t="shared" si="16"/>
        <v>76668.800000000003</v>
      </c>
      <c r="U149" s="126">
        <f t="shared" si="12"/>
        <v>15287.684999999998</v>
      </c>
      <c r="V149" s="126"/>
      <c r="W149" s="126"/>
      <c r="X149" s="126">
        <f t="shared" si="13"/>
        <v>91956.485000000001</v>
      </c>
      <c r="Y149" s="120"/>
      <c r="Z149" s="127">
        <f t="shared" si="15"/>
        <v>23889.235000000001</v>
      </c>
      <c r="AB149" s="169"/>
    </row>
    <row r="150" spans="1:28">
      <c r="A150" s="1">
        <v>139</v>
      </c>
      <c r="C150" s="9">
        <v>1</v>
      </c>
      <c r="D150" s="1" t="s">
        <v>555</v>
      </c>
      <c r="E150" s="1">
        <v>760</v>
      </c>
      <c r="F150" s="1" t="s">
        <v>556</v>
      </c>
      <c r="H150" s="206">
        <v>1680.5</v>
      </c>
      <c r="I150" s="166">
        <v>122.25</v>
      </c>
      <c r="J150" s="166"/>
      <c r="K150" s="167"/>
      <c r="L150" s="123">
        <v>44600.91</v>
      </c>
      <c r="M150" s="123">
        <v>4833.87</v>
      </c>
      <c r="N150" s="123"/>
      <c r="O150" s="123"/>
      <c r="P150" s="123">
        <f t="shared" si="14"/>
        <v>49434.780000000006</v>
      </c>
      <c r="Q150" s="119"/>
      <c r="R150" s="125">
        <v>34.369999999999997</v>
      </c>
      <c r="S150" s="119"/>
      <c r="T150" s="126">
        <f t="shared" si="16"/>
        <v>71489.599999999991</v>
      </c>
      <c r="U150" s="126">
        <f t="shared" si="12"/>
        <v>6302.5987500000001</v>
      </c>
      <c r="V150" s="126"/>
      <c r="W150" s="126"/>
      <c r="X150" s="126">
        <f t="shared" si="13"/>
        <v>77792.198749999996</v>
      </c>
      <c r="Y150" s="120"/>
      <c r="Z150" s="127">
        <f t="shared" si="15"/>
        <v>28357.41874999999</v>
      </c>
      <c r="AB150" s="169"/>
    </row>
    <row r="151" spans="1:28">
      <c r="A151" s="1">
        <v>140</v>
      </c>
      <c r="C151" s="9">
        <v>1</v>
      </c>
      <c r="D151" s="1" t="s">
        <v>557</v>
      </c>
      <c r="E151" s="1">
        <v>761</v>
      </c>
      <c r="F151" s="1" t="s">
        <v>556</v>
      </c>
      <c r="H151" s="206">
        <v>1560</v>
      </c>
      <c r="I151" s="166">
        <v>208.5</v>
      </c>
      <c r="J151" s="166"/>
      <c r="K151" s="167"/>
      <c r="L151" s="123">
        <v>41475.480000000003</v>
      </c>
      <c r="M151" s="123">
        <v>8225.9699999999993</v>
      </c>
      <c r="N151" s="123"/>
      <c r="O151" s="123"/>
      <c r="P151" s="123">
        <f t="shared" si="14"/>
        <v>49701.450000000004</v>
      </c>
      <c r="Q151" s="119"/>
      <c r="R151" s="125">
        <v>34.369999999999997</v>
      </c>
      <c r="S151" s="119"/>
      <c r="T151" s="126">
        <f t="shared" si="16"/>
        <v>71489.599999999991</v>
      </c>
      <c r="U151" s="126">
        <f t="shared" si="12"/>
        <v>10749.217499999999</v>
      </c>
      <c r="V151" s="126"/>
      <c r="W151" s="126"/>
      <c r="X151" s="126">
        <f t="shared" si="13"/>
        <v>82238.81749999999</v>
      </c>
      <c r="Y151" s="120"/>
      <c r="Z151" s="127">
        <f t="shared" si="15"/>
        <v>32537.367499999986</v>
      </c>
      <c r="AB151" s="169"/>
    </row>
    <row r="152" spans="1:28">
      <c r="A152" s="1">
        <v>141</v>
      </c>
      <c r="C152" s="9">
        <v>1</v>
      </c>
      <c r="D152" s="1" t="s">
        <v>558</v>
      </c>
      <c r="E152" s="1">
        <v>762</v>
      </c>
      <c r="F152" s="1" t="s">
        <v>123</v>
      </c>
      <c r="H152" s="206">
        <v>1400</v>
      </c>
      <c r="I152" s="166"/>
      <c r="J152" s="166">
        <v>59.26</v>
      </c>
      <c r="K152" s="167"/>
      <c r="L152" s="123">
        <v>72692.25</v>
      </c>
      <c r="M152" s="123"/>
      <c r="N152" s="123">
        <v>3076.78</v>
      </c>
      <c r="O152" s="123"/>
      <c r="P152" s="123">
        <f t="shared" si="14"/>
        <v>75769.03</v>
      </c>
      <c r="Q152" s="119"/>
      <c r="R152" s="125"/>
      <c r="S152" s="119"/>
      <c r="T152" s="126">
        <f t="shared" si="16"/>
        <v>0</v>
      </c>
      <c r="U152" s="126">
        <f t="shared" si="12"/>
        <v>0</v>
      </c>
      <c r="V152" s="126"/>
      <c r="W152" s="126"/>
      <c r="X152" s="126">
        <f t="shared" si="13"/>
        <v>0</v>
      </c>
      <c r="Y152" s="120"/>
      <c r="Z152" s="127">
        <f t="shared" si="15"/>
        <v>-75769.03</v>
      </c>
      <c r="AB152" s="169"/>
    </row>
    <row r="153" spans="1:28">
      <c r="A153" s="1">
        <v>142</v>
      </c>
      <c r="C153" s="9">
        <v>1</v>
      </c>
      <c r="D153" s="1" t="s">
        <v>559</v>
      </c>
      <c r="E153" s="1">
        <v>764</v>
      </c>
      <c r="F153" s="1" t="s">
        <v>123</v>
      </c>
      <c r="H153" s="206">
        <v>1463</v>
      </c>
      <c r="I153" s="166">
        <v>222.75</v>
      </c>
      <c r="J153" s="166"/>
      <c r="K153" s="167"/>
      <c r="L153" s="123">
        <v>34737.269999999997</v>
      </c>
      <c r="M153" s="123">
        <v>7967.34</v>
      </c>
      <c r="N153" s="123"/>
      <c r="O153" s="123"/>
      <c r="P153" s="123">
        <f t="shared" si="14"/>
        <v>42704.61</v>
      </c>
      <c r="Q153" s="119"/>
      <c r="R153" s="125"/>
      <c r="S153" s="119"/>
      <c r="T153" s="126">
        <f t="shared" si="16"/>
        <v>0</v>
      </c>
      <c r="U153" s="126">
        <f t="shared" si="12"/>
        <v>0</v>
      </c>
      <c r="V153" s="126"/>
      <c r="W153" s="126"/>
      <c r="X153" s="126">
        <f t="shared" si="13"/>
        <v>0</v>
      </c>
      <c r="Y153" s="120"/>
      <c r="Z153" s="127">
        <f t="shared" si="15"/>
        <v>-42704.61</v>
      </c>
      <c r="AB153" s="169"/>
    </row>
    <row r="154" spans="1:28">
      <c r="A154" s="1">
        <v>143</v>
      </c>
      <c r="C154" s="9">
        <v>1</v>
      </c>
      <c r="D154" s="1" t="s">
        <v>560</v>
      </c>
      <c r="E154" s="1">
        <v>765</v>
      </c>
      <c r="F154" s="1" t="s">
        <v>123</v>
      </c>
      <c r="H154" s="206">
        <v>8</v>
      </c>
      <c r="I154" s="166"/>
      <c r="J154" s="166"/>
      <c r="K154" s="167"/>
      <c r="L154" s="123">
        <v>207.5</v>
      </c>
      <c r="M154" s="123"/>
      <c r="N154" s="123"/>
      <c r="O154" s="123"/>
      <c r="P154" s="123">
        <f t="shared" si="14"/>
        <v>207.5</v>
      </c>
      <c r="Q154" s="119"/>
      <c r="R154" s="125"/>
      <c r="S154" s="119"/>
      <c r="T154" s="126">
        <f t="shared" si="16"/>
        <v>0</v>
      </c>
      <c r="U154" s="126">
        <f t="shared" si="12"/>
        <v>0</v>
      </c>
      <c r="V154" s="126"/>
      <c r="W154" s="126"/>
      <c r="X154" s="126">
        <f t="shared" si="13"/>
        <v>0</v>
      </c>
      <c r="Y154" s="120"/>
      <c r="Z154" s="127">
        <f t="shared" si="15"/>
        <v>-207.5</v>
      </c>
      <c r="AB154" s="169"/>
    </row>
    <row r="155" spans="1:28">
      <c r="A155" s="1">
        <v>144</v>
      </c>
      <c r="C155" s="9">
        <v>1</v>
      </c>
      <c r="D155" s="1" t="s">
        <v>561</v>
      </c>
      <c r="E155" s="1">
        <v>766</v>
      </c>
      <c r="F155" s="1" t="s">
        <v>556</v>
      </c>
      <c r="H155" s="206">
        <v>1240</v>
      </c>
      <c r="I155" s="166">
        <v>4</v>
      </c>
      <c r="J155" s="166"/>
      <c r="K155" s="167"/>
      <c r="L155" s="123">
        <v>32161.88</v>
      </c>
      <c r="M155" s="123">
        <v>155.63</v>
      </c>
      <c r="N155" s="123"/>
      <c r="O155" s="123"/>
      <c r="P155" s="123">
        <f t="shared" si="14"/>
        <v>32317.510000000002</v>
      </c>
      <c r="Q155" s="119"/>
      <c r="R155" s="125">
        <v>30.14</v>
      </c>
      <c r="S155" s="119"/>
      <c r="T155" s="126">
        <f t="shared" si="16"/>
        <v>62691.200000000004</v>
      </c>
      <c r="U155" s="126">
        <f t="shared" si="12"/>
        <v>180.84</v>
      </c>
      <c r="V155" s="126"/>
      <c r="W155" s="126"/>
      <c r="X155" s="126">
        <f t="shared" si="13"/>
        <v>62872.04</v>
      </c>
      <c r="Y155" s="120"/>
      <c r="Z155" s="127">
        <f t="shared" si="15"/>
        <v>30554.53</v>
      </c>
      <c r="AB155" s="169"/>
    </row>
    <row r="156" spans="1:28">
      <c r="A156" s="1">
        <v>145</v>
      </c>
      <c r="C156" s="9">
        <v>1</v>
      </c>
      <c r="D156" s="1" t="s">
        <v>562</v>
      </c>
      <c r="E156" s="1">
        <v>767</v>
      </c>
      <c r="F156" s="1" t="s">
        <v>556</v>
      </c>
      <c r="H156" s="206">
        <v>1240</v>
      </c>
      <c r="I156" s="166">
        <v>150</v>
      </c>
      <c r="J156" s="166"/>
      <c r="K156" s="167"/>
      <c r="L156" s="123">
        <v>28465.45</v>
      </c>
      <c r="M156" s="123">
        <v>5165.1099999999997</v>
      </c>
      <c r="N156" s="123"/>
      <c r="O156" s="123"/>
      <c r="P156" s="123">
        <f t="shared" si="14"/>
        <v>33630.559999999998</v>
      </c>
      <c r="Q156" s="119"/>
      <c r="R156" s="125">
        <v>30.74</v>
      </c>
      <c r="S156" s="119"/>
      <c r="T156" s="126">
        <f t="shared" si="16"/>
        <v>63939.199999999997</v>
      </c>
      <c r="U156" s="126">
        <f t="shared" si="12"/>
        <v>6916.5</v>
      </c>
      <c r="V156" s="126"/>
      <c r="W156" s="126"/>
      <c r="X156" s="126">
        <f t="shared" si="13"/>
        <v>70855.7</v>
      </c>
      <c r="Y156" s="120"/>
      <c r="Z156" s="127">
        <f t="shared" si="15"/>
        <v>37225.14</v>
      </c>
      <c r="AB156" s="169"/>
    </row>
    <row r="157" spans="1:28">
      <c r="A157" s="1">
        <v>146</v>
      </c>
      <c r="C157" s="9">
        <v>1</v>
      </c>
      <c r="D157" s="1" t="s">
        <v>563</v>
      </c>
      <c r="E157" s="1">
        <v>768</v>
      </c>
      <c r="F157" s="1" t="s">
        <v>556</v>
      </c>
      <c r="H157" s="206">
        <v>1160</v>
      </c>
      <c r="I157" s="166">
        <v>239</v>
      </c>
      <c r="J157" s="166"/>
      <c r="K157" s="167"/>
      <c r="L157" s="123">
        <v>43207.68</v>
      </c>
      <c r="M157" s="123">
        <v>13353.42</v>
      </c>
      <c r="N157" s="123"/>
      <c r="O157" s="123"/>
      <c r="P157" s="123">
        <f t="shared" si="14"/>
        <v>56561.1</v>
      </c>
      <c r="Q157" s="119"/>
      <c r="R157" s="125">
        <v>41.9</v>
      </c>
      <c r="S157" s="119"/>
      <c r="T157" s="126">
        <f t="shared" si="16"/>
        <v>87152</v>
      </c>
      <c r="U157" s="126">
        <f t="shared" si="12"/>
        <v>15021.150000000001</v>
      </c>
      <c r="V157" s="126"/>
      <c r="W157" s="126"/>
      <c r="X157" s="126">
        <f t="shared" si="13"/>
        <v>102173.15</v>
      </c>
      <c r="Y157" s="120"/>
      <c r="Z157" s="127">
        <f t="shared" si="15"/>
        <v>45612.049999999996</v>
      </c>
      <c r="AB157" s="169"/>
    </row>
    <row r="158" spans="1:28">
      <c r="A158" s="1">
        <v>147</v>
      </c>
      <c r="C158" s="9">
        <v>1</v>
      </c>
      <c r="D158" s="1" t="s">
        <v>564</v>
      </c>
      <c r="E158" s="1">
        <v>770</v>
      </c>
      <c r="F158" s="1" t="s">
        <v>556</v>
      </c>
      <c r="H158" s="206">
        <v>1120</v>
      </c>
      <c r="I158" s="166">
        <v>163</v>
      </c>
      <c r="J158" s="166"/>
      <c r="K158" s="167"/>
      <c r="L158" s="123">
        <v>30368.799999999999</v>
      </c>
      <c r="M158" s="123">
        <v>6629.72</v>
      </c>
      <c r="N158" s="123"/>
      <c r="O158" s="123"/>
      <c r="P158" s="123">
        <f t="shared" si="14"/>
        <v>36998.519999999997</v>
      </c>
      <c r="Q158" s="119"/>
      <c r="R158" s="125">
        <v>35.49</v>
      </c>
      <c r="S158" s="119"/>
      <c r="T158" s="126">
        <f t="shared" si="16"/>
        <v>73819.199999999997</v>
      </c>
      <c r="U158" s="126">
        <f t="shared" si="12"/>
        <v>8677.3050000000003</v>
      </c>
      <c r="V158" s="126"/>
      <c r="W158" s="126"/>
      <c r="X158" s="126">
        <f t="shared" si="13"/>
        <v>82496.505000000005</v>
      </c>
      <c r="Y158" s="120"/>
      <c r="Z158" s="127">
        <f t="shared" si="15"/>
        <v>45497.985000000008</v>
      </c>
      <c r="AB158" s="169"/>
    </row>
    <row r="159" spans="1:28">
      <c r="A159" s="1">
        <v>148</v>
      </c>
      <c r="C159" s="9">
        <v>1</v>
      </c>
      <c r="D159" s="1" t="s">
        <v>565</v>
      </c>
      <c r="E159" s="1">
        <v>771</v>
      </c>
      <c r="F159" s="1" t="s">
        <v>556</v>
      </c>
      <c r="H159" s="206">
        <v>1120</v>
      </c>
      <c r="I159" s="166">
        <v>251</v>
      </c>
      <c r="J159" s="166"/>
      <c r="K159" s="167"/>
      <c r="L159" s="123">
        <v>30368.83</v>
      </c>
      <c r="M159" s="123">
        <v>10208.91</v>
      </c>
      <c r="N159" s="123"/>
      <c r="O159" s="123"/>
      <c r="P159" s="123">
        <f t="shared" si="14"/>
        <v>40577.740000000005</v>
      </c>
      <c r="Q159" s="119"/>
      <c r="R159" s="125">
        <v>35.49</v>
      </c>
      <c r="S159" s="119"/>
      <c r="T159" s="126">
        <f t="shared" si="16"/>
        <v>73819.199999999997</v>
      </c>
      <c r="U159" s="126">
        <f t="shared" si="12"/>
        <v>13361.985000000001</v>
      </c>
      <c r="V159" s="126"/>
      <c r="W159" s="126"/>
      <c r="X159" s="126">
        <f t="shared" si="13"/>
        <v>87181.184999999998</v>
      </c>
      <c r="Y159" s="120"/>
      <c r="Z159" s="127">
        <f t="shared" si="15"/>
        <v>46603.444999999992</v>
      </c>
      <c r="AB159" s="169"/>
    </row>
    <row r="160" spans="1:28">
      <c r="A160" s="1">
        <v>149</v>
      </c>
      <c r="C160" s="9">
        <v>1</v>
      </c>
      <c r="D160" s="1" t="s">
        <v>566</v>
      </c>
      <c r="E160" s="1">
        <v>772</v>
      </c>
      <c r="F160" s="1" t="s">
        <v>556</v>
      </c>
      <c r="H160" s="206">
        <v>1080</v>
      </c>
      <c r="I160" s="166">
        <v>11</v>
      </c>
      <c r="J160" s="166"/>
      <c r="K160" s="167"/>
      <c r="L160" s="123">
        <v>22313.88</v>
      </c>
      <c r="M160" s="123">
        <v>340.91</v>
      </c>
      <c r="N160" s="123"/>
      <c r="O160" s="123"/>
      <c r="P160" s="123">
        <f t="shared" si="14"/>
        <v>22654.79</v>
      </c>
      <c r="Q160" s="119"/>
      <c r="R160" s="125">
        <v>36.86</v>
      </c>
      <c r="S160" s="119"/>
      <c r="T160" s="126">
        <f t="shared" si="16"/>
        <v>76668.800000000003</v>
      </c>
      <c r="U160" s="126">
        <f t="shared" si="12"/>
        <v>608.18999999999994</v>
      </c>
      <c r="V160" s="126"/>
      <c r="W160" s="126"/>
      <c r="X160" s="126">
        <f t="shared" si="13"/>
        <v>77276.990000000005</v>
      </c>
      <c r="Y160" s="120"/>
      <c r="Z160" s="127">
        <f t="shared" si="15"/>
        <v>54622.200000000004</v>
      </c>
      <c r="AB160" s="169"/>
    </row>
    <row r="161" spans="1:28">
      <c r="A161" s="1">
        <v>150</v>
      </c>
      <c r="C161" s="9">
        <v>1</v>
      </c>
      <c r="D161" s="1" t="s">
        <v>567</v>
      </c>
      <c r="E161" s="1">
        <v>773</v>
      </c>
      <c r="F161" s="1" t="s">
        <v>225</v>
      </c>
      <c r="H161" s="206">
        <v>1080</v>
      </c>
      <c r="I161" s="166"/>
      <c r="J161" s="166"/>
      <c r="K161" s="167"/>
      <c r="L161" s="123">
        <v>22313.88</v>
      </c>
      <c r="M161" s="123"/>
      <c r="N161" s="123"/>
      <c r="O161" s="123"/>
      <c r="P161" s="123">
        <f t="shared" si="14"/>
        <v>22313.88</v>
      </c>
      <c r="Q161" s="119"/>
      <c r="R161" s="125">
        <v>23.41</v>
      </c>
      <c r="S161" s="119"/>
      <c r="T161" s="126">
        <f t="shared" si="16"/>
        <v>48692.800000000003</v>
      </c>
      <c r="U161" s="126">
        <f t="shared" si="12"/>
        <v>0</v>
      </c>
      <c r="V161" s="126"/>
      <c r="W161" s="126"/>
      <c r="X161" s="126">
        <f t="shared" si="13"/>
        <v>48692.800000000003</v>
      </c>
      <c r="Y161" s="120"/>
      <c r="Z161" s="127">
        <f t="shared" si="15"/>
        <v>26378.920000000002</v>
      </c>
      <c r="AB161" s="169"/>
    </row>
    <row r="162" spans="1:28">
      <c r="A162" s="1">
        <v>151</v>
      </c>
      <c r="C162" s="9">
        <v>1</v>
      </c>
      <c r="D162" s="1" t="s">
        <v>568</v>
      </c>
      <c r="E162" s="1">
        <v>774</v>
      </c>
      <c r="F162" s="1" t="s">
        <v>556</v>
      </c>
      <c r="H162" s="206">
        <v>1080</v>
      </c>
      <c r="I162" s="166">
        <v>12</v>
      </c>
      <c r="J162" s="166"/>
      <c r="K162" s="167"/>
      <c r="L162" s="123">
        <v>32573.88</v>
      </c>
      <c r="M162" s="123">
        <v>542.91</v>
      </c>
      <c r="N162" s="123"/>
      <c r="O162" s="123"/>
      <c r="P162" s="123">
        <f t="shared" si="14"/>
        <v>33116.79</v>
      </c>
      <c r="Q162" s="119"/>
      <c r="R162" s="125">
        <v>34.369999999999997</v>
      </c>
      <c r="S162" s="119"/>
      <c r="T162" s="126">
        <f t="shared" si="16"/>
        <v>71489.599999999991</v>
      </c>
      <c r="U162" s="126">
        <f t="shared" si="12"/>
        <v>618.65999999999985</v>
      </c>
      <c r="V162" s="126"/>
      <c r="W162" s="126"/>
      <c r="X162" s="126">
        <f t="shared" si="13"/>
        <v>72108.259999999995</v>
      </c>
      <c r="Y162" s="120"/>
      <c r="Z162" s="127">
        <f t="shared" si="15"/>
        <v>38991.469999999994</v>
      </c>
      <c r="AB162" s="169"/>
    </row>
    <row r="163" spans="1:28">
      <c r="A163" s="1">
        <v>152</v>
      </c>
      <c r="C163" s="9">
        <v>1</v>
      </c>
      <c r="D163" s="1" t="s">
        <v>569</v>
      </c>
      <c r="E163" s="1">
        <v>775</v>
      </c>
      <c r="F163" s="1" t="s">
        <v>225</v>
      </c>
      <c r="H163" s="206">
        <v>1040</v>
      </c>
      <c r="I163" s="166"/>
      <c r="J163" s="166"/>
      <c r="K163" s="167"/>
      <c r="L163" s="123">
        <v>21487.439999999999</v>
      </c>
      <c r="M163" s="123"/>
      <c r="N163" s="123"/>
      <c r="O163" s="123"/>
      <c r="P163" s="123">
        <f t="shared" si="14"/>
        <v>21487.439999999999</v>
      </c>
      <c r="Q163" s="119"/>
      <c r="R163" s="125">
        <v>23.41</v>
      </c>
      <c r="S163" s="119"/>
      <c r="T163" s="126">
        <f t="shared" si="16"/>
        <v>48692.800000000003</v>
      </c>
      <c r="U163" s="126">
        <f t="shared" si="12"/>
        <v>0</v>
      </c>
      <c r="V163" s="126"/>
      <c r="W163" s="126"/>
      <c r="X163" s="126">
        <f t="shared" si="13"/>
        <v>48692.800000000003</v>
      </c>
      <c r="Y163" s="120"/>
      <c r="Z163" s="127">
        <f t="shared" si="15"/>
        <v>27205.360000000004</v>
      </c>
      <c r="AB163" s="169"/>
    </row>
    <row r="164" spans="1:28">
      <c r="A164" s="1">
        <v>153</v>
      </c>
      <c r="C164" s="9">
        <v>1</v>
      </c>
      <c r="D164" s="1" t="s">
        <v>570</v>
      </c>
      <c r="E164" s="1">
        <v>777</v>
      </c>
      <c r="F164" s="1" t="s">
        <v>123</v>
      </c>
      <c r="H164" s="206">
        <v>632</v>
      </c>
      <c r="I164" s="166">
        <v>10.5</v>
      </c>
      <c r="J164" s="166">
        <v>30.24</v>
      </c>
      <c r="K164" s="167" t="s">
        <v>298</v>
      </c>
      <c r="L164" s="123">
        <v>19061.75</v>
      </c>
      <c r="M164" s="123">
        <v>475.03</v>
      </c>
      <c r="N164" s="123">
        <v>912.07</v>
      </c>
      <c r="O164" s="123"/>
      <c r="P164" s="123">
        <f t="shared" si="14"/>
        <v>20448.849999999999</v>
      </c>
      <c r="Q164" s="119"/>
      <c r="R164" s="125"/>
      <c r="S164" s="119"/>
      <c r="T164" s="126">
        <f t="shared" si="16"/>
        <v>0</v>
      </c>
      <c r="U164" s="126">
        <f t="shared" si="12"/>
        <v>0</v>
      </c>
      <c r="V164" s="126"/>
      <c r="W164" s="126"/>
      <c r="X164" s="126">
        <f t="shared" si="13"/>
        <v>0</v>
      </c>
      <c r="Y164" s="120"/>
      <c r="Z164" s="127">
        <f t="shared" si="15"/>
        <v>-20448.849999999999</v>
      </c>
      <c r="AB164" s="169"/>
    </row>
    <row r="165" spans="1:28">
      <c r="A165" s="1">
        <v>154</v>
      </c>
      <c r="C165" s="9">
        <v>1</v>
      </c>
      <c r="D165" s="1" t="s">
        <v>571</v>
      </c>
      <c r="E165" s="1">
        <v>778</v>
      </c>
      <c r="F165" s="1" t="s">
        <v>225</v>
      </c>
      <c r="H165" s="206">
        <v>792</v>
      </c>
      <c r="I165" s="166"/>
      <c r="J165" s="166"/>
      <c r="K165" s="167"/>
      <c r="L165" s="123">
        <v>16362.72</v>
      </c>
      <c r="M165" s="123"/>
      <c r="N165" s="123"/>
      <c r="O165" s="123"/>
      <c r="P165" s="123">
        <f t="shared" si="14"/>
        <v>16362.72</v>
      </c>
      <c r="Q165" s="119"/>
      <c r="R165" s="125">
        <v>22.25</v>
      </c>
      <c r="S165" s="119"/>
      <c r="T165" s="126">
        <f t="shared" si="16"/>
        <v>46280</v>
      </c>
      <c r="U165" s="126">
        <f t="shared" si="12"/>
        <v>0</v>
      </c>
      <c r="V165" s="126"/>
      <c r="W165" s="126"/>
      <c r="X165" s="126">
        <f t="shared" si="13"/>
        <v>46280</v>
      </c>
      <c r="Y165" s="120"/>
      <c r="Z165" s="127">
        <f t="shared" si="15"/>
        <v>29917.279999999999</v>
      </c>
      <c r="AB165" s="169"/>
    </row>
    <row r="166" spans="1:28">
      <c r="A166" s="1">
        <v>155</v>
      </c>
      <c r="C166" s="9">
        <v>1</v>
      </c>
      <c r="D166" s="1" t="s">
        <v>572</v>
      </c>
      <c r="E166" s="1">
        <v>779</v>
      </c>
      <c r="F166" s="1" t="s">
        <v>556</v>
      </c>
      <c r="H166" s="206">
        <v>560</v>
      </c>
      <c r="I166" s="166">
        <v>23</v>
      </c>
      <c r="J166" s="166"/>
      <c r="K166" s="167"/>
      <c r="L166" s="123">
        <v>11570.16</v>
      </c>
      <c r="M166" s="123">
        <v>712.82</v>
      </c>
      <c r="N166" s="123"/>
      <c r="O166" s="123"/>
      <c r="P166" s="123">
        <f t="shared" si="14"/>
        <v>12282.98</v>
      </c>
      <c r="Q166" s="119"/>
      <c r="R166" s="125">
        <v>27.16</v>
      </c>
      <c r="S166" s="119"/>
      <c r="T166" s="126">
        <f t="shared" si="16"/>
        <v>56492.800000000003</v>
      </c>
      <c r="U166" s="126">
        <f t="shared" ref="U166:U179" si="17">(+I166*R166)*1.5</f>
        <v>937.02</v>
      </c>
      <c r="V166" s="126"/>
      <c r="W166" s="126"/>
      <c r="X166" s="126">
        <f t="shared" ref="X166:X179" si="18">SUM(T166:W166)</f>
        <v>57429.82</v>
      </c>
      <c r="Y166" s="120"/>
      <c r="Z166" s="127">
        <f t="shared" si="15"/>
        <v>45146.84</v>
      </c>
      <c r="AB166" s="169"/>
    </row>
    <row r="167" spans="1:28">
      <c r="A167" s="1">
        <v>156</v>
      </c>
      <c r="C167" s="9">
        <v>1</v>
      </c>
      <c r="D167" s="1" t="s">
        <v>573</v>
      </c>
      <c r="E167" s="1">
        <v>780</v>
      </c>
      <c r="F167" s="1" t="s">
        <v>556</v>
      </c>
      <c r="H167" s="206">
        <v>520</v>
      </c>
      <c r="I167" s="166">
        <v>53.5</v>
      </c>
      <c r="J167" s="166"/>
      <c r="K167" s="167"/>
      <c r="L167" s="123">
        <v>12302.68</v>
      </c>
      <c r="M167" s="123">
        <v>1898.66</v>
      </c>
      <c r="N167" s="123"/>
      <c r="O167" s="123"/>
      <c r="P167" s="123">
        <f t="shared" ref="P167:P179" si="19">SUM(L167:O167)</f>
        <v>14201.34</v>
      </c>
      <c r="Q167" s="119"/>
      <c r="R167" s="125">
        <v>31.18</v>
      </c>
      <c r="S167" s="119"/>
      <c r="T167" s="126">
        <f t="shared" si="16"/>
        <v>64854.400000000001</v>
      </c>
      <c r="U167" s="126">
        <f t="shared" si="17"/>
        <v>2502.1949999999997</v>
      </c>
      <c r="V167" s="126"/>
      <c r="W167" s="126"/>
      <c r="X167" s="126">
        <f t="shared" si="18"/>
        <v>67356.595000000001</v>
      </c>
      <c r="Y167" s="120"/>
      <c r="Z167" s="127">
        <f t="shared" ref="Z167:Z179" si="20">X167-P167</f>
        <v>53155.255000000005</v>
      </c>
      <c r="AB167" s="169"/>
    </row>
    <row r="168" spans="1:28">
      <c r="A168" s="1">
        <v>157</v>
      </c>
      <c r="C168" s="9">
        <v>1</v>
      </c>
      <c r="D168" s="1" t="s">
        <v>574</v>
      </c>
      <c r="E168" s="1">
        <v>781</v>
      </c>
      <c r="F168" s="1" t="s">
        <v>556</v>
      </c>
      <c r="H168" s="206">
        <v>520</v>
      </c>
      <c r="I168" s="166">
        <v>24</v>
      </c>
      <c r="J168" s="166"/>
      <c r="K168" s="167"/>
      <c r="L168" s="123">
        <v>20238.919999999998</v>
      </c>
      <c r="M168" s="123">
        <v>1401.17</v>
      </c>
      <c r="N168" s="123"/>
      <c r="O168" s="123"/>
      <c r="P168" s="123">
        <f t="shared" si="19"/>
        <v>21640.089999999997</v>
      </c>
      <c r="Q168" s="119"/>
      <c r="R168" s="125">
        <v>40.51</v>
      </c>
      <c r="S168" s="119"/>
      <c r="T168" s="126">
        <f t="shared" ref="T168:T179" si="21">R168*2080</f>
        <v>84260.800000000003</v>
      </c>
      <c r="U168" s="126">
        <f t="shared" si="17"/>
        <v>1458.3600000000001</v>
      </c>
      <c r="V168" s="126"/>
      <c r="W168" s="126"/>
      <c r="X168" s="126">
        <f t="shared" si="18"/>
        <v>85719.16</v>
      </c>
      <c r="Y168" s="120"/>
      <c r="Z168" s="127">
        <f t="shared" si="20"/>
        <v>64079.070000000007</v>
      </c>
      <c r="AB168" s="169"/>
    </row>
    <row r="169" spans="1:28">
      <c r="A169" s="1">
        <v>158</v>
      </c>
      <c r="C169" s="9">
        <v>1</v>
      </c>
      <c r="D169" s="1" t="s">
        <v>575</v>
      </c>
      <c r="E169" s="1">
        <v>782</v>
      </c>
      <c r="F169" s="1" t="s">
        <v>123</v>
      </c>
      <c r="H169" s="206">
        <v>480</v>
      </c>
      <c r="I169" s="166"/>
      <c r="J169" s="166"/>
      <c r="K169" s="167"/>
      <c r="L169" s="123">
        <v>43846.2</v>
      </c>
      <c r="M169" s="123"/>
      <c r="N169" s="123"/>
      <c r="O169" s="123"/>
      <c r="P169" s="123">
        <f t="shared" si="19"/>
        <v>43846.2</v>
      </c>
      <c r="Q169" s="119"/>
      <c r="R169" s="125"/>
      <c r="S169" s="119"/>
      <c r="T169" s="126">
        <f t="shared" si="21"/>
        <v>0</v>
      </c>
      <c r="U169" s="126">
        <f t="shared" si="17"/>
        <v>0</v>
      </c>
      <c r="V169" s="126"/>
      <c r="W169" s="126"/>
      <c r="X169" s="126">
        <f t="shared" si="18"/>
        <v>0</v>
      </c>
      <c r="Y169" s="120"/>
      <c r="Z169" s="127">
        <f t="shared" si="20"/>
        <v>-43846.2</v>
      </c>
      <c r="AB169" s="169"/>
    </row>
    <row r="170" spans="1:28">
      <c r="A170" s="1">
        <v>159</v>
      </c>
      <c r="C170" s="9">
        <v>1</v>
      </c>
      <c r="D170" s="1" t="s">
        <v>576</v>
      </c>
      <c r="E170" s="1">
        <v>783</v>
      </c>
      <c r="F170" s="1" t="s">
        <v>556</v>
      </c>
      <c r="H170" s="206">
        <v>240</v>
      </c>
      <c r="I170" s="166">
        <v>30</v>
      </c>
      <c r="J170" s="166"/>
      <c r="K170" s="167"/>
      <c r="L170" s="123">
        <v>8940</v>
      </c>
      <c r="M170" s="123">
        <v>1676.26</v>
      </c>
      <c r="N170" s="123"/>
      <c r="O170" s="123"/>
      <c r="P170" s="123">
        <f t="shared" si="19"/>
        <v>10616.26</v>
      </c>
      <c r="Q170" s="119"/>
      <c r="R170" s="125">
        <v>39.700000000000003</v>
      </c>
      <c r="S170" s="119"/>
      <c r="T170" s="126">
        <f t="shared" si="21"/>
        <v>82576</v>
      </c>
      <c r="U170" s="126">
        <f t="shared" si="17"/>
        <v>1786.5</v>
      </c>
      <c r="V170" s="126"/>
      <c r="W170" s="126"/>
      <c r="X170" s="126">
        <f t="shared" si="18"/>
        <v>84362.5</v>
      </c>
      <c r="Y170" s="120"/>
      <c r="Z170" s="127">
        <f t="shared" si="20"/>
        <v>73746.240000000005</v>
      </c>
      <c r="AB170" s="169"/>
    </row>
    <row r="171" spans="1:28">
      <c r="A171" s="1">
        <v>160</v>
      </c>
      <c r="C171" s="9">
        <v>1</v>
      </c>
      <c r="D171" s="1" t="s">
        <v>577</v>
      </c>
      <c r="E171" s="1">
        <v>784</v>
      </c>
      <c r="F171" s="1" t="s">
        <v>225</v>
      </c>
      <c r="H171" s="206">
        <v>200</v>
      </c>
      <c r="I171" s="166"/>
      <c r="J171" s="166"/>
      <c r="K171" s="167"/>
      <c r="L171" s="123">
        <v>4132.2</v>
      </c>
      <c r="M171" s="123"/>
      <c r="N171" s="123"/>
      <c r="O171" s="123"/>
      <c r="P171" s="123">
        <f t="shared" si="19"/>
        <v>4132.2</v>
      </c>
      <c r="Q171" s="119"/>
      <c r="R171" s="125">
        <v>22.25</v>
      </c>
      <c r="S171" s="119"/>
      <c r="T171" s="126">
        <f t="shared" si="21"/>
        <v>46280</v>
      </c>
      <c r="U171" s="126">
        <f t="shared" si="17"/>
        <v>0</v>
      </c>
      <c r="V171" s="126"/>
      <c r="W171" s="126"/>
      <c r="X171" s="126">
        <f t="shared" si="18"/>
        <v>46280</v>
      </c>
      <c r="Y171" s="120"/>
      <c r="Z171" s="127">
        <f t="shared" si="20"/>
        <v>42147.8</v>
      </c>
      <c r="AB171" s="169"/>
    </row>
    <row r="172" spans="1:28">
      <c r="A172" s="1">
        <v>161</v>
      </c>
      <c r="C172" s="9">
        <v>1</v>
      </c>
      <c r="D172" s="1" t="s">
        <v>578</v>
      </c>
      <c r="E172" s="1">
        <v>787</v>
      </c>
      <c r="F172" s="1" t="s">
        <v>225</v>
      </c>
      <c r="H172" s="206">
        <v>0</v>
      </c>
      <c r="I172" s="166"/>
      <c r="J172" s="166"/>
      <c r="K172" s="167"/>
      <c r="L172" s="123">
        <v>0</v>
      </c>
      <c r="M172" s="123"/>
      <c r="N172" s="123"/>
      <c r="O172" s="123"/>
      <c r="P172" s="123">
        <f t="shared" si="19"/>
        <v>0</v>
      </c>
      <c r="Q172" s="119"/>
      <c r="R172" s="125">
        <v>36.86</v>
      </c>
      <c r="S172" s="119"/>
      <c r="T172" s="126">
        <f t="shared" si="21"/>
        <v>76668.800000000003</v>
      </c>
      <c r="U172" s="126">
        <f t="shared" si="17"/>
        <v>0</v>
      </c>
      <c r="V172" s="126"/>
      <c r="W172" s="126"/>
      <c r="X172" s="126">
        <f t="shared" si="18"/>
        <v>76668.800000000003</v>
      </c>
      <c r="Y172" s="120"/>
      <c r="Z172" s="127">
        <f t="shared" si="20"/>
        <v>76668.800000000003</v>
      </c>
      <c r="AB172" s="169"/>
    </row>
    <row r="173" spans="1:28">
      <c r="A173" s="1">
        <v>162</v>
      </c>
      <c r="C173" s="9">
        <v>1</v>
      </c>
      <c r="D173" s="1" t="s">
        <v>579</v>
      </c>
      <c r="E173" s="1">
        <v>788</v>
      </c>
      <c r="F173" s="1" t="s">
        <v>225</v>
      </c>
      <c r="H173" s="206">
        <v>0</v>
      </c>
      <c r="I173" s="166"/>
      <c r="J173" s="166"/>
      <c r="K173" s="167"/>
      <c r="L173" s="123">
        <v>0</v>
      </c>
      <c r="M173" s="123"/>
      <c r="N173" s="123"/>
      <c r="O173" s="123"/>
      <c r="P173" s="123">
        <f t="shared" si="19"/>
        <v>0</v>
      </c>
      <c r="Q173" s="119"/>
      <c r="R173" s="125">
        <v>36.86</v>
      </c>
      <c r="S173" s="119"/>
      <c r="T173" s="126">
        <f t="shared" si="21"/>
        <v>76668.800000000003</v>
      </c>
      <c r="U173" s="126">
        <f t="shared" si="17"/>
        <v>0</v>
      </c>
      <c r="V173" s="126"/>
      <c r="W173" s="126"/>
      <c r="X173" s="126">
        <f t="shared" si="18"/>
        <v>76668.800000000003</v>
      </c>
      <c r="Y173" s="120"/>
      <c r="Z173" s="127">
        <f t="shared" si="20"/>
        <v>76668.800000000003</v>
      </c>
      <c r="AB173" s="169"/>
    </row>
    <row r="174" spans="1:28">
      <c r="A174" s="1">
        <v>163</v>
      </c>
      <c r="C174" s="9">
        <v>1</v>
      </c>
      <c r="D174" s="1" t="s">
        <v>580</v>
      </c>
      <c r="E174" s="1">
        <v>789</v>
      </c>
      <c r="F174" s="1" t="s">
        <v>225</v>
      </c>
      <c r="H174" s="206">
        <v>0</v>
      </c>
      <c r="I174" s="166"/>
      <c r="J174" s="166"/>
      <c r="K174" s="167"/>
      <c r="L174" s="123">
        <v>0</v>
      </c>
      <c r="M174" s="123"/>
      <c r="N174" s="123"/>
      <c r="O174" s="123"/>
      <c r="P174" s="123">
        <f t="shared" si="19"/>
        <v>0</v>
      </c>
      <c r="Q174" s="119"/>
      <c r="R174" s="125">
        <v>24.24</v>
      </c>
      <c r="S174" s="119"/>
      <c r="T174" s="126">
        <f t="shared" si="21"/>
        <v>50419.199999999997</v>
      </c>
      <c r="U174" s="126">
        <f t="shared" si="17"/>
        <v>0</v>
      </c>
      <c r="V174" s="126"/>
      <c r="W174" s="126"/>
      <c r="X174" s="126">
        <f t="shared" si="18"/>
        <v>50419.199999999997</v>
      </c>
      <c r="Y174" s="120"/>
      <c r="Z174" s="127">
        <f t="shared" si="20"/>
        <v>50419.199999999997</v>
      </c>
      <c r="AB174" s="169"/>
    </row>
    <row r="175" spans="1:28">
      <c r="A175" s="1">
        <v>164</v>
      </c>
      <c r="C175" s="9">
        <v>1</v>
      </c>
      <c r="D175" s="1" t="s">
        <v>581</v>
      </c>
      <c r="E175" s="1">
        <v>790</v>
      </c>
      <c r="F175" s="1" t="s">
        <v>225</v>
      </c>
      <c r="H175" s="206">
        <v>0</v>
      </c>
      <c r="I175" s="166"/>
      <c r="J175" s="166"/>
      <c r="K175" s="167"/>
      <c r="L175" s="123">
        <v>0</v>
      </c>
      <c r="M175" s="123"/>
      <c r="N175" s="123"/>
      <c r="O175" s="123"/>
      <c r="P175" s="123">
        <f t="shared" si="19"/>
        <v>0</v>
      </c>
      <c r="Q175" s="119"/>
      <c r="R175" s="125">
        <v>24.57</v>
      </c>
      <c r="S175" s="119"/>
      <c r="T175" s="126">
        <f t="shared" si="21"/>
        <v>51105.599999999999</v>
      </c>
      <c r="U175" s="126">
        <f t="shared" si="17"/>
        <v>0</v>
      </c>
      <c r="V175" s="126"/>
      <c r="W175" s="126"/>
      <c r="X175" s="126">
        <f t="shared" si="18"/>
        <v>51105.599999999999</v>
      </c>
      <c r="Y175" s="120"/>
      <c r="Z175" s="127">
        <f t="shared" si="20"/>
        <v>51105.599999999999</v>
      </c>
      <c r="AB175" s="169"/>
    </row>
    <row r="176" spans="1:28">
      <c r="A176" s="1">
        <v>165</v>
      </c>
      <c r="C176" s="9">
        <v>1</v>
      </c>
      <c r="D176" s="1" t="s">
        <v>582</v>
      </c>
      <c r="E176" s="1">
        <v>791</v>
      </c>
      <c r="F176" s="1" t="s">
        <v>225</v>
      </c>
      <c r="H176" s="206">
        <v>0</v>
      </c>
      <c r="I176" s="166"/>
      <c r="J176" s="166"/>
      <c r="K176" s="167"/>
      <c r="L176" s="123">
        <v>0</v>
      </c>
      <c r="M176" s="123"/>
      <c r="N176" s="123"/>
      <c r="O176" s="123"/>
      <c r="P176" s="123">
        <f t="shared" si="19"/>
        <v>0</v>
      </c>
      <c r="Q176" s="119"/>
      <c r="R176" s="125">
        <v>30.74</v>
      </c>
      <c r="S176" s="119"/>
      <c r="T176" s="126">
        <f t="shared" si="21"/>
        <v>63939.199999999997</v>
      </c>
      <c r="U176" s="126">
        <f t="shared" si="17"/>
        <v>0</v>
      </c>
      <c r="V176" s="126"/>
      <c r="W176" s="126"/>
      <c r="X176" s="126">
        <f t="shared" si="18"/>
        <v>63939.199999999997</v>
      </c>
      <c r="Y176" s="120"/>
      <c r="Z176" s="127">
        <f t="shared" si="20"/>
        <v>63939.199999999997</v>
      </c>
      <c r="AB176" s="169"/>
    </row>
    <row r="177" spans="1:28">
      <c r="A177" s="1">
        <v>166</v>
      </c>
      <c r="C177" s="9">
        <v>1</v>
      </c>
      <c r="D177" s="1" t="s">
        <v>583</v>
      </c>
      <c r="E177" s="1">
        <v>792</v>
      </c>
      <c r="F177" s="1" t="s">
        <v>225</v>
      </c>
      <c r="H177" s="206">
        <v>0</v>
      </c>
      <c r="I177" s="166"/>
      <c r="J177" s="166"/>
      <c r="K177" s="167"/>
      <c r="L177" s="123">
        <v>0</v>
      </c>
      <c r="M177" s="123"/>
      <c r="N177" s="123"/>
      <c r="O177" s="123"/>
      <c r="P177" s="123">
        <f t="shared" si="19"/>
        <v>0</v>
      </c>
      <c r="Q177" s="119"/>
      <c r="R177" s="125">
        <v>21.14</v>
      </c>
      <c r="S177" s="119"/>
      <c r="T177" s="126">
        <f t="shared" si="21"/>
        <v>43971.200000000004</v>
      </c>
      <c r="U177" s="126">
        <f t="shared" si="17"/>
        <v>0</v>
      </c>
      <c r="V177" s="126"/>
      <c r="W177" s="126"/>
      <c r="X177" s="126">
        <f t="shared" si="18"/>
        <v>43971.200000000004</v>
      </c>
      <c r="Y177" s="120"/>
      <c r="Z177" s="127">
        <f t="shared" si="20"/>
        <v>43971.200000000004</v>
      </c>
      <c r="AB177" s="169"/>
    </row>
    <row r="178" spans="1:28">
      <c r="A178" s="1">
        <v>167</v>
      </c>
      <c r="C178" s="9">
        <v>1</v>
      </c>
      <c r="D178" s="1" t="s">
        <v>584</v>
      </c>
      <c r="E178" s="1">
        <v>793</v>
      </c>
      <c r="F178" s="1" t="s">
        <v>225</v>
      </c>
      <c r="H178" s="206">
        <v>0</v>
      </c>
      <c r="I178" s="166"/>
      <c r="J178" s="166"/>
      <c r="K178" s="167"/>
      <c r="L178" s="123">
        <v>0</v>
      </c>
      <c r="M178" s="123"/>
      <c r="N178" s="123"/>
      <c r="O178" s="123"/>
      <c r="P178" s="123">
        <f t="shared" si="19"/>
        <v>0</v>
      </c>
      <c r="Q178" s="119"/>
      <c r="R178" s="125">
        <v>27.81</v>
      </c>
      <c r="S178" s="119"/>
      <c r="T178" s="126">
        <f t="shared" si="21"/>
        <v>57844.799999999996</v>
      </c>
      <c r="U178" s="126">
        <f t="shared" si="17"/>
        <v>0</v>
      </c>
      <c r="V178" s="126"/>
      <c r="W178" s="126"/>
      <c r="X178" s="126">
        <f t="shared" si="18"/>
        <v>57844.799999999996</v>
      </c>
      <c r="Y178" s="120"/>
      <c r="Z178" s="127">
        <f t="shared" si="20"/>
        <v>57844.799999999996</v>
      </c>
      <c r="AB178" s="169"/>
    </row>
    <row r="179" spans="1:28">
      <c r="A179" s="1">
        <v>168</v>
      </c>
      <c r="C179" s="9">
        <v>1</v>
      </c>
      <c r="D179" s="1" t="s">
        <v>585</v>
      </c>
      <c r="E179" s="1">
        <v>794</v>
      </c>
      <c r="F179" s="1" t="s">
        <v>225</v>
      </c>
      <c r="H179" s="206">
        <v>0</v>
      </c>
      <c r="I179" s="166"/>
      <c r="J179" s="166"/>
      <c r="K179" s="167"/>
      <c r="L179" s="123">
        <v>0</v>
      </c>
      <c r="M179" s="123"/>
      <c r="N179" s="123"/>
      <c r="O179" s="123"/>
      <c r="P179" s="123">
        <f t="shared" si="19"/>
        <v>0</v>
      </c>
      <c r="Q179" s="119"/>
      <c r="R179" s="125">
        <v>21.14</v>
      </c>
      <c r="S179" s="119"/>
      <c r="T179" s="126">
        <f t="shared" si="21"/>
        <v>43971.200000000004</v>
      </c>
      <c r="U179" s="126">
        <f t="shared" si="17"/>
        <v>0</v>
      </c>
      <c r="V179" s="126"/>
      <c r="W179" s="126"/>
      <c r="X179" s="126">
        <f t="shared" si="18"/>
        <v>43971.200000000004</v>
      </c>
      <c r="Y179" s="120"/>
      <c r="Z179" s="127">
        <f t="shared" si="20"/>
        <v>43971.200000000004</v>
      </c>
      <c r="AB179" s="169"/>
    </row>
    <row r="180" spans="1:28">
      <c r="A180" s="1">
        <v>169</v>
      </c>
      <c r="C180" s="147">
        <f>SUM(C38:C179)</f>
        <v>142</v>
      </c>
      <c r="D180" s="128" t="s">
        <v>22</v>
      </c>
      <c r="E180" s="128" t="s">
        <v>22</v>
      </c>
      <c r="F180" s="128"/>
      <c r="H180" s="174">
        <f>SUM(H38:H172)</f>
        <v>223996.75</v>
      </c>
      <c r="I180" s="174">
        <f t="shared" ref="I180:J180" si="22">SUM(I38:I171)</f>
        <v>23925.05</v>
      </c>
      <c r="J180" s="170">
        <f t="shared" si="22"/>
        <v>8012.4299999999994</v>
      </c>
      <c r="K180" s="167"/>
      <c r="L180" s="174">
        <f>SUM(L38:L172)</f>
        <v>8192757.0399999982</v>
      </c>
      <c r="M180" s="174">
        <f t="shared" ref="M180:O180" si="23">SUM(M38:M171)</f>
        <v>1396338.6099999994</v>
      </c>
      <c r="N180" s="174">
        <f t="shared" si="23"/>
        <v>388777.72000000003</v>
      </c>
      <c r="O180" s="174">
        <f t="shared" si="23"/>
        <v>21696.16</v>
      </c>
      <c r="P180" s="174">
        <f>SUM(P38:P172)</f>
        <v>9999569.5299999937</v>
      </c>
      <c r="Q180" s="119"/>
      <c r="R180" s="129"/>
      <c r="S180" s="119"/>
      <c r="T180" s="174">
        <f>SUM(T38:T179)</f>
        <v>8917063.9999999981</v>
      </c>
      <c r="U180" s="174">
        <f t="shared" ref="U180:X180" si="24">SUM(U38:U179)</f>
        <v>1433067.5174999998</v>
      </c>
      <c r="V180" s="174">
        <f t="shared" si="24"/>
        <v>0</v>
      </c>
      <c r="W180" s="174">
        <f t="shared" si="24"/>
        <v>0</v>
      </c>
      <c r="X180" s="174">
        <f t="shared" si="24"/>
        <v>10350131.517500004</v>
      </c>
      <c r="Y180" s="313"/>
      <c r="Z180" s="174">
        <f>SUM(Z38:Z179)</f>
        <v>350561.98750000022</v>
      </c>
      <c r="AB180" s="169"/>
    </row>
    <row r="181" spans="1:28">
      <c r="A181" s="1">
        <v>170</v>
      </c>
      <c r="E181" s="1"/>
      <c r="I181" s="206"/>
      <c r="J181" s="166"/>
      <c r="K181" s="167"/>
      <c r="L181" s="206"/>
      <c r="M181" s="206"/>
      <c r="N181" s="206"/>
      <c r="O181" s="206"/>
      <c r="P181" s="206"/>
      <c r="Q181" s="119"/>
      <c r="R181" s="125"/>
      <c r="S181" s="119"/>
      <c r="T181" s="207"/>
      <c r="U181" s="207"/>
      <c r="V181" s="207"/>
      <c r="W181" s="207"/>
      <c r="X181" s="207"/>
      <c r="Y181" s="313"/>
      <c r="Z181" s="314"/>
      <c r="AB181" s="169"/>
    </row>
    <row r="182" spans="1:28">
      <c r="A182" s="1">
        <v>171</v>
      </c>
      <c r="C182" s="147">
        <f>+C35+C180</f>
        <v>165</v>
      </c>
      <c r="D182" s="128" t="s">
        <v>14</v>
      </c>
      <c r="E182" s="128" t="s">
        <v>14</v>
      </c>
      <c r="F182" s="128"/>
      <c r="H182" s="174">
        <f>+H35+H180</f>
        <v>263236.75</v>
      </c>
      <c r="I182" s="174">
        <f t="shared" ref="I182:J182" si="25">+I35+I180</f>
        <v>25111.55</v>
      </c>
      <c r="J182" s="170">
        <f t="shared" si="25"/>
        <v>9955.6899999999987</v>
      </c>
      <c r="K182" s="167"/>
      <c r="L182" s="174">
        <f t="shared" ref="L182:P182" si="26">+L35+L180</f>
        <v>10496901.249999998</v>
      </c>
      <c r="M182" s="174">
        <f t="shared" si="26"/>
        <v>1476921.5799999994</v>
      </c>
      <c r="N182" s="174">
        <f t="shared" si="26"/>
        <v>509704.2</v>
      </c>
      <c r="O182" s="174">
        <f t="shared" si="26"/>
        <v>51680.759999999995</v>
      </c>
      <c r="P182" s="174">
        <f t="shared" si="26"/>
        <v>12535207.789999994</v>
      </c>
      <c r="Q182" s="119"/>
      <c r="R182" s="129"/>
      <c r="S182" s="119"/>
      <c r="T182" s="174">
        <f t="shared" ref="T182:X182" si="27">+T35+T180</f>
        <v>11825758.999999998</v>
      </c>
      <c r="U182" s="174">
        <f t="shared" si="27"/>
        <v>1433067.5174999998</v>
      </c>
      <c r="V182" s="174">
        <f t="shared" si="27"/>
        <v>0</v>
      </c>
      <c r="W182" s="174">
        <f t="shared" si="27"/>
        <v>0</v>
      </c>
      <c r="X182" s="174">
        <f t="shared" si="27"/>
        <v>13258826.517500004</v>
      </c>
      <c r="Y182" s="313"/>
      <c r="Z182" s="174">
        <f>+Z35+Z180</f>
        <v>723618.72750000015</v>
      </c>
      <c r="AB182" s="169"/>
    </row>
    <row r="183" spans="1:28" s="177" customFormat="1">
      <c r="A183" s="1">
        <v>172</v>
      </c>
      <c r="C183" s="391"/>
      <c r="D183" s="159"/>
      <c r="E183" s="159"/>
      <c r="F183" s="159"/>
      <c r="G183" s="159"/>
      <c r="H183" s="309"/>
      <c r="K183" s="179"/>
      <c r="Q183" s="180"/>
      <c r="S183" s="119"/>
      <c r="T183" s="315"/>
      <c r="U183" s="315"/>
      <c r="V183" s="315"/>
      <c r="W183" s="315"/>
      <c r="X183" s="315"/>
      <c r="Y183" s="316"/>
      <c r="Z183" s="315"/>
      <c r="AB183" s="169"/>
    </row>
    <row r="184" spans="1:28">
      <c r="A184" s="1">
        <v>173</v>
      </c>
      <c r="E184" s="1"/>
    </row>
    <row r="185" spans="1:28">
      <c r="A185" s="1">
        <v>174</v>
      </c>
      <c r="D185" s="151" t="s">
        <v>299</v>
      </c>
      <c r="E185" s="151" t="s">
        <v>299</v>
      </c>
      <c r="H185" s="310" t="s">
        <v>123</v>
      </c>
      <c r="I185" s="238" t="s">
        <v>368</v>
      </c>
      <c r="L185" s="137" t="s">
        <v>124</v>
      </c>
      <c r="M185" s="238" t="s">
        <v>586</v>
      </c>
      <c r="T185" s="137" t="s">
        <v>225</v>
      </c>
      <c r="U185" s="238" t="s">
        <v>441</v>
      </c>
    </row>
    <row r="186" spans="1:28">
      <c r="A186" s="1">
        <v>175</v>
      </c>
      <c r="E186" s="1"/>
    </row>
    <row r="187" spans="1:28" ht="30" customHeight="1">
      <c r="A187" s="1">
        <v>176</v>
      </c>
      <c r="B187" s="38"/>
      <c r="C187" s="453" t="s">
        <v>302</v>
      </c>
      <c r="D187" s="453"/>
      <c r="E187" s="453"/>
      <c r="F187" s="453"/>
      <c r="G187" s="453"/>
      <c r="H187" s="453"/>
      <c r="I187" s="453"/>
      <c r="J187" s="453"/>
      <c r="K187" s="453"/>
      <c r="L187" s="453"/>
      <c r="M187" s="453"/>
      <c r="N187" s="453"/>
      <c r="O187" s="453"/>
      <c r="P187" s="453"/>
      <c r="Q187" s="453"/>
      <c r="R187" s="453"/>
      <c r="S187" s="453"/>
      <c r="T187" s="453"/>
      <c r="U187" s="453"/>
      <c r="V187" s="453"/>
      <c r="W187" s="453"/>
      <c r="X187" s="453"/>
      <c r="Y187" s="38"/>
      <c r="Z187" s="38"/>
    </row>
    <row r="188" spans="1:28">
      <c r="A188" s="1">
        <v>177</v>
      </c>
      <c r="E188" s="1"/>
    </row>
    <row r="189" spans="1:28">
      <c r="A189" s="1">
        <v>178</v>
      </c>
      <c r="D189" s="134" t="s">
        <v>303</v>
      </c>
      <c r="E189" s="1"/>
      <c r="G189" s="2"/>
      <c r="I189" s="44" t="s">
        <v>126</v>
      </c>
      <c r="J189" s="44" t="s">
        <v>125</v>
      </c>
      <c r="K189" s="44"/>
      <c r="L189" s="44"/>
      <c r="M189" s="44" t="s">
        <v>15</v>
      </c>
      <c r="N189" s="183"/>
    </row>
    <row r="190" spans="1:28" ht="3.75" customHeight="1">
      <c r="A190" s="1">
        <v>179</v>
      </c>
      <c r="E190" s="1"/>
      <c r="G190" s="2"/>
    </row>
    <row r="191" spans="1:28">
      <c r="A191" s="1">
        <v>180</v>
      </c>
      <c r="C191" s="10"/>
      <c r="D191" s="1" t="s">
        <v>116</v>
      </c>
      <c r="F191" s="2" t="s">
        <v>117</v>
      </c>
      <c r="I191" s="86">
        <f>+H218+H219+H220+H221</f>
        <v>992316.8391812084</v>
      </c>
      <c r="J191" s="96">
        <f>+I218+I219+I220+I221</f>
        <v>7.9162376565297371E-2</v>
      </c>
      <c r="M191" s="169">
        <f>$Z$182*J191</f>
        <v>57283.378196056314</v>
      </c>
    </row>
    <row r="192" spans="1:28">
      <c r="A192" s="1">
        <v>181</v>
      </c>
      <c r="C192" s="10"/>
      <c r="D192" s="1" t="s">
        <v>118</v>
      </c>
      <c r="F192" s="2" t="s">
        <v>119</v>
      </c>
      <c r="I192" s="86">
        <f>+H222+H223+H224</f>
        <v>3028893.6320973653</v>
      </c>
      <c r="J192" s="96">
        <f>+I222+I223+I224</f>
        <v>0.24163090740067283</v>
      </c>
      <c r="M192" s="169">
        <f t="shared" ref="M192:M195" si="28">$Z$182*J192</f>
        <v>174848.64973794523</v>
      </c>
    </row>
    <row r="193" spans="1:14">
      <c r="A193" s="1">
        <v>182</v>
      </c>
      <c r="C193" s="10"/>
      <c r="D193" s="1" t="s">
        <v>120</v>
      </c>
      <c r="F193" s="2" t="s">
        <v>103</v>
      </c>
      <c r="I193" s="86">
        <f>+H225</f>
        <v>1355105.0601029573</v>
      </c>
      <c r="J193" s="96">
        <f>+I225</f>
        <v>0.10810391683156846</v>
      </c>
      <c r="M193" s="169">
        <f t="shared" si="28"/>
        <v>78226.018735425416</v>
      </c>
    </row>
    <row r="194" spans="1:14">
      <c r="A194" s="1">
        <v>183</v>
      </c>
      <c r="C194" s="10"/>
      <c r="D194" s="1" t="s">
        <v>304</v>
      </c>
      <c r="F194" s="2" t="s">
        <v>78</v>
      </c>
      <c r="I194" s="86">
        <f>+H226+H227</f>
        <v>300285.49660259567</v>
      </c>
      <c r="J194" s="96">
        <f>+I226+I227</f>
        <v>2.3955366492386103E-2</v>
      </c>
      <c r="M194" s="169">
        <f t="shared" si="28"/>
        <v>17334.551818016575</v>
      </c>
    </row>
    <row r="195" spans="1:14">
      <c r="A195" s="1">
        <v>184</v>
      </c>
      <c r="C195" s="10"/>
      <c r="D195" s="1" t="s">
        <v>121</v>
      </c>
      <c r="F195" s="2" t="s">
        <v>115</v>
      </c>
      <c r="I195" s="86">
        <f>+H228+H229+H230+H231</f>
        <v>1327374.2942272061</v>
      </c>
      <c r="J195" s="96">
        <f>+I228+I229+I230+I231</f>
        <v>0.10589168658007772</v>
      </c>
      <c r="M195" s="169">
        <f t="shared" si="28"/>
        <v>76625.207495904688</v>
      </c>
    </row>
    <row r="196" spans="1:14" ht="15" customHeight="1">
      <c r="A196" s="1">
        <v>185</v>
      </c>
      <c r="C196" s="10"/>
      <c r="D196" s="4"/>
      <c r="F196" s="241"/>
      <c r="G196" s="4"/>
      <c r="H196" s="208"/>
      <c r="I196" s="303">
        <f>SUM(I191:I195)</f>
        <v>7003975.3222113326</v>
      </c>
      <c r="J196" s="184">
        <f>SUM(J191:J195)</f>
        <v>0.55874425387000248</v>
      </c>
      <c r="M196" s="240">
        <f>SUM(M191:M195)</f>
        <v>404317.80598334823</v>
      </c>
    </row>
    <row r="197" spans="1:14" ht="5.25" customHeight="1">
      <c r="A197" s="1">
        <v>186</v>
      </c>
      <c r="C197" s="10"/>
      <c r="F197" s="2"/>
      <c r="I197" s="304"/>
      <c r="J197" s="96"/>
    </row>
    <row r="198" spans="1:14">
      <c r="A198" s="1">
        <v>187</v>
      </c>
      <c r="C198" s="10"/>
      <c r="D198" s="1" t="s">
        <v>305</v>
      </c>
      <c r="F198" s="2" t="s">
        <v>306</v>
      </c>
      <c r="I198" s="86">
        <f>+H212+H213</f>
        <v>3325849.5417298554</v>
      </c>
      <c r="J198" s="96">
        <f>+I212+I213</f>
        <v>0.26532065508349417</v>
      </c>
      <c r="M198" s="169">
        <f t="shared" ref="M198:M201" si="29">$Z$182*J198</f>
        <v>191990.9948109845</v>
      </c>
    </row>
    <row r="199" spans="1:14">
      <c r="A199" s="1">
        <v>188</v>
      </c>
      <c r="C199" s="10"/>
      <c r="D199" s="1" t="s">
        <v>307</v>
      </c>
      <c r="F199" s="2" t="s">
        <v>308</v>
      </c>
      <c r="I199" s="86">
        <f>+H214</f>
        <v>240286.55757459457</v>
      </c>
      <c r="J199" s="96">
        <f>+I214</f>
        <v>1.9168932948869864E-2</v>
      </c>
      <c r="M199" s="169">
        <f t="shared" si="29"/>
        <v>13870.998867994036</v>
      </c>
    </row>
    <row r="200" spans="1:14">
      <c r="A200" s="1">
        <v>189</v>
      </c>
      <c r="C200" s="10"/>
      <c r="D200" s="1" t="s">
        <v>309</v>
      </c>
      <c r="F200" s="2" t="s">
        <v>310</v>
      </c>
      <c r="I200" s="86">
        <f>+H215+H216</f>
        <v>695939.05850225931</v>
      </c>
      <c r="J200" s="96">
        <f>+I215+I216</f>
        <v>5.5518749294945616E-2</v>
      </c>
      <c r="M200" s="169">
        <f t="shared" si="29"/>
        <v>40174.40671720008</v>
      </c>
    </row>
    <row r="201" spans="1:14">
      <c r="A201" s="1">
        <v>190</v>
      </c>
      <c r="C201" s="10"/>
      <c r="D201" s="1" t="s">
        <v>311</v>
      </c>
      <c r="F201" s="2" t="s">
        <v>312</v>
      </c>
      <c r="I201" s="86">
        <f>+H217</f>
        <v>1269157.3072657583</v>
      </c>
      <c r="J201" s="96">
        <f>+I217</f>
        <v>0.10124740880268777</v>
      </c>
      <c r="M201" s="169">
        <f t="shared" si="29"/>
        <v>73264.521120473248</v>
      </c>
    </row>
    <row r="202" spans="1:14" ht="15" customHeight="1">
      <c r="A202" s="1">
        <v>191</v>
      </c>
      <c r="C202" s="10"/>
      <c r="D202" s="4"/>
      <c r="E202" s="41"/>
      <c r="F202" s="4"/>
      <c r="G202" s="4"/>
      <c r="H202" s="208" t="s">
        <v>22</v>
      </c>
      <c r="I202" s="303">
        <f>SUM(I198:I201)</f>
        <v>5531232.4650724679</v>
      </c>
      <c r="J202" s="184">
        <f>SUM(J198:J201)</f>
        <v>0.44125574612999741</v>
      </c>
      <c r="M202" s="185">
        <f>SUM(M198:M201)</f>
        <v>319300.92151665187</v>
      </c>
    </row>
    <row r="203" spans="1:14" ht="5.25" customHeight="1">
      <c r="A203" s="1">
        <v>192</v>
      </c>
      <c r="C203" s="10"/>
      <c r="I203" s="304"/>
      <c r="J203" s="34"/>
    </row>
    <row r="204" spans="1:14" ht="15" customHeight="1" thickBot="1">
      <c r="A204" s="1">
        <v>193</v>
      </c>
      <c r="C204" s="10"/>
      <c r="D204" s="42"/>
      <c r="F204" s="3" t="s">
        <v>43</v>
      </c>
      <c r="G204" s="42"/>
      <c r="H204" s="311"/>
      <c r="I204" s="305">
        <f>I196+I202</f>
        <v>12535207.787283801</v>
      </c>
      <c r="J204" s="43">
        <f>J196+J202</f>
        <v>0.99999999999999989</v>
      </c>
      <c r="M204" s="186">
        <f>M196+M202</f>
        <v>723618.72750000004</v>
      </c>
      <c r="N204" s="306"/>
    </row>
    <row r="205" spans="1:14" ht="13.5" thickTop="1">
      <c r="A205" s="1">
        <v>194</v>
      </c>
      <c r="E205" s="1"/>
    </row>
    <row r="206" spans="1:14">
      <c r="A206" s="1">
        <v>195</v>
      </c>
      <c r="E206" s="1"/>
    </row>
    <row r="207" spans="1:14">
      <c r="A207" s="1">
        <v>196</v>
      </c>
      <c r="E207" s="1"/>
    </row>
    <row r="208" spans="1:14">
      <c r="A208" s="1">
        <v>197</v>
      </c>
      <c r="E208" s="1"/>
    </row>
    <row r="209" spans="1:10">
      <c r="A209" s="1">
        <v>198</v>
      </c>
      <c r="D209" s="134" t="s">
        <v>313</v>
      </c>
      <c r="E209" s="1"/>
      <c r="G209" s="2"/>
    </row>
    <row r="210" spans="1:10">
      <c r="A210" s="1">
        <v>199</v>
      </c>
      <c r="E210" s="1"/>
      <c r="G210" s="2"/>
      <c r="I210" s="1"/>
      <c r="J210" s="1"/>
    </row>
    <row r="211" spans="1:10">
      <c r="A211" s="1">
        <v>200</v>
      </c>
      <c r="D211" s="134" t="s">
        <v>314</v>
      </c>
      <c r="F211" s="134" t="s">
        <v>315</v>
      </c>
      <c r="G211" s="2"/>
      <c r="H211" s="312" t="s">
        <v>316</v>
      </c>
      <c r="I211" s="187" t="s">
        <v>317</v>
      </c>
    </row>
    <row r="212" spans="1:10">
      <c r="A212" s="1">
        <v>201</v>
      </c>
      <c r="D212" s="1">
        <v>107.2</v>
      </c>
      <c r="F212" s="2" t="s">
        <v>587</v>
      </c>
      <c r="G212" s="2"/>
      <c r="H212" s="206">
        <v>2824898.6970771379</v>
      </c>
      <c r="I212" s="298">
        <f>H212/$H$232</f>
        <v>0.22535714963918063</v>
      </c>
    </row>
    <row r="213" spans="1:10">
      <c r="A213" s="1">
        <v>202</v>
      </c>
      <c r="D213" s="1">
        <v>108.8</v>
      </c>
      <c r="F213" s="2" t="s">
        <v>588</v>
      </c>
      <c r="G213" s="2"/>
      <c r="H213" s="206">
        <v>500950.84465271764</v>
      </c>
      <c r="I213" s="298">
        <f t="shared" ref="I213:I231" si="30">H213/$H$232</f>
        <v>3.9963505444313541E-2</v>
      </c>
    </row>
    <row r="214" spans="1:10">
      <c r="A214" s="1">
        <v>203</v>
      </c>
      <c r="D214" s="1">
        <v>163</v>
      </c>
      <c r="F214" s="2" t="s">
        <v>589</v>
      </c>
      <c r="G214" s="2"/>
      <c r="H214" s="206">
        <v>240286.55757459457</v>
      </c>
      <c r="I214" s="298">
        <f t="shared" si="30"/>
        <v>1.9168932948869864E-2</v>
      </c>
    </row>
    <row r="215" spans="1:10">
      <c r="A215" s="1">
        <v>204</v>
      </c>
      <c r="D215" s="1">
        <v>184.4</v>
      </c>
      <c r="F215" s="2" t="s">
        <v>590</v>
      </c>
      <c r="G215" s="2"/>
      <c r="H215" s="206">
        <v>190609.47694241622</v>
      </c>
      <c r="I215" s="298">
        <f t="shared" si="30"/>
        <v>1.5205928786898758E-2</v>
      </c>
    </row>
    <row r="216" spans="1:10">
      <c r="A216" s="1">
        <v>205</v>
      </c>
      <c r="D216" s="1">
        <v>184.99</v>
      </c>
      <c r="F216" s="2" t="s">
        <v>591</v>
      </c>
      <c r="G216" s="2"/>
      <c r="H216" s="206">
        <v>505329.58155984309</v>
      </c>
      <c r="I216" s="298">
        <f t="shared" si="30"/>
        <v>4.0312820508046861E-2</v>
      </c>
    </row>
    <row r="217" spans="1:10">
      <c r="A217" s="1">
        <v>206</v>
      </c>
      <c r="D217" s="1">
        <v>242.4</v>
      </c>
      <c r="F217" s="2" t="s">
        <v>592</v>
      </c>
      <c r="G217" s="2"/>
      <c r="H217" s="206">
        <v>1269157.3072657583</v>
      </c>
      <c r="I217" s="298">
        <f t="shared" si="30"/>
        <v>0.10124740880268777</v>
      </c>
    </row>
    <row r="218" spans="1:10">
      <c r="A218" s="1">
        <v>207</v>
      </c>
      <c r="D218" s="1">
        <v>580</v>
      </c>
      <c r="F218" s="2" t="s">
        <v>593</v>
      </c>
      <c r="G218" s="2"/>
      <c r="H218" s="206">
        <v>66730.207819504227</v>
      </c>
      <c r="I218" s="298">
        <f t="shared" si="30"/>
        <v>5.3234225512558261E-3</v>
      </c>
    </row>
    <row r="219" spans="1:10">
      <c r="A219" s="1">
        <v>208</v>
      </c>
      <c r="D219" s="1">
        <v>586</v>
      </c>
      <c r="F219" s="2" t="s">
        <v>594</v>
      </c>
      <c r="G219" s="2"/>
      <c r="H219" s="206">
        <v>685339.02989683824</v>
      </c>
      <c r="I219" s="298">
        <f t="shared" si="30"/>
        <v>5.4673128800630862E-2</v>
      </c>
    </row>
    <row r="220" spans="1:10">
      <c r="A220" s="1">
        <v>209</v>
      </c>
      <c r="D220" s="1">
        <v>588</v>
      </c>
      <c r="F220" s="2" t="s">
        <v>595</v>
      </c>
      <c r="G220" s="2"/>
      <c r="H220" s="206">
        <v>134467.85552847787</v>
      </c>
      <c r="I220" s="298">
        <f t="shared" si="30"/>
        <v>1.0727213924996702E-2</v>
      </c>
    </row>
    <row r="221" spans="1:10">
      <c r="A221" s="1">
        <v>210</v>
      </c>
      <c r="D221" s="1">
        <v>588.1</v>
      </c>
      <c r="F221" s="2" t="s">
        <v>596</v>
      </c>
      <c r="G221" s="2"/>
      <c r="H221" s="206">
        <v>105779.74593638806</v>
      </c>
      <c r="I221" s="298">
        <f t="shared" si="30"/>
        <v>8.4386112884139927E-3</v>
      </c>
    </row>
    <row r="222" spans="1:10">
      <c r="A222" s="1">
        <v>211</v>
      </c>
      <c r="D222" s="1">
        <v>593</v>
      </c>
      <c r="F222" s="2" t="s">
        <v>597</v>
      </c>
      <c r="G222" s="2"/>
      <c r="H222" s="206">
        <v>2621880.5485207983</v>
      </c>
      <c r="I222" s="298">
        <f t="shared" si="30"/>
        <v>0.20916131531385826</v>
      </c>
    </row>
    <row r="223" spans="1:10">
      <c r="A223" s="1">
        <v>212</v>
      </c>
      <c r="D223" s="1">
        <v>593.1</v>
      </c>
      <c r="F223" s="2" t="s">
        <v>598</v>
      </c>
      <c r="G223" s="2"/>
      <c r="H223" s="206">
        <v>159467.83417370016</v>
      </c>
      <c r="I223" s="298">
        <f t="shared" si="30"/>
        <v>1.2721594797612409E-2</v>
      </c>
    </row>
    <row r="224" spans="1:10">
      <c r="A224" s="1">
        <v>213</v>
      </c>
      <c r="D224" s="1">
        <v>593.5</v>
      </c>
      <c r="F224" s="2" t="s">
        <v>599</v>
      </c>
      <c r="G224" s="2"/>
      <c r="H224" s="206">
        <v>247545.24940286647</v>
      </c>
      <c r="I224" s="298">
        <f t="shared" si="30"/>
        <v>1.9747997289202172E-2</v>
      </c>
    </row>
    <row r="225" spans="1:9">
      <c r="A225" s="1">
        <v>214</v>
      </c>
      <c r="D225" s="1">
        <v>903</v>
      </c>
      <c r="F225" s="2" t="s">
        <v>600</v>
      </c>
      <c r="G225" s="2"/>
      <c r="H225" s="206">
        <v>1355105.0601029573</v>
      </c>
      <c r="I225" s="298">
        <f t="shared" si="30"/>
        <v>0.10810391683156846</v>
      </c>
    </row>
    <row r="226" spans="1:9">
      <c r="A226" s="1">
        <v>215</v>
      </c>
      <c r="D226" s="1">
        <v>908</v>
      </c>
      <c r="F226" s="2" t="s">
        <v>601</v>
      </c>
      <c r="G226" s="2"/>
      <c r="H226" s="206">
        <v>153100.83473448813</v>
      </c>
      <c r="I226" s="298">
        <f t="shared" si="30"/>
        <v>1.2213665487842933E-2</v>
      </c>
    </row>
    <row r="227" spans="1:9">
      <c r="A227" s="1">
        <v>216</v>
      </c>
      <c r="D227" s="1">
        <v>909</v>
      </c>
      <c r="F227" s="2" t="s">
        <v>602</v>
      </c>
      <c r="G227" s="2"/>
      <c r="H227" s="206">
        <v>147184.66186810756</v>
      </c>
      <c r="I227" s="298">
        <f t="shared" si="30"/>
        <v>1.174170100454317E-2</v>
      </c>
    </row>
    <row r="228" spans="1:9">
      <c r="A228" s="1">
        <v>217</v>
      </c>
      <c r="D228" s="1">
        <v>920</v>
      </c>
      <c r="F228" s="2" t="s">
        <v>603</v>
      </c>
      <c r="G228" s="2"/>
      <c r="H228" s="206">
        <v>864039.82779365999</v>
      </c>
      <c r="I228" s="298">
        <f t="shared" si="30"/>
        <v>6.8929039107766155E-2</v>
      </c>
    </row>
    <row r="229" spans="1:9">
      <c r="A229" s="1">
        <v>218</v>
      </c>
      <c r="D229" s="1">
        <v>925</v>
      </c>
      <c r="F229" s="2" t="s">
        <v>604</v>
      </c>
      <c r="G229" s="2"/>
      <c r="H229" s="206">
        <v>168331.03625373458</v>
      </c>
      <c r="I229" s="298">
        <f t="shared" si="30"/>
        <v>1.3428659429522668E-2</v>
      </c>
    </row>
    <row r="230" spans="1:9">
      <c r="A230" s="1">
        <v>219</v>
      </c>
      <c r="D230" s="1">
        <v>930.28</v>
      </c>
      <c r="F230" s="2" t="s">
        <v>605</v>
      </c>
      <c r="G230" s="2"/>
      <c r="H230" s="206">
        <v>77349.397723831149</v>
      </c>
      <c r="I230" s="298">
        <f t="shared" si="30"/>
        <v>6.1705716439975867E-3</v>
      </c>
    </row>
    <row r="231" spans="1:9">
      <c r="A231" s="1">
        <v>220</v>
      </c>
      <c r="D231" s="1">
        <v>935</v>
      </c>
      <c r="F231" s="2" t="s">
        <v>606</v>
      </c>
      <c r="G231" s="2"/>
      <c r="H231" s="206">
        <v>217654.0324559802</v>
      </c>
      <c r="I231" s="298">
        <f t="shared" si="30"/>
        <v>1.7363416398791319E-2</v>
      </c>
    </row>
    <row r="232" spans="1:9" ht="15" customHeight="1">
      <c r="A232" s="1">
        <v>221</v>
      </c>
      <c r="D232" s="4"/>
      <c r="F232" s="41" t="s">
        <v>43</v>
      </c>
      <c r="G232" s="41"/>
      <c r="H232" s="303">
        <f>SUM(H212:H231)</f>
        <v>12535207.787283801</v>
      </c>
      <c r="I232" s="189">
        <f>SUM(I212:I231)</f>
        <v>1</v>
      </c>
    </row>
    <row r="233" spans="1:9">
      <c r="E233" s="1"/>
    </row>
    <row r="234" spans="1:9">
      <c r="E234" s="1"/>
    </row>
    <row r="235" spans="1:9">
      <c r="E235" s="1"/>
    </row>
    <row r="236" spans="1:9">
      <c r="E236" s="1"/>
    </row>
    <row r="237" spans="1:9">
      <c r="E237" s="1"/>
    </row>
    <row r="238" spans="1:9">
      <c r="E238" s="1"/>
    </row>
  </sheetData>
  <mergeCells count="10">
    <mergeCell ref="C187:X187"/>
    <mergeCell ref="A3:Z3"/>
    <mergeCell ref="A4:Z4"/>
    <mergeCell ref="A6:Z6"/>
    <mergeCell ref="C8:F8"/>
    <mergeCell ref="H8:J8"/>
    <mergeCell ref="L8:P8"/>
    <mergeCell ref="R8:R9"/>
    <mergeCell ref="T8:X8"/>
    <mergeCell ref="Z8:Z9"/>
  </mergeCells>
  <pageMargins left="0.7" right="0.7" top="0.75" bottom="0.75" header="0.3" footer="0.3"/>
  <pageSetup scale="69" fitToHeight="3" orientation="landscape" r:id="rId1"/>
  <headerFooter alignWithMargins="0">
    <oddFooter>&amp;RExhibit  JW-2
Page &amp;P of &amp;N</oddFooter>
  </headerFooter>
  <rowBreaks count="2" manualBreakCount="2">
    <brk id="149" max="25" man="1"/>
    <brk id="185" max="25" man="1"/>
  </rowBreaks>
  <ignoredErrors>
    <ignoredError sqref="H180:L180"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ACDDD-5B78-4503-8194-827B1B6D4604}">
  <sheetPr>
    <pageSetUpPr fitToPage="1"/>
  </sheetPr>
  <dimension ref="A1:L365"/>
  <sheetViews>
    <sheetView view="pageBreakPreview" zoomScale="60" zoomScaleNormal="100" workbookViewId="0">
      <selection activeCell="M20" sqref="M20"/>
    </sheetView>
  </sheetViews>
  <sheetFormatPr defaultColWidth="9.140625" defaultRowHeight="12.75"/>
  <cols>
    <col min="1" max="1" width="5.85546875" style="14" customWidth="1"/>
    <col min="2" max="2" width="2.28515625" style="10" customWidth="1"/>
    <col min="3" max="3" width="10.42578125" style="9" bestFit="1" customWidth="1"/>
    <col min="4" max="4" width="8.28515625" style="9" customWidth="1"/>
    <col min="5" max="5" width="33.28515625" style="10" bestFit="1" customWidth="1"/>
    <col min="6" max="6" width="11.85546875" style="10" customWidth="1"/>
    <col min="7" max="7" width="1.5703125" style="10" customWidth="1"/>
    <col min="8" max="8" width="41.7109375" style="10" bestFit="1" customWidth="1"/>
    <col min="9" max="9" width="12.42578125" style="10" bestFit="1" customWidth="1"/>
    <col min="10" max="10" width="10.42578125" style="327" bestFit="1" customWidth="1"/>
    <col min="11" max="16384" width="9.140625" style="10"/>
  </cols>
  <sheetData>
    <row r="1" spans="1:12">
      <c r="D1" s="150"/>
      <c r="K1" s="5" t="s">
        <v>372</v>
      </c>
    </row>
    <row r="2" spans="1:12" ht="20.25" customHeight="1">
      <c r="D2" s="150"/>
      <c r="F2" s="5"/>
      <c r="G2" s="5"/>
    </row>
    <row r="3" spans="1:12">
      <c r="A3" s="447" t="str">
        <f>RevReq!A1</f>
        <v>SOUTH KENTUCKY R.E.C.C.</v>
      </c>
      <c r="B3" s="447"/>
      <c r="C3" s="447"/>
      <c r="D3" s="447"/>
      <c r="E3" s="447"/>
      <c r="F3" s="447"/>
      <c r="G3" s="447"/>
      <c r="H3" s="447"/>
      <c r="I3" s="447"/>
      <c r="J3" s="447"/>
    </row>
    <row r="4" spans="1:12">
      <c r="A4" s="447" t="str">
        <f>RevReq!A3</f>
        <v>For the 12 Months Ended May 2024</v>
      </c>
      <c r="B4" s="447"/>
      <c r="C4" s="447"/>
      <c r="D4" s="447"/>
      <c r="E4" s="447"/>
      <c r="F4" s="447"/>
      <c r="G4" s="447"/>
      <c r="H4" s="447"/>
      <c r="I4" s="447"/>
      <c r="J4" s="447"/>
    </row>
    <row r="6" spans="1:12" s="6" customFormat="1" ht="15" customHeight="1">
      <c r="A6" s="448" t="s">
        <v>282</v>
      </c>
      <c r="B6" s="448"/>
      <c r="C6" s="448"/>
      <c r="D6" s="448"/>
      <c r="E6" s="448"/>
      <c r="F6" s="448"/>
      <c r="G6" s="448"/>
      <c r="H6" s="448"/>
      <c r="I6" s="448"/>
      <c r="J6" s="448"/>
    </row>
    <row r="7" spans="1:12">
      <c r="I7" s="317" t="s">
        <v>283</v>
      </c>
      <c r="J7" s="328" t="s">
        <v>283</v>
      </c>
      <c r="K7" s="9"/>
    </row>
    <row r="8" spans="1:12">
      <c r="A8" s="14" t="s">
        <v>0</v>
      </c>
      <c r="C8" s="9" t="s">
        <v>284</v>
      </c>
      <c r="D8" s="9" t="s">
        <v>109</v>
      </c>
      <c r="E8" s="9" t="s">
        <v>40</v>
      </c>
      <c r="F8" s="9" t="s">
        <v>267</v>
      </c>
      <c r="G8" s="9"/>
      <c r="H8" s="9" t="s">
        <v>1</v>
      </c>
      <c r="I8" s="317" t="s">
        <v>285</v>
      </c>
      <c r="J8" s="328" t="s">
        <v>607</v>
      </c>
      <c r="K8" s="9" t="s">
        <v>241</v>
      </c>
      <c r="L8" s="6"/>
    </row>
    <row r="9" spans="1:12">
      <c r="A9" s="353" t="s">
        <v>21</v>
      </c>
      <c r="C9" s="12" t="s">
        <v>18</v>
      </c>
      <c r="D9" s="12" t="s">
        <v>20</v>
      </c>
      <c r="E9" s="12" t="s">
        <v>19</v>
      </c>
      <c r="F9" s="12" t="s">
        <v>25</v>
      </c>
      <c r="G9" s="12"/>
      <c r="H9" s="12" t="s">
        <v>47</v>
      </c>
      <c r="I9" s="318" t="s">
        <v>48</v>
      </c>
      <c r="J9" s="329" t="s">
        <v>49</v>
      </c>
      <c r="K9" s="12" t="s">
        <v>50</v>
      </c>
    </row>
    <row r="10" spans="1:12">
      <c r="I10" s="133"/>
      <c r="J10" s="13"/>
      <c r="K10" s="244"/>
      <c r="L10" s="6"/>
    </row>
    <row r="11" spans="1:12" s="2" customFormat="1">
      <c r="A11" s="124">
        <v>1</v>
      </c>
      <c r="C11" s="394">
        <v>45086</v>
      </c>
      <c r="D11" s="238">
        <v>7055</v>
      </c>
      <c r="E11" s="161" t="s">
        <v>608</v>
      </c>
      <c r="F11" s="162">
        <v>763.2</v>
      </c>
      <c r="G11" s="162"/>
      <c r="H11" s="161" t="s">
        <v>609</v>
      </c>
      <c r="I11" s="261"/>
      <c r="J11" s="127"/>
      <c r="K11" s="1"/>
    </row>
    <row r="12" spans="1:12" s="2" customFormat="1">
      <c r="A12" s="124">
        <v>2</v>
      </c>
      <c r="C12" s="394">
        <v>45100</v>
      </c>
      <c r="D12" s="238">
        <v>7078</v>
      </c>
      <c r="E12" s="161" t="s">
        <v>608</v>
      </c>
      <c r="F12" s="162">
        <v>763.2</v>
      </c>
      <c r="G12" s="162"/>
      <c r="H12" s="161" t="s">
        <v>609</v>
      </c>
      <c r="I12" s="261"/>
      <c r="J12" s="127"/>
      <c r="K12" s="1"/>
    </row>
    <row r="13" spans="1:12" s="2" customFormat="1">
      <c r="A13" s="124">
        <v>3</v>
      </c>
      <c r="C13" s="394">
        <v>45114</v>
      </c>
      <c r="D13" s="238">
        <v>7107</v>
      </c>
      <c r="E13" s="161" t="s">
        <v>608</v>
      </c>
      <c r="F13" s="162">
        <v>763.2</v>
      </c>
      <c r="G13" s="162"/>
      <c r="H13" s="161" t="s">
        <v>609</v>
      </c>
      <c r="I13" s="261"/>
      <c r="J13" s="127"/>
      <c r="K13" s="1"/>
    </row>
    <row r="14" spans="1:12" s="2" customFormat="1">
      <c r="A14" s="124">
        <v>4</v>
      </c>
      <c r="C14" s="394">
        <v>45128</v>
      </c>
      <c r="D14" s="238">
        <v>7134</v>
      </c>
      <c r="E14" s="161" t="s">
        <v>608</v>
      </c>
      <c r="F14" s="162">
        <v>763.2</v>
      </c>
      <c r="G14" s="162"/>
      <c r="H14" s="161" t="s">
        <v>609</v>
      </c>
      <c r="I14" s="261"/>
      <c r="J14" s="127"/>
      <c r="K14" s="1"/>
    </row>
    <row r="15" spans="1:12" s="2" customFormat="1">
      <c r="A15" s="124">
        <v>5</v>
      </c>
      <c r="C15" s="394">
        <v>45142</v>
      </c>
      <c r="D15" s="238">
        <v>7167</v>
      </c>
      <c r="E15" s="161" t="s">
        <v>608</v>
      </c>
      <c r="F15" s="162">
        <v>763.2</v>
      </c>
      <c r="G15" s="162"/>
      <c r="H15" s="161" t="s">
        <v>609</v>
      </c>
      <c r="I15" s="261"/>
      <c r="J15" s="127"/>
      <c r="K15" s="1"/>
    </row>
    <row r="16" spans="1:12" s="2" customFormat="1">
      <c r="A16" s="124">
        <v>6</v>
      </c>
      <c r="C16" s="394">
        <v>45156</v>
      </c>
      <c r="D16" s="238">
        <v>7195</v>
      </c>
      <c r="E16" s="161" t="s">
        <v>608</v>
      </c>
      <c r="F16" s="162">
        <v>763.2</v>
      </c>
      <c r="G16" s="162"/>
      <c r="H16" s="161" t="s">
        <v>609</v>
      </c>
      <c r="I16" s="261"/>
      <c r="J16" s="127"/>
      <c r="K16" s="1"/>
    </row>
    <row r="17" spans="1:11" s="2" customFormat="1">
      <c r="A17" s="124">
        <v>7</v>
      </c>
      <c r="C17" s="394">
        <v>45170</v>
      </c>
      <c r="D17" s="238">
        <v>7233</v>
      </c>
      <c r="E17" s="161" t="s">
        <v>608</v>
      </c>
      <c r="F17" s="162">
        <v>763.2</v>
      </c>
      <c r="G17" s="162"/>
      <c r="H17" s="161" t="s">
        <v>609</v>
      </c>
      <c r="I17" s="261"/>
      <c r="J17" s="127"/>
      <c r="K17" s="1"/>
    </row>
    <row r="18" spans="1:11" s="2" customFormat="1">
      <c r="A18" s="124">
        <v>8</v>
      </c>
      <c r="C18" s="394">
        <v>45184</v>
      </c>
      <c r="D18" s="238">
        <v>7268</v>
      </c>
      <c r="E18" s="161" t="s">
        <v>608</v>
      </c>
      <c r="F18" s="162">
        <v>763.2</v>
      </c>
      <c r="G18" s="162"/>
      <c r="H18" s="161" t="s">
        <v>609</v>
      </c>
      <c r="I18" s="261"/>
      <c r="J18" s="127"/>
      <c r="K18" s="1"/>
    </row>
    <row r="19" spans="1:11" s="2" customFormat="1">
      <c r="A19" s="124">
        <v>9</v>
      </c>
      <c r="C19" s="394">
        <v>45198</v>
      </c>
      <c r="D19" s="238">
        <v>7296</v>
      </c>
      <c r="E19" s="161" t="s">
        <v>608</v>
      </c>
      <c r="F19" s="162">
        <v>763.2</v>
      </c>
      <c r="G19" s="162"/>
      <c r="H19" s="161" t="s">
        <v>609</v>
      </c>
      <c r="I19" s="261"/>
      <c r="J19" s="127"/>
      <c r="K19" s="1"/>
    </row>
    <row r="20" spans="1:11" s="2" customFormat="1">
      <c r="A20" s="124">
        <v>10</v>
      </c>
      <c r="C20" s="394">
        <v>45212</v>
      </c>
      <c r="D20" s="238">
        <v>7328</v>
      </c>
      <c r="E20" s="161" t="s">
        <v>608</v>
      </c>
      <c r="F20" s="162">
        <v>763.2</v>
      </c>
      <c r="G20" s="162"/>
      <c r="H20" s="161" t="s">
        <v>609</v>
      </c>
      <c r="I20" s="261"/>
      <c r="J20" s="127"/>
      <c r="K20" s="1"/>
    </row>
    <row r="21" spans="1:11" s="2" customFormat="1">
      <c r="A21" s="124">
        <v>11</v>
      </c>
      <c r="C21" s="394">
        <v>45226</v>
      </c>
      <c r="D21" s="238">
        <v>7362</v>
      </c>
      <c r="E21" s="161" t="s">
        <v>608</v>
      </c>
      <c r="F21" s="162">
        <v>763.2</v>
      </c>
      <c r="G21" s="162"/>
      <c r="H21" s="161" t="s">
        <v>609</v>
      </c>
      <c r="I21" s="261"/>
      <c r="J21" s="127"/>
      <c r="K21" s="1"/>
    </row>
    <row r="22" spans="1:11" s="2" customFormat="1">
      <c r="A22" s="124">
        <v>12</v>
      </c>
      <c r="C22" s="394">
        <v>45240</v>
      </c>
      <c r="D22" s="238">
        <v>7402</v>
      </c>
      <c r="E22" s="161" t="s">
        <v>608</v>
      </c>
      <c r="F22" s="162">
        <v>763.2</v>
      </c>
      <c r="G22" s="162"/>
      <c r="H22" s="161" t="s">
        <v>609</v>
      </c>
      <c r="I22" s="261"/>
      <c r="J22" s="127"/>
      <c r="K22" s="1"/>
    </row>
    <row r="23" spans="1:11" s="2" customFormat="1">
      <c r="A23" s="124">
        <v>13</v>
      </c>
      <c r="C23" s="394">
        <v>45254</v>
      </c>
      <c r="D23" s="238">
        <v>7423</v>
      </c>
      <c r="E23" s="161" t="s">
        <v>608</v>
      </c>
      <c r="F23" s="162">
        <v>763.2</v>
      </c>
      <c r="G23" s="162"/>
      <c r="H23" s="161" t="s">
        <v>609</v>
      </c>
      <c r="I23" s="261"/>
      <c r="J23" s="127"/>
      <c r="K23" s="1"/>
    </row>
    <row r="24" spans="1:11" s="2" customFormat="1">
      <c r="A24" s="124">
        <v>14</v>
      </c>
      <c r="C24" s="394">
        <v>45268</v>
      </c>
      <c r="D24" s="238">
        <v>7474</v>
      </c>
      <c r="E24" s="161" t="s">
        <v>608</v>
      </c>
      <c r="F24" s="162">
        <v>763.2</v>
      </c>
      <c r="G24" s="162"/>
      <c r="H24" s="161" t="s">
        <v>609</v>
      </c>
      <c r="I24" s="261"/>
      <c r="J24" s="127"/>
      <c r="K24" s="1"/>
    </row>
    <row r="25" spans="1:11" s="2" customFormat="1">
      <c r="A25" s="124">
        <v>15</v>
      </c>
      <c r="C25" s="394">
        <v>45282</v>
      </c>
      <c r="D25" s="238">
        <v>7502</v>
      </c>
      <c r="E25" s="161" t="s">
        <v>608</v>
      </c>
      <c r="F25" s="162">
        <v>763.2</v>
      </c>
      <c r="G25" s="162"/>
      <c r="H25" s="161" t="s">
        <v>609</v>
      </c>
      <c r="I25" s="261"/>
      <c r="J25" s="127"/>
      <c r="K25" s="1"/>
    </row>
    <row r="26" spans="1:11" s="2" customFormat="1">
      <c r="A26" s="124">
        <v>16</v>
      </c>
      <c r="C26" s="394">
        <v>45296</v>
      </c>
      <c r="D26" s="238">
        <v>7544</v>
      </c>
      <c r="E26" s="161" t="s">
        <v>608</v>
      </c>
      <c r="F26" s="162">
        <v>763.2</v>
      </c>
      <c r="G26" s="162"/>
      <c r="H26" s="161" t="s">
        <v>609</v>
      </c>
      <c r="I26" s="261"/>
      <c r="J26" s="127"/>
      <c r="K26" s="1"/>
    </row>
    <row r="27" spans="1:11" s="2" customFormat="1">
      <c r="A27" s="124">
        <v>17</v>
      </c>
      <c r="C27" s="394">
        <v>45310</v>
      </c>
      <c r="D27" s="238">
        <v>7574</v>
      </c>
      <c r="E27" s="161" t="s">
        <v>608</v>
      </c>
      <c r="F27" s="162">
        <v>763.2</v>
      </c>
      <c r="G27" s="162"/>
      <c r="H27" s="161" t="s">
        <v>609</v>
      </c>
      <c r="I27" s="261"/>
      <c r="J27" s="127"/>
      <c r="K27" s="1"/>
    </row>
    <row r="28" spans="1:11" s="2" customFormat="1">
      <c r="A28" s="124">
        <v>18</v>
      </c>
      <c r="C28" s="394">
        <v>45324</v>
      </c>
      <c r="D28" s="238">
        <v>7627</v>
      </c>
      <c r="E28" s="161" t="s">
        <v>608</v>
      </c>
      <c r="F28" s="162">
        <v>763.2</v>
      </c>
      <c r="G28" s="162"/>
      <c r="H28" s="161" t="s">
        <v>609</v>
      </c>
      <c r="I28" s="261"/>
      <c r="J28" s="127"/>
      <c r="K28" s="1"/>
    </row>
    <row r="29" spans="1:11" s="2" customFormat="1">
      <c r="A29" s="124">
        <v>19</v>
      </c>
      <c r="C29" s="394">
        <v>45338</v>
      </c>
      <c r="D29" s="238">
        <v>7649</v>
      </c>
      <c r="E29" s="161" t="s">
        <v>608</v>
      </c>
      <c r="F29" s="162">
        <v>763.2</v>
      </c>
      <c r="G29" s="162"/>
      <c r="H29" s="161" t="s">
        <v>609</v>
      </c>
      <c r="I29" s="261"/>
      <c r="J29" s="127"/>
      <c r="K29" s="1"/>
    </row>
    <row r="30" spans="1:11" s="2" customFormat="1">
      <c r="A30" s="124">
        <v>20</v>
      </c>
      <c r="C30" s="394">
        <v>45352</v>
      </c>
      <c r="D30" s="238">
        <v>7693</v>
      </c>
      <c r="E30" s="161" t="s">
        <v>608</v>
      </c>
      <c r="F30" s="162">
        <v>763.2</v>
      </c>
      <c r="G30" s="162"/>
      <c r="H30" s="161" t="s">
        <v>609</v>
      </c>
      <c r="I30" s="261"/>
      <c r="J30" s="127"/>
      <c r="K30" s="1"/>
    </row>
    <row r="31" spans="1:11" s="2" customFormat="1">
      <c r="A31" s="124">
        <v>21</v>
      </c>
      <c r="C31" s="394">
        <v>45366</v>
      </c>
      <c r="D31" s="238">
        <v>7724</v>
      </c>
      <c r="E31" s="161" t="s">
        <v>608</v>
      </c>
      <c r="F31" s="162">
        <v>763.2</v>
      </c>
      <c r="G31" s="162"/>
      <c r="H31" s="161" t="s">
        <v>609</v>
      </c>
      <c r="I31" s="261"/>
      <c r="J31" s="127"/>
      <c r="K31" s="1"/>
    </row>
    <row r="32" spans="1:11" s="2" customFormat="1">
      <c r="A32" s="124">
        <v>22</v>
      </c>
      <c r="C32" s="394">
        <v>45380</v>
      </c>
      <c r="D32" s="238">
        <v>7751</v>
      </c>
      <c r="E32" s="161" t="s">
        <v>608</v>
      </c>
      <c r="F32" s="162">
        <v>763.2</v>
      </c>
      <c r="G32" s="162"/>
      <c r="H32" s="161" t="s">
        <v>609</v>
      </c>
      <c r="I32" s="261"/>
      <c r="J32" s="127"/>
      <c r="K32" s="1"/>
    </row>
    <row r="33" spans="1:11" s="2" customFormat="1">
      <c r="A33" s="124">
        <v>23</v>
      </c>
      <c r="C33" s="394">
        <v>45394</v>
      </c>
      <c r="D33" s="238">
        <v>7783</v>
      </c>
      <c r="E33" s="161" t="s">
        <v>608</v>
      </c>
      <c r="F33" s="162">
        <v>763.2</v>
      </c>
      <c r="G33" s="162"/>
      <c r="H33" s="161" t="s">
        <v>609</v>
      </c>
      <c r="I33" s="261"/>
      <c r="J33" s="127"/>
      <c r="K33" s="1"/>
    </row>
    <row r="34" spans="1:11" s="2" customFormat="1">
      <c r="A34" s="124">
        <v>24</v>
      </c>
      <c r="C34" s="394">
        <v>45408</v>
      </c>
      <c r="D34" s="238">
        <v>7811</v>
      </c>
      <c r="E34" s="161" t="s">
        <v>608</v>
      </c>
      <c r="F34" s="162">
        <v>763.2</v>
      </c>
      <c r="G34" s="162"/>
      <c r="H34" s="161" t="s">
        <v>609</v>
      </c>
      <c r="I34" s="261"/>
      <c r="J34" s="127"/>
      <c r="K34" s="1"/>
    </row>
    <row r="35" spans="1:11" s="2" customFormat="1">
      <c r="A35" s="124">
        <v>25</v>
      </c>
      <c r="C35" s="394">
        <v>45422</v>
      </c>
      <c r="D35" s="238">
        <v>7850</v>
      </c>
      <c r="E35" s="161" t="s">
        <v>608</v>
      </c>
      <c r="F35" s="162">
        <v>763.2</v>
      </c>
      <c r="G35" s="162"/>
      <c r="H35" s="161" t="s">
        <v>609</v>
      </c>
      <c r="I35" s="261"/>
      <c r="J35" s="127"/>
      <c r="K35" s="1"/>
    </row>
    <row r="36" spans="1:11" s="2" customFormat="1">
      <c r="A36" s="124">
        <v>26</v>
      </c>
      <c r="C36" s="394">
        <v>45436</v>
      </c>
      <c r="D36" s="238">
        <v>7880</v>
      </c>
      <c r="E36" s="161" t="s">
        <v>608</v>
      </c>
      <c r="F36" s="162">
        <v>763.2</v>
      </c>
      <c r="G36" s="162"/>
      <c r="H36" s="161" t="s">
        <v>609</v>
      </c>
      <c r="I36" s="261"/>
      <c r="J36" s="127"/>
      <c r="K36" s="1"/>
    </row>
    <row r="37" spans="1:11" s="2" customFormat="1">
      <c r="A37" s="124">
        <v>27</v>
      </c>
      <c r="C37" s="394">
        <v>45089</v>
      </c>
      <c r="D37" s="238">
        <v>205680</v>
      </c>
      <c r="E37" s="161" t="s">
        <v>610</v>
      </c>
      <c r="F37" s="162">
        <v>425</v>
      </c>
      <c r="G37" s="162"/>
      <c r="H37" s="161" t="s">
        <v>611</v>
      </c>
      <c r="I37" s="261"/>
      <c r="J37" s="127"/>
      <c r="K37" s="1"/>
    </row>
    <row r="38" spans="1:11" s="2" customFormat="1">
      <c r="A38" s="124">
        <v>28</v>
      </c>
      <c r="C38" s="394">
        <v>45170</v>
      </c>
      <c r="D38" s="238">
        <v>206432</v>
      </c>
      <c r="E38" s="161" t="s">
        <v>612</v>
      </c>
      <c r="F38" s="162">
        <v>2418.9899999999998</v>
      </c>
      <c r="G38" s="162"/>
      <c r="H38" s="161" t="s">
        <v>613</v>
      </c>
      <c r="I38" s="261">
        <f>F38</f>
        <v>2418.9899999999998</v>
      </c>
      <c r="J38" s="127"/>
      <c r="K38" s="1" t="s">
        <v>123</v>
      </c>
    </row>
    <row r="39" spans="1:11" s="2" customFormat="1">
      <c r="A39" s="124">
        <v>29</v>
      </c>
      <c r="C39" s="394">
        <v>45086</v>
      </c>
      <c r="D39" s="238">
        <v>205677</v>
      </c>
      <c r="E39" s="161" t="s">
        <v>614</v>
      </c>
      <c r="F39" s="162">
        <v>240</v>
      </c>
      <c r="G39" s="162"/>
      <c r="H39" s="161" t="s">
        <v>611</v>
      </c>
      <c r="I39" s="302"/>
      <c r="J39" s="175"/>
      <c r="K39" s="1"/>
    </row>
    <row r="40" spans="1:11" s="2" customFormat="1">
      <c r="A40" s="124">
        <v>30</v>
      </c>
      <c r="C40" s="394">
        <v>45280</v>
      </c>
      <c r="D40" s="238">
        <v>207939</v>
      </c>
      <c r="E40" s="161" t="s">
        <v>615</v>
      </c>
      <c r="F40" s="162">
        <v>12000</v>
      </c>
      <c r="G40" s="162"/>
      <c r="H40" s="161" t="s">
        <v>289</v>
      </c>
      <c r="I40" s="302"/>
      <c r="J40" s="175"/>
      <c r="K40" s="1"/>
    </row>
    <row r="41" spans="1:11" s="2" customFormat="1">
      <c r="A41" s="124">
        <v>31</v>
      </c>
      <c r="C41" s="360">
        <v>45444</v>
      </c>
      <c r="D41" s="2">
        <v>209305</v>
      </c>
      <c r="E41" s="2" t="s">
        <v>615</v>
      </c>
      <c r="F41" s="319"/>
      <c r="G41" s="2" t="s">
        <v>616</v>
      </c>
      <c r="H41" s="2" t="s">
        <v>289</v>
      </c>
      <c r="I41" s="302"/>
      <c r="J41" s="175">
        <v>27800</v>
      </c>
      <c r="K41" s="1" t="s">
        <v>246</v>
      </c>
    </row>
    <row r="42" spans="1:11" s="2" customFormat="1">
      <c r="A42" s="124">
        <v>32</v>
      </c>
      <c r="C42" s="394">
        <v>45309</v>
      </c>
      <c r="D42" s="238">
        <v>208080</v>
      </c>
      <c r="E42" s="161" t="s">
        <v>617</v>
      </c>
      <c r="F42" s="162">
        <v>7500</v>
      </c>
      <c r="G42" s="162"/>
      <c r="H42" s="161" t="s">
        <v>618</v>
      </c>
      <c r="I42" s="261"/>
      <c r="J42" s="127"/>
      <c r="K42" s="1"/>
    </row>
    <row r="43" spans="1:11" s="2" customFormat="1">
      <c r="A43" s="124">
        <v>33</v>
      </c>
      <c r="C43" s="394">
        <v>45087</v>
      </c>
      <c r="D43" s="238">
        <v>205661</v>
      </c>
      <c r="E43" s="161" t="s">
        <v>619</v>
      </c>
      <c r="F43" s="162">
        <v>2111.7800000000002</v>
      </c>
      <c r="G43" s="162"/>
      <c r="H43" s="161" t="s">
        <v>620</v>
      </c>
      <c r="I43" s="261">
        <f t="shared" ref="I43:I58" si="0">F43</f>
        <v>2111.7800000000002</v>
      </c>
      <c r="J43" s="127"/>
      <c r="K43" s="1" t="s">
        <v>123</v>
      </c>
    </row>
    <row r="44" spans="1:11" s="2" customFormat="1">
      <c r="A44" s="124">
        <v>34</v>
      </c>
      <c r="C44" s="394">
        <v>45101</v>
      </c>
      <c r="D44" s="238">
        <v>205796</v>
      </c>
      <c r="E44" s="161" t="s">
        <v>619</v>
      </c>
      <c r="F44" s="162">
        <v>2890.18</v>
      </c>
      <c r="G44" s="162"/>
      <c r="H44" s="161" t="s">
        <v>620</v>
      </c>
      <c r="I44" s="261">
        <f t="shared" si="0"/>
        <v>2890.18</v>
      </c>
      <c r="J44" s="127"/>
      <c r="K44" s="1" t="s">
        <v>123</v>
      </c>
    </row>
    <row r="45" spans="1:11" s="2" customFormat="1">
      <c r="A45" s="124">
        <v>35</v>
      </c>
      <c r="C45" s="394">
        <v>45115</v>
      </c>
      <c r="D45" s="238">
        <v>205903</v>
      </c>
      <c r="E45" s="161" t="s">
        <v>619</v>
      </c>
      <c r="F45" s="162">
        <v>2844.45</v>
      </c>
      <c r="G45" s="162"/>
      <c r="H45" s="161" t="s">
        <v>620</v>
      </c>
      <c r="I45" s="261">
        <f t="shared" si="0"/>
        <v>2844.45</v>
      </c>
      <c r="J45" s="127"/>
      <c r="K45" s="1" t="s">
        <v>123</v>
      </c>
    </row>
    <row r="46" spans="1:11" s="2" customFormat="1">
      <c r="A46" s="124">
        <v>36</v>
      </c>
      <c r="C46" s="394">
        <v>45129</v>
      </c>
      <c r="D46" s="238">
        <v>206033</v>
      </c>
      <c r="E46" s="161" t="s">
        <v>619</v>
      </c>
      <c r="F46" s="162">
        <v>2566.86</v>
      </c>
      <c r="G46" s="162"/>
      <c r="H46" s="161" t="s">
        <v>620</v>
      </c>
      <c r="I46" s="261">
        <f t="shared" si="0"/>
        <v>2566.86</v>
      </c>
      <c r="J46" s="127"/>
      <c r="K46" s="1" t="s">
        <v>123</v>
      </c>
    </row>
    <row r="47" spans="1:11" s="2" customFormat="1">
      <c r="A47" s="124">
        <v>37</v>
      </c>
      <c r="C47" s="394">
        <v>45143</v>
      </c>
      <c r="D47" s="238">
        <v>206128</v>
      </c>
      <c r="E47" s="161" t="s">
        <v>619</v>
      </c>
      <c r="F47" s="162">
        <v>2712.14</v>
      </c>
      <c r="G47" s="162"/>
      <c r="H47" s="161" t="s">
        <v>620</v>
      </c>
      <c r="I47" s="261">
        <f t="shared" si="0"/>
        <v>2712.14</v>
      </c>
      <c r="J47" s="127"/>
      <c r="K47" s="1" t="s">
        <v>123</v>
      </c>
    </row>
    <row r="48" spans="1:11" s="2" customFormat="1">
      <c r="A48" s="124">
        <v>38</v>
      </c>
      <c r="C48" s="394">
        <v>45157</v>
      </c>
      <c r="D48" s="238">
        <v>206269</v>
      </c>
      <c r="E48" s="161" t="s">
        <v>619</v>
      </c>
      <c r="F48" s="162">
        <v>2173.4299999999998</v>
      </c>
      <c r="G48" s="162"/>
      <c r="H48" s="161" t="s">
        <v>620</v>
      </c>
      <c r="I48" s="261">
        <f t="shared" si="0"/>
        <v>2173.4299999999998</v>
      </c>
      <c r="J48" s="127"/>
      <c r="K48" s="1" t="s">
        <v>123</v>
      </c>
    </row>
    <row r="49" spans="1:11" s="2" customFormat="1">
      <c r="A49" s="124">
        <v>39</v>
      </c>
      <c r="C49" s="394">
        <v>45164</v>
      </c>
      <c r="D49" s="238">
        <v>206399</v>
      </c>
      <c r="E49" s="161" t="s">
        <v>619</v>
      </c>
      <c r="F49" s="162">
        <v>2190.38</v>
      </c>
      <c r="G49" s="162"/>
      <c r="H49" s="161" t="s">
        <v>620</v>
      </c>
      <c r="I49" s="261">
        <f t="shared" si="0"/>
        <v>2190.38</v>
      </c>
      <c r="J49" s="127"/>
      <c r="K49" s="1" t="s">
        <v>123</v>
      </c>
    </row>
    <row r="50" spans="1:11" s="2" customFormat="1">
      <c r="A50" s="124">
        <v>40</v>
      </c>
      <c r="C50" s="394">
        <v>45185</v>
      </c>
      <c r="D50" s="238">
        <v>206543</v>
      </c>
      <c r="E50" s="161" t="s">
        <v>619</v>
      </c>
      <c r="F50" s="162">
        <v>2590.39</v>
      </c>
      <c r="G50" s="162"/>
      <c r="H50" s="161" t="s">
        <v>620</v>
      </c>
      <c r="I50" s="261">
        <f t="shared" si="0"/>
        <v>2590.39</v>
      </c>
      <c r="J50" s="127"/>
      <c r="K50" s="1" t="s">
        <v>123</v>
      </c>
    </row>
    <row r="51" spans="1:11" s="2" customFormat="1">
      <c r="A51" s="124">
        <v>41</v>
      </c>
      <c r="C51" s="394">
        <v>45198</v>
      </c>
      <c r="D51" s="238">
        <v>206681</v>
      </c>
      <c r="E51" s="161" t="s">
        <v>619</v>
      </c>
      <c r="F51" s="162">
        <v>2291.81</v>
      </c>
      <c r="G51" s="162"/>
      <c r="H51" s="161" t="s">
        <v>620</v>
      </c>
      <c r="I51" s="261">
        <f t="shared" si="0"/>
        <v>2291.81</v>
      </c>
      <c r="J51" s="127"/>
      <c r="K51" s="1" t="s">
        <v>123</v>
      </c>
    </row>
    <row r="52" spans="1:11" s="2" customFormat="1">
      <c r="A52" s="124">
        <v>42</v>
      </c>
      <c r="C52" s="394">
        <v>45213</v>
      </c>
      <c r="D52" s="238">
        <v>206846</v>
      </c>
      <c r="E52" s="161" t="s">
        <v>619</v>
      </c>
      <c r="F52" s="162">
        <v>1706.71</v>
      </c>
      <c r="G52" s="162"/>
      <c r="H52" s="161" t="s">
        <v>620</v>
      </c>
      <c r="I52" s="261">
        <f t="shared" si="0"/>
        <v>1706.71</v>
      </c>
      <c r="J52" s="127"/>
      <c r="K52" s="1" t="s">
        <v>123</v>
      </c>
    </row>
    <row r="53" spans="1:11" s="2" customFormat="1">
      <c r="A53" s="124">
        <v>43</v>
      </c>
      <c r="C53" s="394">
        <v>45227</v>
      </c>
      <c r="D53" s="238">
        <v>206928</v>
      </c>
      <c r="E53" s="161" t="s">
        <v>619</v>
      </c>
      <c r="F53" s="162">
        <v>2710.78</v>
      </c>
      <c r="G53" s="162"/>
      <c r="H53" s="161" t="s">
        <v>620</v>
      </c>
      <c r="I53" s="261">
        <f t="shared" si="0"/>
        <v>2710.78</v>
      </c>
      <c r="J53" s="127"/>
      <c r="K53" s="1" t="s">
        <v>123</v>
      </c>
    </row>
    <row r="54" spans="1:11" s="2" customFormat="1">
      <c r="A54" s="124">
        <v>44</v>
      </c>
      <c r="C54" s="394">
        <v>45241</v>
      </c>
      <c r="D54" s="238">
        <v>207115</v>
      </c>
      <c r="E54" s="161" t="s">
        <v>619</v>
      </c>
      <c r="F54" s="162">
        <v>955.1</v>
      </c>
      <c r="G54" s="162"/>
      <c r="H54" s="161" t="s">
        <v>620</v>
      </c>
      <c r="I54" s="261">
        <f t="shared" si="0"/>
        <v>955.1</v>
      </c>
      <c r="J54" s="127"/>
      <c r="K54" s="1" t="s">
        <v>123</v>
      </c>
    </row>
    <row r="55" spans="1:11" s="2" customFormat="1">
      <c r="A55" s="124">
        <v>45</v>
      </c>
      <c r="C55" s="394">
        <v>45255</v>
      </c>
      <c r="D55" s="238">
        <v>207229</v>
      </c>
      <c r="E55" s="161" t="s">
        <v>619</v>
      </c>
      <c r="F55" s="162">
        <v>2152.42</v>
      </c>
      <c r="G55" s="162"/>
      <c r="H55" s="161" t="s">
        <v>620</v>
      </c>
      <c r="I55" s="261">
        <f t="shared" si="0"/>
        <v>2152.42</v>
      </c>
      <c r="J55" s="127"/>
      <c r="K55" s="1" t="s">
        <v>123</v>
      </c>
    </row>
    <row r="56" spans="1:11" s="2" customFormat="1">
      <c r="A56" s="124">
        <v>46</v>
      </c>
      <c r="C56" s="394">
        <v>45269</v>
      </c>
      <c r="D56" s="238">
        <v>207385</v>
      </c>
      <c r="E56" s="161" t="s">
        <v>619</v>
      </c>
      <c r="F56" s="162">
        <v>2816.29</v>
      </c>
      <c r="G56" s="162"/>
      <c r="H56" s="161" t="s">
        <v>620</v>
      </c>
      <c r="I56" s="261">
        <f t="shared" si="0"/>
        <v>2816.29</v>
      </c>
      <c r="J56" s="127"/>
      <c r="K56" s="1" t="s">
        <v>123</v>
      </c>
    </row>
    <row r="57" spans="1:11" s="2" customFormat="1">
      <c r="A57" s="124">
        <v>47</v>
      </c>
      <c r="C57" s="394">
        <v>45283</v>
      </c>
      <c r="D57" s="238">
        <v>207493</v>
      </c>
      <c r="E57" s="161" t="s">
        <v>619</v>
      </c>
      <c r="F57" s="162">
        <v>2772.45</v>
      </c>
      <c r="G57" s="162"/>
      <c r="H57" s="161" t="s">
        <v>620</v>
      </c>
      <c r="I57" s="261">
        <f t="shared" si="0"/>
        <v>2772.45</v>
      </c>
      <c r="J57" s="127"/>
      <c r="K57" s="1" t="s">
        <v>123</v>
      </c>
    </row>
    <row r="58" spans="1:11" s="2" customFormat="1">
      <c r="A58" s="124">
        <v>48</v>
      </c>
      <c r="C58" s="394">
        <v>45290</v>
      </c>
      <c r="D58" s="238">
        <v>207521</v>
      </c>
      <c r="E58" s="161" t="s">
        <v>619</v>
      </c>
      <c r="F58" s="162">
        <v>963.56</v>
      </c>
      <c r="G58" s="162"/>
      <c r="H58" s="161" t="s">
        <v>620</v>
      </c>
      <c r="I58" s="261">
        <f t="shared" si="0"/>
        <v>963.56</v>
      </c>
      <c r="J58" s="127"/>
      <c r="K58" s="1" t="s">
        <v>123</v>
      </c>
    </row>
    <row r="59" spans="1:11" s="2" customFormat="1">
      <c r="A59" s="124">
        <v>49</v>
      </c>
      <c r="C59" s="394">
        <v>45352</v>
      </c>
      <c r="D59" s="238">
        <v>208356</v>
      </c>
      <c r="E59" s="161" t="s">
        <v>621</v>
      </c>
      <c r="F59" s="162">
        <v>384.75</v>
      </c>
      <c r="G59" s="162"/>
      <c r="H59" s="161" t="s">
        <v>622</v>
      </c>
      <c r="I59" s="261"/>
      <c r="J59" s="127"/>
      <c r="K59" s="1"/>
    </row>
    <row r="60" spans="1:11" s="2" customFormat="1">
      <c r="A60" s="124">
        <v>50</v>
      </c>
      <c r="C60" s="394">
        <v>45443</v>
      </c>
      <c r="D60" s="238">
        <v>209122</v>
      </c>
      <c r="E60" s="161" t="s">
        <v>621</v>
      </c>
      <c r="F60" s="162">
        <v>1682</v>
      </c>
      <c r="G60" s="162"/>
      <c r="H60" s="161" t="s">
        <v>622</v>
      </c>
      <c r="I60" s="261"/>
      <c r="J60" s="127"/>
      <c r="K60" s="1"/>
    </row>
    <row r="61" spans="1:11" s="2" customFormat="1">
      <c r="A61" s="124">
        <v>51</v>
      </c>
      <c r="C61" s="394">
        <v>45100</v>
      </c>
      <c r="D61" s="238">
        <v>205790</v>
      </c>
      <c r="E61" s="161" t="s">
        <v>623</v>
      </c>
      <c r="F61" s="162">
        <v>4000</v>
      </c>
      <c r="G61" s="162"/>
      <c r="H61" s="161" t="s">
        <v>624</v>
      </c>
      <c r="I61" s="261">
        <f t="shared" ref="I61:I124" si="1">F61</f>
        <v>4000</v>
      </c>
      <c r="J61" s="127"/>
      <c r="K61" s="1" t="s">
        <v>123</v>
      </c>
    </row>
    <row r="62" spans="1:11" s="2" customFormat="1">
      <c r="A62" s="124">
        <v>52</v>
      </c>
      <c r="C62" s="394">
        <v>45100</v>
      </c>
      <c r="D62" s="238">
        <v>205790</v>
      </c>
      <c r="E62" s="161" t="s">
        <v>623</v>
      </c>
      <c r="F62" s="162">
        <v>463.74</v>
      </c>
      <c r="G62" s="162"/>
      <c r="H62" s="161" t="s">
        <v>625</v>
      </c>
      <c r="I62" s="261">
        <f t="shared" si="1"/>
        <v>463.74</v>
      </c>
      <c r="J62" s="127"/>
      <c r="K62" s="1" t="s">
        <v>123</v>
      </c>
    </row>
    <row r="63" spans="1:11" s="2" customFormat="1">
      <c r="A63" s="124">
        <v>53</v>
      </c>
      <c r="C63" s="394">
        <v>45107</v>
      </c>
      <c r="D63" s="238">
        <v>205887</v>
      </c>
      <c r="E63" s="161" t="s">
        <v>623</v>
      </c>
      <c r="F63" s="162">
        <v>4000</v>
      </c>
      <c r="G63" s="162"/>
      <c r="H63" s="161" t="s">
        <v>624</v>
      </c>
      <c r="I63" s="261">
        <f t="shared" si="1"/>
        <v>4000</v>
      </c>
      <c r="J63" s="127"/>
      <c r="K63" s="1" t="s">
        <v>123</v>
      </c>
    </row>
    <row r="64" spans="1:11" s="2" customFormat="1">
      <c r="A64" s="124">
        <v>54</v>
      </c>
      <c r="C64" s="394">
        <v>45107</v>
      </c>
      <c r="D64" s="238">
        <v>205887</v>
      </c>
      <c r="E64" s="161" t="s">
        <v>623</v>
      </c>
      <c r="F64" s="162">
        <v>463.74</v>
      </c>
      <c r="G64" s="162"/>
      <c r="H64" s="161" t="s">
        <v>625</v>
      </c>
      <c r="I64" s="261">
        <f t="shared" si="1"/>
        <v>463.74</v>
      </c>
      <c r="J64" s="127"/>
      <c r="K64" s="1" t="s">
        <v>123</v>
      </c>
    </row>
    <row r="65" spans="1:11" s="2" customFormat="1">
      <c r="A65" s="124">
        <v>55</v>
      </c>
      <c r="C65" s="394">
        <v>45114</v>
      </c>
      <c r="D65" s="238">
        <v>205887</v>
      </c>
      <c r="E65" s="161" t="s">
        <v>623</v>
      </c>
      <c r="F65" s="162">
        <v>4000</v>
      </c>
      <c r="G65" s="162"/>
      <c r="H65" s="161" t="s">
        <v>624</v>
      </c>
      <c r="I65" s="261">
        <f t="shared" si="1"/>
        <v>4000</v>
      </c>
      <c r="J65" s="127"/>
      <c r="K65" s="1" t="s">
        <v>123</v>
      </c>
    </row>
    <row r="66" spans="1:11" s="2" customFormat="1">
      <c r="A66" s="124">
        <v>56</v>
      </c>
      <c r="C66" s="394">
        <v>45121</v>
      </c>
      <c r="D66" s="238">
        <v>7137</v>
      </c>
      <c r="E66" s="161" t="s">
        <v>623</v>
      </c>
      <c r="F66" s="162">
        <v>4000</v>
      </c>
      <c r="G66" s="162"/>
      <c r="H66" s="161" t="s">
        <v>624</v>
      </c>
      <c r="I66" s="261">
        <f t="shared" si="1"/>
        <v>4000</v>
      </c>
      <c r="J66" s="127"/>
      <c r="K66" s="1" t="s">
        <v>123</v>
      </c>
    </row>
    <row r="67" spans="1:11" s="2" customFormat="1">
      <c r="A67" s="124">
        <v>57</v>
      </c>
      <c r="C67" s="394">
        <v>45121</v>
      </c>
      <c r="D67" s="238">
        <v>7137</v>
      </c>
      <c r="E67" s="161" t="s">
        <v>623</v>
      </c>
      <c r="F67" s="162">
        <v>536.62</v>
      </c>
      <c r="G67" s="162"/>
      <c r="H67" s="161" t="s">
        <v>625</v>
      </c>
      <c r="I67" s="261">
        <f t="shared" si="1"/>
        <v>536.62</v>
      </c>
      <c r="J67" s="127"/>
      <c r="K67" s="1" t="s">
        <v>123</v>
      </c>
    </row>
    <row r="68" spans="1:11" s="2" customFormat="1">
      <c r="A68" s="124">
        <v>58</v>
      </c>
      <c r="C68" s="394">
        <v>45128</v>
      </c>
      <c r="D68" s="238">
        <v>7137</v>
      </c>
      <c r="E68" s="161" t="s">
        <v>623</v>
      </c>
      <c r="F68" s="162">
        <v>4000</v>
      </c>
      <c r="G68" s="162"/>
      <c r="H68" s="161" t="s">
        <v>624</v>
      </c>
      <c r="I68" s="261">
        <f t="shared" si="1"/>
        <v>4000</v>
      </c>
      <c r="J68" s="127"/>
      <c r="K68" s="1" t="s">
        <v>123</v>
      </c>
    </row>
    <row r="69" spans="1:11" s="2" customFormat="1">
      <c r="A69" s="124">
        <v>59</v>
      </c>
      <c r="C69" s="394">
        <v>45128</v>
      </c>
      <c r="D69" s="238">
        <v>7137</v>
      </c>
      <c r="E69" s="161" t="s">
        <v>623</v>
      </c>
      <c r="F69" s="162">
        <v>506.63</v>
      </c>
      <c r="G69" s="162"/>
      <c r="H69" s="161" t="s">
        <v>625</v>
      </c>
      <c r="I69" s="261">
        <f t="shared" si="1"/>
        <v>506.63</v>
      </c>
      <c r="J69" s="127"/>
      <c r="K69" s="1" t="s">
        <v>123</v>
      </c>
    </row>
    <row r="70" spans="1:11" s="2" customFormat="1">
      <c r="A70" s="124">
        <v>60</v>
      </c>
      <c r="C70" s="394">
        <v>45135</v>
      </c>
      <c r="D70" s="238">
        <v>7173</v>
      </c>
      <c r="E70" s="161" t="s">
        <v>623</v>
      </c>
      <c r="F70" s="162">
        <v>4000</v>
      </c>
      <c r="G70" s="162"/>
      <c r="H70" s="161" t="s">
        <v>624</v>
      </c>
      <c r="I70" s="261">
        <f t="shared" si="1"/>
        <v>4000</v>
      </c>
      <c r="J70" s="127"/>
      <c r="K70" s="1" t="s">
        <v>123</v>
      </c>
    </row>
    <row r="71" spans="1:11" s="2" customFormat="1">
      <c r="A71" s="124">
        <v>61</v>
      </c>
      <c r="C71" s="394">
        <v>45135</v>
      </c>
      <c r="D71" s="238">
        <v>7173</v>
      </c>
      <c r="E71" s="161" t="s">
        <v>623</v>
      </c>
      <c r="F71" s="162">
        <v>520.61</v>
      </c>
      <c r="G71" s="162"/>
      <c r="H71" s="161" t="s">
        <v>625</v>
      </c>
      <c r="I71" s="261">
        <f t="shared" si="1"/>
        <v>520.61</v>
      </c>
      <c r="J71" s="127"/>
      <c r="K71" s="1" t="s">
        <v>123</v>
      </c>
    </row>
    <row r="72" spans="1:11" s="2" customFormat="1">
      <c r="A72" s="124">
        <v>62</v>
      </c>
      <c r="C72" s="394">
        <v>45142</v>
      </c>
      <c r="D72" s="238">
        <v>7173</v>
      </c>
      <c r="E72" s="161" t="s">
        <v>623</v>
      </c>
      <c r="F72" s="162">
        <v>4000</v>
      </c>
      <c r="G72" s="162"/>
      <c r="H72" s="161" t="s">
        <v>624</v>
      </c>
      <c r="I72" s="261">
        <f t="shared" si="1"/>
        <v>4000</v>
      </c>
      <c r="J72" s="127"/>
      <c r="K72" s="1" t="s">
        <v>123</v>
      </c>
    </row>
    <row r="73" spans="1:11" s="2" customFormat="1">
      <c r="A73" s="124">
        <v>63</v>
      </c>
      <c r="C73" s="394">
        <v>45142</v>
      </c>
      <c r="D73" s="238">
        <v>7173</v>
      </c>
      <c r="E73" s="161" t="s">
        <v>623</v>
      </c>
      <c r="F73" s="162">
        <v>463.74</v>
      </c>
      <c r="G73" s="162"/>
      <c r="H73" s="161" t="s">
        <v>625</v>
      </c>
      <c r="I73" s="261">
        <f t="shared" si="1"/>
        <v>463.74</v>
      </c>
      <c r="J73" s="127"/>
      <c r="K73" s="1" t="s">
        <v>123</v>
      </c>
    </row>
    <row r="74" spans="1:11" s="2" customFormat="1">
      <c r="A74" s="124">
        <v>64</v>
      </c>
      <c r="C74" s="394">
        <v>45149</v>
      </c>
      <c r="D74" s="238">
        <v>7200</v>
      </c>
      <c r="E74" s="161" t="s">
        <v>623</v>
      </c>
      <c r="F74" s="162">
        <v>4000</v>
      </c>
      <c r="G74" s="162"/>
      <c r="H74" s="161" t="s">
        <v>624</v>
      </c>
      <c r="I74" s="261">
        <f t="shared" si="1"/>
        <v>4000</v>
      </c>
      <c r="J74" s="127"/>
      <c r="K74" s="1" t="s">
        <v>123</v>
      </c>
    </row>
    <row r="75" spans="1:11" s="2" customFormat="1">
      <c r="A75" s="124">
        <v>65</v>
      </c>
      <c r="C75" s="394">
        <v>45149</v>
      </c>
      <c r="D75" s="238">
        <v>7200</v>
      </c>
      <c r="E75" s="161" t="s">
        <v>623</v>
      </c>
      <c r="F75" s="162">
        <v>511.43</v>
      </c>
      <c r="G75" s="162"/>
      <c r="H75" s="161" t="s">
        <v>625</v>
      </c>
      <c r="I75" s="261">
        <f t="shared" si="1"/>
        <v>511.43</v>
      </c>
      <c r="J75" s="127"/>
      <c r="K75" s="1" t="s">
        <v>123</v>
      </c>
    </row>
    <row r="76" spans="1:11" s="2" customFormat="1">
      <c r="A76" s="124">
        <v>66</v>
      </c>
      <c r="C76" s="394">
        <v>45156</v>
      </c>
      <c r="D76" s="238">
        <v>7200</v>
      </c>
      <c r="E76" s="161" t="s">
        <v>623</v>
      </c>
      <c r="F76" s="162">
        <v>4000</v>
      </c>
      <c r="G76" s="162"/>
      <c r="H76" s="161" t="s">
        <v>624</v>
      </c>
      <c r="I76" s="261">
        <f t="shared" si="1"/>
        <v>4000</v>
      </c>
      <c r="J76" s="127"/>
      <c r="K76" s="1" t="s">
        <v>123</v>
      </c>
    </row>
    <row r="77" spans="1:11" s="2" customFormat="1">
      <c r="A77" s="124">
        <v>67</v>
      </c>
      <c r="C77" s="394">
        <v>45156</v>
      </c>
      <c r="D77" s="238">
        <v>7200</v>
      </c>
      <c r="E77" s="161" t="s">
        <v>623</v>
      </c>
      <c r="F77" s="162">
        <v>522.87</v>
      </c>
      <c r="G77" s="162"/>
      <c r="H77" s="161" t="s">
        <v>625</v>
      </c>
      <c r="I77" s="261">
        <f t="shared" si="1"/>
        <v>522.87</v>
      </c>
      <c r="J77" s="127"/>
      <c r="K77" s="1" t="s">
        <v>123</v>
      </c>
    </row>
    <row r="78" spans="1:11" s="2" customFormat="1">
      <c r="A78" s="124">
        <v>68</v>
      </c>
      <c r="C78" s="394">
        <v>45162</v>
      </c>
      <c r="D78" s="238">
        <v>7240</v>
      </c>
      <c r="E78" s="161" t="s">
        <v>623</v>
      </c>
      <c r="F78" s="162">
        <v>3200</v>
      </c>
      <c r="G78" s="162"/>
      <c r="H78" s="161" t="s">
        <v>624</v>
      </c>
      <c r="I78" s="261">
        <f t="shared" si="1"/>
        <v>3200</v>
      </c>
      <c r="J78" s="127"/>
      <c r="K78" s="1" t="s">
        <v>123</v>
      </c>
    </row>
    <row r="79" spans="1:11" s="2" customFormat="1">
      <c r="A79" s="124">
        <v>69</v>
      </c>
      <c r="C79" s="394">
        <v>45162</v>
      </c>
      <c r="D79" s="238">
        <v>7240</v>
      </c>
      <c r="E79" s="161" t="s">
        <v>623</v>
      </c>
      <c r="F79" s="162">
        <v>231.87</v>
      </c>
      <c r="G79" s="162"/>
      <c r="H79" s="161" t="s">
        <v>625</v>
      </c>
      <c r="I79" s="261">
        <f t="shared" si="1"/>
        <v>231.87</v>
      </c>
      <c r="J79" s="127"/>
      <c r="K79" s="1" t="s">
        <v>123</v>
      </c>
    </row>
    <row r="80" spans="1:11" s="2" customFormat="1">
      <c r="A80" s="124">
        <v>70</v>
      </c>
      <c r="C80" s="394">
        <v>45170</v>
      </c>
      <c r="D80" s="238">
        <v>7240</v>
      </c>
      <c r="E80" s="161" t="s">
        <v>623</v>
      </c>
      <c r="F80" s="162">
        <v>4000</v>
      </c>
      <c r="G80" s="162"/>
      <c r="H80" s="161" t="s">
        <v>624</v>
      </c>
      <c r="I80" s="261">
        <f t="shared" si="1"/>
        <v>4000</v>
      </c>
      <c r="J80" s="127"/>
      <c r="K80" s="1" t="s">
        <v>123</v>
      </c>
    </row>
    <row r="81" spans="1:11" s="2" customFormat="1">
      <c r="A81" s="124">
        <v>71</v>
      </c>
      <c r="C81" s="394">
        <v>45170</v>
      </c>
      <c r="D81" s="238">
        <v>7240</v>
      </c>
      <c r="E81" s="161" t="s">
        <v>623</v>
      </c>
      <c r="F81" s="162">
        <v>291.12</v>
      </c>
      <c r="G81" s="162"/>
      <c r="H81" s="161" t="s">
        <v>625</v>
      </c>
      <c r="I81" s="261">
        <f t="shared" si="1"/>
        <v>291.12</v>
      </c>
      <c r="J81" s="127"/>
      <c r="K81" s="1" t="s">
        <v>123</v>
      </c>
    </row>
    <row r="82" spans="1:11" s="2" customFormat="1">
      <c r="A82" s="124">
        <v>72</v>
      </c>
      <c r="C82" s="394">
        <v>45177</v>
      </c>
      <c r="D82" s="238">
        <v>7273</v>
      </c>
      <c r="E82" s="161" t="s">
        <v>623</v>
      </c>
      <c r="F82" s="162">
        <v>3200</v>
      </c>
      <c r="G82" s="162"/>
      <c r="H82" s="161" t="s">
        <v>624</v>
      </c>
      <c r="I82" s="261">
        <f t="shared" si="1"/>
        <v>3200</v>
      </c>
      <c r="J82" s="127"/>
      <c r="K82" s="1" t="s">
        <v>123</v>
      </c>
    </row>
    <row r="83" spans="1:11" s="2" customFormat="1">
      <c r="A83" s="124">
        <v>73</v>
      </c>
      <c r="C83" s="394">
        <v>45177</v>
      </c>
      <c r="D83" s="238">
        <v>7273</v>
      </c>
      <c r="E83" s="161" t="s">
        <v>623</v>
      </c>
      <c r="F83" s="162">
        <v>523.86</v>
      </c>
      <c r="G83" s="162"/>
      <c r="H83" s="161" t="s">
        <v>625</v>
      </c>
      <c r="I83" s="261">
        <f t="shared" si="1"/>
        <v>523.86</v>
      </c>
      <c r="J83" s="127"/>
      <c r="K83" s="1" t="s">
        <v>123</v>
      </c>
    </row>
    <row r="84" spans="1:11" s="2" customFormat="1">
      <c r="A84" s="124">
        <v>74</v>
      </c>
      <c r="C84" s="394">
        <v>45184</v>
      </c>
      <c r="D84" s="238">
        <v>7273</v>
      </c>
      <c r="E84" s="161" t="s">
        <v>623</v>
      </c>
      <c r="F84" s="162">
        <v>3200</v>
      </c>
      <c r="G84" s="162"/>
      <c r="H84" s="161" t="s">
        <v>624</v>
      </c>
      <c r="I84" s="261">
        <f t="shared" si="1"/>
        <v>3200</v>
      </c>
      <c r="J84" s="127"/>
      <c r="K84" s="1" t="s">
        <v>123</v>
      </c>
    </row>
    <row r="85" spans="1:11" s="2" customFormat="1">
      <c r="A85" s="124">
        <v>75</v>
      </c>
      <c r="C85" s="394">
        <v>45184</v>
      </c>
      <c r="D85" s="238">
        <v>7273</v>
      </c>
      <c r="E85" s="161" t="s">
        <v>623</v>
      </c>
      <c r="F85" s="162">
        <v>463.74</v>
      </c>
      <c r="G85" s="162"/>
      <c r="H85" s="161" t="s">
        <v>625</v>
      </c>
      <c r="I85" s="261">
        <f t="shared" si="1"/>
        <v>463.74</v>
      </c>
      <c r="J85" s="127"/>
      <c r="K85" s="1" t="s">
        <v>123</v>
      </c>
    </row>
    <row r="86" spans="1:11" s="2" customFormat="1">
      <c r="A86" s="124">
        <v>76</v>
      </c>
      <c r="C86" s="394">
        <v>45191</v>
      </c>
      <c r="D86" s="238">
        <v>7299</v>
      </c>
      <c r="E86" s="161" t="s">
        <v>623</v>
      </c>
      <c r="F86" s="162">
        <v>5000</v>
      </c>
      <c r="G86" s="162"/>
      <c r="H86" s="161" t="s">
        <v>624</v>
      </c>
      <c r="I86" s="261">
        <f t="shared" si="1"/>
        <v>5000</v>
      </c>
      <c r="J86" s="127"/>
      <c r="K86" s="1" t="s">
        <v>123</v>
      </c>
    </row>
    <row r="87" spans="1:11" s="2" customFormat="1">
      <c r="A87" s="124">
        <v>77</v>
      </c>
      <c r="C87" s="394">
        <v>45191</v>
      </c>
      <c r="D87" s="238">
        <v>7299</v>
      </c>
      <c r="E87" s="161" t="s">
        <v>623</v>
      </c>
      <c r="F87" s="162">
        <v>1081.23</v>
      </c>
      <c r="G87" s="162"/>
      <c r="H87" s="161" t="s">
        <v>625</v>
      </c>
      <c r="I87" s="261">
        <f t="shared" si="1"/>
        <v>1081.23</v>
      </c>
      <c r="J87" s="127"/>
      <c r="K87" s="1" t="s">
        <v>123</v>
      </c>
    </row>
    <row r="88" spans="1:11" s="2" customFormat="1">
      <c r="A88" s="124">
        <v>78</v>
      </c>
      <c r="C88" s="394">
        <v>45198</v>
      </c>
      <c r="D88" s="238">
        <v>7299</v>
      </c>
      <c r="E88" s="161" t="s">
        <v>623</v>
      </c>
      <c r="F88" s="162">
        <v>4000</v>
      </c>
      <c r="G88" s="162"/>
      <c r="H88" s="161" t="s">
        <v>624</v>
      </c>
      <c r="I88" s="261">
        <f t="shared" si="1"/>
        <v>4000</v>
      </c>
      <c r="J88" s="127"/>
      <c r="K88" s="1" t="s">
        <v>123</v>
      </c>
    </row>
    <row r="89" spans="1:11" s="2" customFormat="1">
      <c r="A89" s="124">
        <v>79</v>
      </c>
      <c r="C89" s="394">
        <v>45198</v>
      </c>
      <c r="D89" s="238">
        <v>7299</v>
      </c>
      <c r="E89" s="161" t="s">
        <v>623</v>
      </c>
      <c r="F89" s="162">
        <v>463.74</v>
      </c>
      <c r="G89" s="162"/>
      <c r="H89" s="161" t="s">
        <v>625</v>
      </c>
      <c r="I89" s="261">
        <f t="shared" si="1"/>
        <v>463.74</v>
      </c>
      <c r="J89" s="127"/>
      <c r="K89" s="1" t="s">
        <v>123</v>
      </c>
    </row>
    <row r="90" spans="1:11" s="2" customFormat="1">
      <c r="A90" s="124">
        <v>80</v>
      </c>
      <c r="C90" s="394">
        <v>45205</v>
      </c>
      <c r="D90" s="238">
        <v>7330</v>
      </c>
      <c r="E90" s="161" t="s">
        <v>623</v>
      </c>
      <c r="F90" s="162">
        <v>3200</v>
      </c>
      <c r="G90" s="162"/>
      <c r="H90" s="161" t="s">
        <v>624</v>
      </c>
      <c r="I90" s="261">
        <f t="shared" si="1"/>
        <v>3200</v>
      </c>
      <c r="J90" s="127"/>
      <c r="K90" s="1" t="s">
        <v>123</v>
      </c>
    </row>
    <row r="91" spans="1:11" s="2" customFormat="1">
      <c r="A91" s="124">
        <v>81</v>
      </c>
      <c r="C91" s="394">
        <v>45212</v>
      </c>
      <c r="D91" s="238">
        <v>7330</v>
      </c>
      <c r="E91" s="161" t="s">
        <v>623</v>
      </c>
      <c r="F91" s="162">
        <v>4000</v>
      </c>
      <c r="G91" s="162"/>
      <c r="H91" s="161" t="s">
        <v>624</v>
      </c>
      <c r="I91" s="261">
        <f t="shared" si="1"/>
        <v>4000</v>
      </c>
      <c r="J91" s="127"/>
      <c r="K91" s="1" t="s">
        <v>123</v>
      </c>
    </row>
    <row r="92" spans="1:11" s="2" customFormat="1">
      <c r="A92" s="124">
        <v>82</v>
      </c>
      <c r="C92" s="394">
        <v>45212</v>
      </c>
      <c r="D92" s="238">
        <v>7330</v>
      </c>
      <c r="E92" s="161" t="s">
        <v>623</v>
      </c>
      <c r="F92" s="162">
        <v>231.87</v>
      </c>
      <c r="G92" s="162"/>
      <c r="H92" s="161" t="s">
        <v>625</v>
      </c>
      <c r="I92" s="261">
        <f t="shared" si="1"/>
        <v>231.87</v>
      </c>
      <c r="J92" s="127"/>
      <c r="K92" s="1" t="s">
        <v>123</v>
      </c>
    </row>
    <row r="93" spans="1:11" s="2" customFormat="1">
      <c r="A93" s="124">
        <v>83</v>
      </c>
      <c r="C93" s="394">
        <v>45219</v>
      </c>
      <c r="D93" s="238">
        <v>7364</v>
      </c>
      <c r="E93" s="161" t="s">
        <v>623</v>
      </c>
      <c r="F93" s="162">
        <v>4000</v>
      </c>
      <c r="G93" s="162"/>
      <c r="H93" s="161" t="s">
        <v>624</v>
      </c>
      <c r="I93" s="261">
        <f t="shared" si="1"/>
        <v>4000</v>
      </c>
      <c r="J93" s="127"/>
      <c r="K93" s="1" t="s">
        <v>123</v>
      </c>
    </row>
    <row r="94" spans="1:11" s="2" customFormat="1">
      <c r="A94" s="124">
        <v>84</v>
      </c>
      <c r="C94" s="394">
        <v>45219</v>
      </c>
      <c r="D94" s="238">
        <v>7364</v>
      </c>
      <c r="E94" s="161" t="s">
        <v>623</v>
      </c>
      <c r="F94" s="162">
        <v>80.069999999999993</v>
      </c>
      <c r="G94" s="162"/>
      <c r="H94" s="161" t="s">
        <v>625</v>
      </c>
      <c r="I94" s="261">
        <f t="shared" si="1"/>
        <v>80.069999999999993</v>
      </c>
      <c r="J94" s="127"/>
      <c r="K94" s="1" t="s">
        <v>123</v>
      </c>
    </row>
    <row r="95" spans="1:11" s="2" customFormat="1">
      <c r="A95" s="124">
        <v>85</v>
      </c>
      <c r="C95" s="394">
        <v>45226</v>
      </c>
      <c r="D95" s="238">
        <v>7364</v>
      </c>
      <c r="E95" s="161" t="s">
        <v>623</v>
      </c>
      <c r="F95" s="162">
        <v>4000</v>
      </c>
      <c r="G95" s="162"/>
      <c r="H95" s="161" t="s">
        <v>624</v>
      </c>
      <c r="I95" s="261">
        <f t="shared" si="1"/>
        <v>4000</v>
      </c>
      <c r="J95" s="127"/>
      <c r="K95" s="1" t="s">
        <v>123</v>
      </c>
    </row>
    <row r="96" spans="1:11" s="2" customFormat="1">
      <c r="A96" s="124">
        <v>86</v>
      </c>
      <c r="C96" s="394">
        <v>45226</v>
      </c>
      <c r="D96" s="238">
        <v>7364</v>
      </c>
      <c r="E96" s="161" t="s">
        <v>623</v>
      </c>
      <c r="F96" s="162">
        <v>282.62</v>
      </c>
      <c r="G96" s="162"/>
      <c r="H96" s="161" t="s">
        <v>625</v>
      </c>
      <c r="I96" s="261">
        <f t="shared" si="1"/>
        <v>282.62</v>
      </c>
      <c r="J96" s="127"/>
      <c r="K96" s="1" t="s">
        <v>123</v>
      </c>
    </row>
    <row r="97" spans="1:11" s="2" customFormat="1">
      <c r="A97" s="124">
        <v>87</v>
      </c>
      <c r="C97" s="394">
        <v>45233</v>
      </c>
      <c r="D97" s="238">
        <v>7403</v>
      </c>
      <c r="E97" s="161" t="s">
        <v>623</v>
      </c>
      <c r="F97" s="162">
        <v>4000</v>
      </c>
      <c r="G97" s="162"/>
      <c r="H97" s="161" t="s">
        <v>624</v>
      </c>
      <c r="I97" s="261">
        <f t="shared" si="1"/>
        <v>4000</v>
      </c>
      <c r="J97" s="127"/>
      <c r="K97" s="1" t="s">
        <v>123</v>
      </c>
    </row>
    <row r="98" spans="1:11" s="2" customFormat="1">
      <c r="A98" s="124">
        <v>88</v>
      </c>
      <c r="C98" s="394">
        <v>45233</v>
      </c>
      <c r="D98" s="238">
        <v>7403</v>
      </c>
      <c r="E98" s="161" t="s">
        <v>623</v>
      </c>
      <c r="F98" s="162">
        <v>231.87</v>
      </c>
      <c r="G98" s="162"/>
      <c r="H98" s="161" t="s">
        <v>625</v>
      </c>
      <c r="I98" s="261">
        <f t="shared" si="1"/>
        <v>231.87</v>
      </c>
      <c r="J98" s="127"/>
      <c r="K98" s="1" t="s">
        <v>123</v>
      </c>
    </row>
    <row r="99" spans="1:11" s="2" customFormat="1">
      <c r="A99" s="124">
        <v>89</v>
      </c>
      <c r="C99" s="394">
        <v>45240</v>
      </c>
      <c r="D99" s="238">
        <v>7403</v>
      </c>
      <c r="E99" s="161" t="s">
        <v>623</v>
      </c>
      <c r="F99" s="162">
        <v>4000</v>
      </c>
      <c r="G99" s="162"/>
      <c r="H99" s="161" t="s">
        <v>624</v>
      </c>
      <c r="I99" s="261">
        <f t="shared" si="1"/>
        <v>4000</v>
      </c>
      <c r="J99" s="127"/>
      <c r="K99" s="1" t="s">
        <v>123</v>
      </c>
    </row>
    <row r="100" spans="1:11" s="2" customFormat="1">
      <c r="A100" s="124">
        <v>90</v>
      </c>
      <c r="C100" s="394">
        <v>45240</v>
      </c>
      <c r="D100" s="238">
        <v>7403</v>
      </c>
      <c r="E100" s="161" t="s">
        <v>623</v>
      </c>
      <c r="F100" s="162">
        <v>296.37</v>
      </c>
      <c r="G100" s="162"/>
      <c r="H100" s="161" t="s">
        <v>625</v>
      </c>
      <c r="I100" s="261">
        <f t="shared" si="1"/>
        <v>296.37</v>
      </c>
      <c r="J100" s="127"/>
      <c r="K100" s="1" t="s">
        <v>123</v>
      </c>
    </row>
    <row r="101" spans="1:11" s="2" customFormat="1">
      <c r="A101" s="124">
        <v>91</v>
      </c>
      <c r="C101" s="394">
        <v>45247</v>
      </c>
      <c r="D101" s="238">
        <v>7428</v>
      </c>
      <c r="E101" s="161" t="s">
        <v>623</v>
      </c>
      <c r="F101" s="162">
        <v>4000</v>
      </c>
      <c r="G101" s="162"/>
      <c r="H101" s="161" t="s">
        <v>624</v>
      </c>
      <c r="I101" s="261">
        <f t="shared" si="1"/>
        <v>4000</v>
      </c>
      <c r="J101" s="127"/>
      <c r="K101" s="1" t="s">
        <v>123</v>
      </c>
    </row>
    <row r="102" spans="1:11" s="2" customFormat="1">
      <c r="A102" s="124">
        <v>92</v>
      </c>
      <c r="C102" s="394">
        <v>45247</v>
      </c>
      <c r="D102" s="238">
        <v>7428</v>
      </c>
      <c r="E102" s="161" t="s">
        <v>623</v>
      </c>
      <c r="F102" s="162">
        <v>463.74</v>
      </c>
      <c r="G102" s="162"/>
      <c r="H102" s="161" t="s">
        <v>625</v>
      </c>
      <c r="I102" s="261">
        <f t="shared" si="1"/>
        <v>463.74</v>
      </c>
      <c r="J102" s="127"/>
      <c r="K102" s="1" t="s">
        <v>123</v>
      </c>
    </row>
    <row r="103" spans="1:11" s="2" customFormat="1">
      <c r="A103" s="124">
        <v>93</v>
      </c>
      <c r="C103" s="394">
        <v>45254</v>
      </c>
      <c r="D103" s="238">
        <v>7428</v>
      </c>
      <c r="E103" s="161" t="s">
        <v>623</v>
      </c>
      <c r="F103" s="162">
        <v>2400</v>
      </c>
      <c r="G103" s="162"/>
      <c r="H103" s="161" t="s">
        <v>624</v>
      </c>
      <c r="I103" s="261">
        <f t="shared" si="1"/>
        <v>2400</v>
      </c>
      <c r="J103" s="127"/>
      <c r="K103" s="1" t="s">
        <v>123</v>
      </c>
    </row>
    <row r="104" spans="1:11" s="2" customFormat="1">
      <c r="A104" s="124">
        <v>94</v>
      </c>
      <c r="C104" s="394">
        <v>45261</v>
      </c>
      <c r="D104" s="238">
        <v>7477</v>
      </c>
      <c r="E104" s="161" t="s">
        <v>623</v>
      </c>
      <c r="F104" s="162">
        <v>4000</v>
      </c>
      <c r="G104" s="162"/>
      <c r="H104" s="161" t="s">
        <v>624</v>
      </c>
      <c r="I104" s="261">
        <f t="shared" si="1"/>
        <v>4000</v>
      </c>
      <c r="J104" s="127"/>
      <c r="K104" s="1" t="s">
        <v>123</v>
      </c>
    </row>
    <row r="105" spans="1:11" s="2" customFormat="1">
      <c r="A105" s="124">
        <v>95</v>
      </c>
      <c r="C105" s="394">
        <v>45261</v>
      </c>
      <c r="D105" s="238">
        <v>7477</v>
      </c>
      <c r="E105" s="161" t="s">
        <v>623</v>
      </c>
      <c r="F105" s="162">
        <v>463.74</v>
      </c>
      <c r="G105" s="162"/>
      <c r="H105" s="161" t="s">
        <v>625</v>
      </c>
      <c r="I105" s="261">
        <f t="shared" si="1"/>
        <v>463.74</v>
      </c>
      <c r="J105" s="127"/>
      <c r="K105" s="1" t="s">
        <v>123</v>
      </c>
    </row>
    <row r="106" spans="1:11" s="2" customFormat="1">
      <c r="A106" s="124">
        <v>96</v>
      </c>
      <c r="C106" s="394">
        <v>45268</v>
      </c>
      <c r="D106" s="238">
        <v>7477</v>
      </c>
      <c r="E106" s="161" t="s">
        <v>623</v>
      </c>
      <c r="F106" s="162">
        <v>4000</v>
      </c>
      <c r="G106" s="162"/>
      <c r="H106" s="161" t="s">
        <v>624</v>
      </c>
      <c r="I106" s="261">
        <f t="shared" si="1"/>
        <v>4000</v>
      </c>
      <c r="J106" s="127"/>
      <c r="K106" s="1" t="s">
        <v>123</v>
      </c>
    </row>
    <row r="107" spans="1:11" s="2" customFormat="1">
      <c r="A107" s="124">
        <v>97</v>
      </c>
      <c r="C107" s="394">
        <v>45268</v>
      </c>
      <c r="D107" s="238">
        <v>7477</v>
      </c>
      <c r="E107" s="161" t="s">
        <v>623</v>
      </c>
      <c r="F107" s="162">
        <v>231.87</v>
      </c>
      <c r="G107" s="162"/>
      <c r="H107" s="161" t="s">
        <v>625</v>
      </c>
      <c r="I107" s="261">
        <f t="shared" si="1"/>
        <v>231.87</v>
      </c>
      <c r="J107" s="127"/>
      <c r="K107" s="1" t="s">
        <v>123</v>
      </c>
    </row>
    <row r="108" spans="1:11" s="2" customFormat="1">
      <c r="A108" s="124">
        <v>98</v>
      </c>
      <c r="C108" s="394">
        <v>45275</v>
      </c>
      <c r="D108" s="238">
        <v>7507</v>
      </c>
      <c r="E108" s="161" t="s">
        <v>623</v>
      </c>
      <c r="F108" s="162">
        <v>4000</v>
      </c>
      <c r="G108" s="162"/>
      <c r="H108" s="161" t="s">
        <v>624</v>
      </c>
      <c r="I108" s="261">
        <f t="shared" si="1"/>
        <v>4000</v>
      </c>
      <c r="J108" s="127"/>
      <c r="K108" s="1" t="s">
        <v>123</v>
      </c>
    </row>
    <row r="109" spans="1:11" s="2" customFormat="1">
      <c r="A109" s="124">
        <v>99</v>
      </c>
      <c r="C109" s="394">
        <v>45275</v>
      </c>
      <c r="D109" s="238">
        <v>7507</v>
      </c>
      <c r="E109" s="161" t="s">
        <v>623</v>
      </c>
      <c r="F109" s="162">
        <v>231.87</v>
      </c>
      <c r="G109" s="162"/>
      <c r="H109" s="161" t="s">
        <v>625</v>
      </c>
      <c r="I109" s="261">
        <f t="shared" si="1"/>
        <v>231.87</v>
      </c>
      <c r="J109" s="127"/>
      <c r="K109" s="1" t="s">
        <v>123</v>
      </c>
    </row>
    <row r="110" spans="1:11" s="2" customFormat="1">
      <c r="A110" s="124">
        <v>100</v>
      </c>
      <c r="C110" s="394">
        <v>45282</v>
      </c>
      <c r="D110" s="238">
        <v>7507</v>
      </c>
      <c r="E110" s="161" t="s">
        <v>623</v>
      </c>
      <c r="F110" s="162">
        <v>2800</v>
      </c>
      <c r="G110" s="162"/>
      <c r="H110" s="161" t="s">
        <v>624</v>
      </c>
      <c r="I110" s="261">
        <f t="shared" si="1"/>
        <v>2800</v>
      </c>
      <c r="J110" s="127"/>
      <c r="K110" s="1" t="s">
        <v>123</v>
      </c>
    </row>
    <row r="111" spans="1:11" s="2" customFormat="1">
      <c r="A111" s="124">
        <v>101</v>
      </c>
      <c r="C111" s="394">
        <v>45282</v>
      </c>
      <c r="D111" s="238">
        <v>7507</v>
      </c>
      <c r="E111" s="161" t="s">
        <v>623</v>
      </c>
      <c r="F111" s="162">
        <v>885.97</v>
      </c>
      <c r="G111" s="162"/>
      <c r="H111" s="161" t="s">
        <v>625</v>
      </c>
      <c r="I111" s="261">
        <f t="shared" si="1"/>
        <v>885.97</v>
      </c>
      <c r="J111" s="127"/>
      <c r="K111" s="1" t="s">
        <v>123</v>
      </c>
    </row>
    <row r="112" spans="1:11" s="2" customFormat="1">
      <c r="A112" s="124">
        <v>102</v>
      </c>
      <c r="C112" s="394">
        <v>45289</v>
      </c>
      <c r="D112" s="238">
        <v>7548</v>
      </c>
      <c r="E112" s="161" t="s">
        <v>623</v>
      </c>
      <c r="F112" s="162">
        <v>3200</v>
      </c>
      <c r="G112" s="162"/>
      <c r="H112" s="161" t="s">
        <v>624</v>
      </c>
      <c r="I112" s="261">
        <f t="shared" si="1"/>
        <v>3200</v>
      </c>
      <c r="J112" s="127"/>
      <c r="K112" s="1" t="s">
        <v>123</v>
      </c>
    </row>
    <row r="113" spans="1:11" s="2" customFormat="1">
      <c r="A113" s="124">
        <v>103</v>
      </c>
      <c r="C113" s="394">
        <v>45289</v>
      </c>
      <c r="D113" s="238">
        <v>7548</v>
      </c>
      <c r="E113" s="161" t="s">
        <v>623</v>
      </c>
      <c r="F113" s="162">
        <v>231.87</v>
      </c>
      <c r="G113" s="162"/>
      <c r="H113" s="161" t="s">
        <v>625</v>
      </c>
      <c r="I113" s="261">
        <f t="shared" si="1"/>
        <v>231.87</v>
      </c>
      <c r="J113" s="127"/>
      <c r="K113" s="1" t="s">
        <v>123</v>
      </c>
    </row>
    <row r="114" spans="1:11" s="2" customFormat="1">
      <c r="A114" s="124">
        <v>104</v>
      </c>
      <c r="C114" s="394">
        <v>45296</v>
      </c>
      <c r="D114" s="238">
        <v>7548</v>
      </c>
      <c r="E114" s="161" t="s">
        <v>623</v>
      </c>
      <c r="F114" s="162">
        <v>3200</v>
      </c>
      <c r="G114" s="162"/>
      <c r="H114" s="161" t="s">
        <v>624</v>
      </c>
      <c r="I114" s="261">
        <f t="shared" si="1"/>
        <v>3200</v>
      </c>
      <c r="J114" s="127"/>
      <c r="K114" s="1" t="s">
        <v>123</v>
      </c>
    </row>
    <row r="115" spans="1:11" s="2" customFormat="1">
      <c r="A115" s="124">
        <v>105</v>
      </c>
      <c r="C115" s="394">
        <v>45296</v>
      </c>
      <c r="D115" s="238">
        <v>7548</v>
      </c>
      <c r="E115" s="161" t="s">
        <v>623</v>
      </c>
      <c r="F115" s="162">
        <v>237.18</v>
      </c>
      <c r="G115" s="162"/>
      <c r="H115" s="161" t="s">
        <v>625</v>
      </c>
      <c r="I115" s="261">
        <f t="shared" si="1"/>
        <v>237.18</v>
      </c>
      <c r="J115" s="127"/>
      <c r="K115" s="1" t="s">
        <v>123</v>
      </c>
    </row>
    <row r="116" spans="1:11" s="2" customFormat="1">
      <c r="A116" s="124">
        <v>106</v>
      </c>
      <c r="C116" s="394">
        <v>45303</v>
      </c>
      <c r="D116" s="238">
        <v>7582</v>
      </c>
      <c r="E116" s="161" t="s">
        <v>623</v>
      </c>
      <c r="F116" s="162">
        <v>4000</v>
      </c>
      <c r="G116" s="162"/>
      <c r="H116" s="161" t="s">
        <v>624</v>
      </c>
      <c r="I116" s="261">
        <f t="shared" si="1"/>
        <v>4000</v>
      </c>
      <c r="J116" s="127"/>
      <c r="K116" s="1" t="s">
        <v>123</v>
      </c>
    </row>
    <row r="117" spans="1:11" s="2" customFormat="1">
      <c r="A117" s="124">
        <v>107</v>
      </c>
      <c r="C117" s="394">
        <v>45303</v>
      </c>
      <c r="D117" s="238">
        <v>7582</v>
      </c>
      <c r="E117" s="161" t="s">
        <v>623</v>
      </c>
      <c r="F117" s="162">
        <v>608.96</v>
      </c>
      <c r="G117" s="162"/>
      <c r="H117" s="161" t="s">
        <v>625</v>
      </c>
      <c r="I117" s="261">
        <f t="shared" si="1"/>
        <v>608.96</v>
      </c>
      <c r="J117" s="127"/>
      <c r="K117" s="1" t="s">
        <v>123</v>
      </c>
    </row>
    <row r="118" spans="1:11" s="2" customFormat="1">
      <c r="A118" s="124">
        <v>108</v>
      </c>
      <c r="C118" s="394">
        <v>45310</v>
      </c>
      <c r="D118" s="238">
        <v>7582</v>
      </c>
      <c r="E118" s="161" t="s">
        <v>623</v>
      </c>
      <c r="F118" s="162">
        <v>4000</v>
      </c>
      <c r="G118" s="162"/>
      <c r="H118" s="161" t="s">
        <v>624</v>
      </c>
      <c r="I118" s="261">
        <f t="shared" si="1"/>
        <v>4000</v>
      </c>
      <c r="J118" s="127"/>
      <c r="K118" s="1" t="s">
        <v>123</v>
      </c>
    </row>
    <row r="119" spans="1:11" s="2" customFormat="1">
      <c r="A119" s="124">
        <v>109</v>
      </c>
      <c r="C119" s="394">
        <v>45310</v>
      </c>
      <c r="D119" s="238">
        <v>7582</v>
      </c>
      <c r="E119" s="161" t="s">
        <v>623</v>
      </c>
      <c r="F119" s="162">
        <v>2321.1999999999998</v>
      </c>
      <c r="G119" s="162"/>
      <c r="H119" s="161" t="s">
        <v>625</v>
      </c>
      <c r="I119" s="261">
        <f t="shared" si="1"/>
        <v>2321.1999999999998</v>
      </c>
      <c r="J119" s="127"/>
      <c r="K119" s="1" t="s">
        <v>123</v>
      </c>
    </row>
    <row r="120" spans="1:11" s="2" customFormat="1">
      <c r="A120" s="124">
        <v>110</v>
      </c>
      <c r="C120" s="394">
        <v>45317</v>
      </c>
      <c r="D120" s="238">
        <v>7629</v>
      </c>
      <c r="E120" s="161" t="s">
        <v>623</v>
      </c>
      <c r="F120" s="162">
        <v>4000</v>
      </c>
      <c r="G120" s="162"/>
      <c r="H120" s="161" t="s">
        <v>624</v>
      </c>
      <c r="I120" s="261">
        <f t="shared" si="1"/>
        <v>4000</v>
      </c>
      <c r="J120" s="127"/>
      <c r="K120" s="1" t="s">
        <v>123</v>
      </c>
    </row>
    <row r="121" spans="1:11" s="2" customFormat="1">
      <c r="A121" s="124">
        <v>111</v>
      </c>
      <c r="C121" s="394">
        <v>45317</v>
      </c>
      <c r="D121" s="238">
        <v>7629</v>
      </c>
      <c r="E121" s="161" t="s">
        <v>623</v>
      </c>
      <c r="F121" s="162">
        <v>539.20000000000005</v>
      </c>
      <c r="G121" s="162"/>
      <c r="H121" s="161" t="s">
        <v>625</v>
      </c>
      <c r="I121" s="261">
        <f t="shared" si="1"/>
        <v>539.20000000000005</v>
      </c>
      <c r="J121" s="127"/>
      <c r="K121" s="1" t="s">
        <v>123</v>
      </c>
    </row>
    <row r="122" spans="1:11" s="2" customFormat="1">
      <c r="A122" s="124">
        <v>112</v>
      </c>
      <c r="C122" s="394">
        <v>45324</v>
      </c>
      <c r="D122" s="238">
        <v>7629</v>
      </c>
      <c r="E122" s="161" t="s">
        <v>623</v>
      </c>
      <c r="F122" s="162">
        <v>4000</v>
      </c>
      <c r="G122" s="162"/>
      <c r="H122" s="161" t="s">
        <v>624</v>
      </c>
      <c r="I122" s="261">
        <f t="shared" si="1"/>
        <v>4000</v>
      </c>
      <c r="J122" s="127"/>
      <c r="K122" s="1" t="s">
        <v>123</v>
      </c>
    </row>
    <row r="123" spans="1:11" s="2" customFormat="1">
      <c r="A123" s="124">
        <v>113</v>
      </c>
      <c r="C123" s="394">
        <v>45331</v>
      </c>
      <c r="D123" s="238">
        <v>7653</v>
      </c>
      <c r="E123" s="161" t="s">
        <v>623</v>
      </c>
      <c r="F123" s="162">
        <v>3600</v>
      </c>
      <c r="G123" s="162"/>
      <c r="H123" s="161" t="s">
        <v>624</v>
      </c>
      <c r="I123" s="261">
        <f t="shared" si="1"/>
        <v>3600</v>
      </c>
      <c r="J123" s="127"/>
      <c r="K123" s="1" t="s">
        <v>123</v>
      </c>
    </row>
    <row r="124" spans="1:11" s="2" customFormat="1">
      <c r="A124" s="124">
        <v>114</v>
      </c>
      <c r="C124" s="394">
        <v>45331</v>
      </c>
      <c r="D124" s="238">
        <v>7653</v>
      </c>
      <c r="E124" s="161" t="s">
        <v>623</v>
      </c>
      <c r="F124" s="162">
        <v>237.18</v>
      </c>
      <c r="G124" s="162"/>
      <c r="H124" s="161" t="s">
        <v>625</v>
      </c>
      <c r="I124" s="261">
        <f t="shared" si="1"/>
        <v>237.18</v>
      </c>
      <c r="J124" s="127"/>
      <c r="K124" s="1" t="s">
        <v>123</v>
      </c>
    </row>
    <row r="125" spans="1:11" s="2" customFormat="1">
      <c r="A125" s="124">
        <v>115</v>
      </c>
      <c r="C125" s="394">
        <v>45345</v>
      </c>
      <c r="D125" s="238">
        <v>7698</v>
      </c>
      <c r="E125" s="161" t="s">
        <v>623</v>
      </c>
      <c r="F125" s="162">
        <v>4000</v>
      </c>
      <c r="G125" s="162"/>
      <c r="H125" s="161" t="s">
        <v>624</v>
      </c>
      <c r="I125" s="261">
        <f t="shared" ref="I125:I127" si="2">F125</f>
        <v>4000</v>
      </c>
      <c r="J125" s="127"/>
      <c r="K125" s="1" t="s">
        <v>123</v>
      </c>
    </row>
    <row r="126" spans="1:11" s="2" customFormat="1">
      <c r="A126" s="124">
        <v>116</v>
      </c>
      <c r="C126" s="394">
        <v>45347</v>
      </c>
      <c r="D126" s="238">
        <v>7698</v>
      </c>
      <c r="E126" s="161" t="s">
        <v>623</v>
      </c>
      <c r="F126" s="162">
        <v>474.36</v>
      </c>
      <c r="G126" s="162"/>
      <c r="H126" s="161" t="s">
        <v>625</v>
      </c>
      <c r="I126" s="261">
        <f t="shared" si="2"/>
        <v>474.36</v>
      </c>
      <c r="J126" s="127"/>
      <c r="K126" s="1" t="s">
        <v>123</v>
      </c>
    </row>
    <row r="127" spans="1:11" s="2" customFormat="1">
      <c r="A127" s="124">
        <v>117</v>
      </c>
      <c r="C127" s="394">
        <v>45352</v>
      </c>
      <c r="D127" s="238">
        <v>7698</v>
      </c>
      <c r="E127" s="161" t="s">
        <v>623</v>
      </c>
      <c r="F127" s="162">
        <v>44.44</v>
      </c>
      <c r="G127" s="162"/>
      <c r="H127" s="161" t="s">
        <v>625</v>
      </c>
      <c r="I127" s="261">
        <f t="shared" si="2"/>
        <v>44.44</v>
      </c>
      <c r="J127" s="127"/>
      <c r="K127" s="1" t="s">
        <v>123</v>
      </c>
    </row>
    <row r="128" spans="1:11" s="2" customFormat="1">
      <c r="A128" s="124">
        <v>118</v>
      </c>
      <c r="C128" s="394">
        <v>45132</v>
      </c>
      <c r="D128" s="238">
        <v>206093</v>
      </c>
      <c r="E128" s="161" t="s">
        <v>626</v>
      </c>
      <c r="F128" s="162">
        <v>53811.3</v>
      </c>
      <c r="G128" s="162"/>
      <c r="H128" s="161" t="s">
        <v>287</v>
      </c>
      <c r="I128" s="302">
        <f t="shared" ref="I128:I143" si="3">F128*2/3</f>
        <v>35874.200000000004</v>
      </c>
      <c r="J128" s="175"/>
      <c r="K128" s="1" t="s">
        <v>124</v>
      </c>
    </row>
    <row r="129" spans="1:11" s="2" customFormat="1">
      <c r="A129" s="124">
        <v>119</v>
      </c>
      <c r="C129" s="394">
        <v>45153</v>
      </c>
      <c r="D129" s="2">
        <v>7210</v>
      </c>
      <c r="E129" s="161" t="s">
        <v>626</v>
      </c>
      <c r="F129" s="162">
        <v>83736</v>
      </c>
      <c r="G129" s="162"/>
      <c r="H129" s="161" t="s">
        <v>287</v>
      </c>
      <c r="I129" s="302">
        <f t="shared" si="3"/>
        <v>55824</v>
      </c>
      <c r="J129" s="127"/>
      <c r="K129" s="1" t="s">
        <v>124</v>
      </c>
    </row>
    <row r="130" spans="1:11" s="2" customFormat="1">
      <c r="A130" s="124">
        <v>120</v>
      </c>
      <c r="C130" s="394">
        <v>45182</v>
      </c>
      <c r="D130" s="238">
        <v>7267</v>
      </c>
      <c r="E130" s="161" t="s">
        <v>626</v>
      </c>
      <c r="F130" s="162">
        <v>12586</v>
      </c>
      <c r="G130" s="162"/>
      <c r="H130" s="161" t="s">
        <v>287</v>
      </c>
      <c r="I130" s="302">
        <f t="shared" si="3"/>
        <v>8390.6666666666661</v>
      </c>
      <c r="J130" s="127"/>
      <c r="K130" s="1" t="s">
        <v>124</v>
      </c>
    </row>
    <row r="131" spans="1:11" s="2" customFormat="1">
      <c r="A131" s="124">
        <v>121</v>
      </c>
      <c r="C131" s="394">
        <v>45210</v>
      </c>
      <c r="D131" s="238">
        <v>7327</v>
      </c>
      <c r="E131" s="161" t="s">
        <v>626</v>
      </c>
      <c r="F131" s="162">
        <v>6280</v>
      </c>
      <c r="G131" s="162"/>
      <c r="H131" s="161" t="s">
        <v>287</v>
      </c>
      <c r="I131" s="302">
        <f t="shared" si="3"/>
        <v>4186.666666666667</v>
      </c>
      <c r="J131" s="175"/>
      <c r="K131" s="1" t="s">
        <v>124</v>
      </c>
    </row>
    <row r="132" spans="1:11" s="2" customFormat="1">
      <c r="A132" s="124">
        <v>122</v>
      </c>
      <c r="C132" s="394">
        <v>45240</v>
      </c>
      <c r="D132" s="238">
        <v>7410</v>
      </c>
      <c r="E132" s="161" t="s">
        <v>626</v>
      </c>
      <c r="F132" s="162">
        <v>9728</v>
      </c>
      <c r="G132" s="162"/>
      <c r="H132" s="161" t="s">
        <v>287</v>
      </c>
      <c r="I132" s="302">
        <f t="shared" si="3"/>
        <v>6485.333333333333</v>
      </c>
      <c r="J132" s="175"/>
      <c r="K132" s="1" t="s">
        <v>124</v>
      </c>
    </row>
    <row r="133" spans="1:11" s="2" customFormat="1">
      <c r="A133" s="124">
        <v>123</v>
      </c>
      <c r="C133" s="394">
        <v>45240</v>
      </c>
      <c r="D133" s="238">
        <v>7410</v>
      </c>
      <c r="E133" s="161" t="s">
        <v>626</v>
      </c>
      <c r="F133" s="162">
        <v>3792</v>
      </c>
      <c r="G133" s="162"/>
      <c r="H133" s="161" t="s">
        <v>287</v>
      </c>
      <c r="I133" s="302">
        <f t="shared" si="3"/>
        <v>2528</v>
      </c>
      <c r="J133" s="175"/>
      <c r="K133" s="1" t="s">
        <v>124</v>
      </c>
    </row>
    <row r="134" spans="1:11" s="2" customFormat="1">
      <c r="A134" s="124">
        <v>124</v>
      </c>
      <c r="C134" s="394">
        <v>45240</v>
      </c>
      <c r="D134" s="238">
        <v>7410</v>
      </c>
      <c r="E134" s="161" t="s">
        <v>626</v>
      </c>
      <c r="F134" s="162">
        <v>1209</v>
      </c>
      <c r="G134" s="162"/>
      <c r="H134" s="161" t="s">
        <v>287</v>
      </c>
      <c r="I134" s="302">
        <f t="shared" si="3"/>
        <v>806</v>
      </c>
      <c r="J134" s="175"/>
      <c r="K134" s="1" t="s">
        <v>124</v>
      </c>
    </row>
    <row r="135" spans="1:11" s="2" customFormat="1">
      <c r="A135" s="124">
        <v>125</v>
      </c>
      <c r="C135" s="394">
        <v>45291</v>
      </c>
      <c r="D135" s="238">
        <v>7604</v>
      </c>
      <c r="E135" s="161" t="s">
        <v>626</v>
      </c>
      <c r="F135" s="162">
        <v>8896</v>
      </c>
      <c r="G135" s="162"/>
      <c r="H135" s="161" t="s">
        <v>287</v>
      </c>
      <c r="I135" s="302">
        <f t="shared" si="3"/>
        <v>5930.666666666667</v>
      </c>
      <c r="J135" s="175"/>
      <c r="K135" s="1" t="s">
        <v>124</v>
      </c>
    </row>
    <row r="136" spans="1:11" s="2" customFormat="1">
      <c r="A136" s="124">
        <v>126</v>
      </c>
      <c r="C136" s="394">
        <v>45291</v>
      </c>
      <c r="D136" s="238">
        <v>7604</v>
      </c>
      <c r="E136" s="161" t="s">
        <v>626</v>
      </c>
      <c r="F136" s="162">
        <v>3818</v>
      </c>
      <c r="G136" s="162"/>
      <c r="H136" s="161" t="s">
        <v>287</v>
      </c>
      <c r="I136" s="302">
        <f t="shared" si="3"/>
        <v>2545.3333333333335</v>
      </c>
      <c r="J136" s="175"/>
      <c r="K136" s="1" t="s">
        <v>124</v>
      </c>
    </row>
    <row r="137" spans="1:11" s="2" customFormat="1">
      <c r="A137" s="124">
        <v>127</v>
      </c>
      <c r="C137" s="394">
        <v>45291</v>
      </c>
      <c r="D137" s="238">
        <v>7604</v>
      </c>
      <c r="E137" s="161" t="s">
        <v>626</v>
      </c>
      <c r="F137" s="162">
        <v>8909</v>
      </c>
      <c r="G137" s="162"/>
      <c r="H137" s="161" t="s">
        <v>287</v>
      </c>
      <c r="I137" s="302">
        <f t="shared" si="3"/>
        <v>5939.333333333333</v>
      </c>
      <c r="J137" s="175"/>
      <c r="K137" s="1" t="s">
        <v>124</v>
      </c>
    </row>
    <row r="138" spans="1:11" s="2" customFormat="1">
      <c r="A138" s="124">
        <v>128</v>
      </c>
      <c r="C138" s="394">
        <v>45317</v>
      </c>
      <c r="D138" s="238">
        <v>7604</v>
      </c>
      <c r="E138" s="161" t="s">
        <v>626</v>
      </c>
      <c r="F138" s="162">
        <v>25515.95</v>
      </c>
      <c r="G138" s="162"/>
      <c r="H138" s="161" t="s">
        <v>287</v>
      </c>
      <c r="I138" s="302">
        <f t="shared" si="3"/>
        <v>17010.633333333335</v>
      </c>
      <c r="J138" s="127"/>
      <c r="K138" s="1" t="s">
        <v>124</v>
      </c>
    </row>
    <row r="139" spans="1:11" s="2" customFormat="1">
      <c r="A139" s="124">
        <v>129</v>
      </c>
      <c r="C139" s="394">
        <v>45317</v>
      </c>
      <c r="D139" s="2">
        <v>7604</v>
      </c>
      <c r="E139" s="161" t="s">
        <v>626</v>
      </c>
      <c r="F139" s="162">
        <v>28530.1</v>
      </c>
      <c r="G139" s="162"/>
      <c r="H139" s="161" t="s">
        <v>287</v>
      </c>
      <c r="I139" s="302">
        <f t="shared" si="3"/>
        <v>19020.066666666666</v>
      </c>
      <c r="J139" s="127"/>
      <c r="K139" s="1" t="s">
        <v>124</v>
      </c>
    </row>
    <row r="140" spans="1:11" s="2" customFormat="1">
      <c r="A140" s="124">
        <v>130</v>
      </c>
      <c r="C140" s="394">
        <v>45343</v>
      </c>
      <c r="D140" s="238">
        <v>7665</v>
      </c>
      <c r="E140" s="161" t="s">
        <v>626</v>
      </c>
      <c r="F140" s="162">
        <v>37824.11</v>
      </c>
      <c r="G140" s="162"/>
      <c r="H140" s="161" t="s">
        <v>287</v>
      </c>
      <c r="I140" s="302">
        <f t="shared" si="3"/>
        <v>25216.073333333334</v>
      </c>
      <c r="J140" s="127"/>
      <c r="K140" s="1" t="s">
        <v>124</v>
      </c>
    </row>
    <row r="141" spans="1:11" s="2" customFormat="1">
      <c r="A141" s="124">
        <v>131</v>
      </c>
      <c r="C141" s="394">
        <v>45363</v>
      </c>
      <c r="D141" s="2">
        <v>7722</v>
      </c>
      <c r="E141" s="124" t="s">
        <v>626</v>
      </c>
      <c r="F141" s="163">
        <v>8320</v>
      </c>
      <c r="G141" s="163"/>
      <c r="H141" s="124" t="s">
        <v>287</v>
      </c>
      <c r="I141" s="302">
        <f t="shared" si="3"/>
        <v>5546.666666666667</v>
      </c>
      <c r="J141" s="127"/>
      <c r="K141" s="1" t="s">
        <v>124</v>
      </c>
    </row>
    <row r="142" spans="1:11" s="2" customFormat="1">
      <c r="A142" s="124">
        <v>132</v>
      </c>
      <c r="C142" s="394">
        <v>45391</v>
      </c>
      <c r="D142" s="2">
        <v>7781</v>
      </c>
      <c r="E142" s="161" t="s">
        <v>626</v>
      </c>
      <c r="F142" s="162">
        <v>18397.02</v>
      </c>
      <c r="G142" s="162"/>
      <c r="H142" s="161" t="s">
        <v>287</v>
      </c>
      <c r="I142" s="302">
        <f t="shared" si="3"/>
        <v>12264.68</v>
      </c>
      <c r="J142" s="127"/>
      <c r="K142" s="1" t="s">
        <v>124</v>
      </c>
    </row>
    <row r="143" spans="1:11" s="2" customFormat="1">
      <c r="A143" s="124">
        <v>133</v>
      </c>
      <c r="C143" s="394">
        <v>45427</v>
      </c>
      <c r="D143" s="238">
        <v>7879</v>
      </c>
      <c r="E143" s="161" t="s">
        <v>626</v>
      </c>
      <c r="F143" s="162">
        <v>25341.64</v>
      </c>
      <c r="G143" s="162"/>
      <c r="H143" s="161" t="s">
        <v>287</v>
      </c>
      <c r="I143" s="302">
        <f t="shared" si="3"/>
        <v>16894.426666666666</v>
      </c>
      <c r="J143" s="127"/>
      <c r="K143" s="1" t="s">
        <v>124</v>
      </c>
    </row>
    <row r="144" spans="1:11" s="2" customFormat="1">
      <c r="A144" s="124">
        <v>134</v>
      </c>
      <c r="C144" s="394">
        <v>45097</v>
      </c>
      <c r="D144" s="238">
        <v>205709</v>
      </c>
      <c r="E144" s="161" t="s">
        <v>627</v>
      </c>
      <c r="F144" s="162">
        <v>240</v>
      </c>
      <c r="G144" s="162"/>
      <c r="H144" s="161" t="s">
        <v>611</v>
      </c>
      <c r="I144" s="261"/>
      <c r="J144" s="127"/>
      <c r="K144" s="1"/>
    </row>
    <row r="145" spans="1:11" s="2" customFormat="1">
      <c r="A145" s="124">
        <v>135</v>
      </c>
      <c r="C145" s="394">
        <v>45100</v>
      </c>
      <c r="D145" s="238">
        <v>205795</v>
      </c>
      <c r="E145" s="161" t="s">
        <v>628</v>
      </c>
      <c r="F145" s="162">
        <v>551.15</v>
      </c>
      <c r="G145" s="162"/>
      <c r="H145" s="161" t="s">
        <v>625</v>
      </c>
      <c r="I145" s="261">
        <f t="shared" ref="I145:I159" si="4">F145</f>
        <v>551.15</v>
      </c>
      <c r="J145" s="127"/>
      <c r="K145" s="1" t="s">
        <v>123</v>
      </c>
    </row>
    <row r="146" spans="1:11" s="2" customFormat="1">
      <c r="A146" s="124">
        <v>136</v>
      </c>
      <c r="C146" s="394">
        <v>45107</v>
      </c>
      <c r="D146" s="238">
        <v>205901</v>
      </c>
      <c r="E146" s="161" t="s">
        <v>628</v>
      </c>
      <c r="F146" s="162">
        <v>440.92</v>
      </c>
      <c r="G146" s="162"/>
      <c r="H146" s="161" t="s">
        <v>625</v>
      </c>
      <c r="I146" s="261">
        <f t="shared" si="4"/>
        <v>440.92</v>
      </c>
      <c r="J146" s="127"/>
      <c r="K146" s="1" t="s">
        <v>123</v>
      </c>
    </row>
    <row r="147" spans="1:11" s="2" customFormat="1">
      <c r="A147" s="124">
        <v>137</v>
      </c>
      <c r="C147" s="394">
        <v>45121</v>
      </c>
      <c r="D147" s="238">
        <v>205974</v>
      </c>
      <c r="E147" s="161" t="s">
        <v>628</v>
      </c>
      <c r="F147" s="162">
        <v>551.15</v>
      </c>
      <c r="G147" s="162"/>
      <c r="H147" s="161" t="s">
        <v>625</v>
      </c>
      <c r="I147" s="261">
        <f t="shared" si="4"/>
        <v>551.15</v>
      </c>
      <c r="J147" s="127"/>
      <c r="K147" s="1" t="s">
        <v>123</v>
      </c>
    </row>
    <row r="148" spans="1:11" s="2" customFormat="1">
      <c r="A148" s="124">
        <v>138</v>
      </c>
      <c r="C148" s="394">
        <v>45131</v>
      </c>
      <c r="D148" s="238">
        <v>206031</v>
      </c>
      <c r="E148" s="161" t="s">
        <v>628</v>
      </c>
      <c r="F148" s="162">
        <v>440.92</v>
      </c>
      <c r="G148" s="162"/>
      <c r="H148" s="161" t="s">
        <v>625</v>
      </c>
      <c r="I148" s="261">
        <f t="shared" si="4"/>
        <v>440.92</v>
      </c>
      <c r="J148" s="127"/>
      <c r="K148" s="1" t="s">
        <v>123</v>
      </c>
    </row>
    <row r="149" spans="1:11" s="2" customFormat="1">
      <c r="A149" s="124">
        <v>139</v>
      </c>
      <c r="C149" s="394">
        <v>45135</v>
      </c>
      <c r="D149" s="238">
        <v>206268</v>
      </c>
      <c r="E149" s="161" t="s">
        <v>628</v>
      </c>
      <c r="F149" s="162">
        <v>440.92</v>
      </c>
      <c r="G149" s="162"/>
      <c r="H149" s="161" t="s">
        <v>625</v>
      </c>
      <c r="I149" s="261">
        <f t="shared" si="4"/>
        <v>440.92</v>
      </c>
      <c r="J149" s="127"/>
      <c r="K149" s="1" t="s">
        <v>123</v>
      </c>
    </row>
    <row r="150" spans="1:11" s="2" customFormat="1">
      <c r="A150" s="124">
        <v>140</v>
      </c>
      <c r="C150" s="394">
        <v>45142</v>
      </c>
      <c r="D150" s="238">
        <v>206268</v>
      </c>
      <c r="E150" s="161" t="s">
        <v>628</v>
      </c>
      <c r="F150" s="162">
        <v>551.15</v>
      </c>
      <c r="G150" s="162"/>
      <c r="H150" s="161" t="s">
        <v>625</v>
      </c>
      <c r="I150" s="261">
        <f t="shared" si="4"/>
        <v>551.15</v>
      </c>
      <c r="J150" s="127"/>
      <c r="K150" s="1" t="s">
        <v>123</v>
      </c>
    </row>
    <row r="151" spans="1:11" s="2" customFormat="1">
      <c r="A151" s="124">
        <v>141</v>
      </c>
      <c r="C151" s="394">
        <v>45149</v>
      </c>
      <c r="D151" s="238">
        <v>206268</v>
      </c>
      <c r="E151" s="161" t="s">
        <v>628</v>
      </c>
      <c r="F151" s="162">
        <v>330.69</v>
      </c>
      <c r="G151" s="162"/>
      <c r="H151" s="161" t="s">
        <v>625</v>
      </c>
      <c r="I151" s="261">
        <f t="shared" si="4"/>
        <v>330.69</v>
      </c>
      <c r="J151" s="127"/>
      <c r="K151" s="1" t="s">
        <v>123</v>
      </c>
    </row>
    <row r="152" spans="1:11" s="2" customFormat="1">
      <c r="A152" s="124">
        <v>142</v>
      </c>
      <c r="C152" s="394">
        <v>45156</v>
      </c>
      <c r="D152" s="238">
        <v>206268</v>
      </c>
      <c r="E152" s="161" t="s">
        <v>628</v>
      </c>
      <c r="F152" s="162">
        <v>440.92</v>
      </c>
      <c r="G152" s="162"/>
      <c r="H152" s="161" t="s">
        <v>625</v>
      </c>
      <c r="I152" s="261">
        <f t="shared" si="4"/>
        <v>440.92</v>
      </c>
      <c r="J152" s="127"/>
      <c r="K152" s="1" t="s">
        <v>123</v>
      </c>
    </row>
    <row r="153" spans="1:11" s="2" customFormat="1">
      <c r="A153" s="124">
        <v>143</v>
      </c>
      <c r="C153" s="394">
        <v>45170</v>
      </c>
      <c r="D153" s="238">
        <v>206542</v>
      </c>
      <c r="E153" s="161" t="s">
        <v>628</v>
      </c>
      <c r="F153" s="162">
        <v>440.92</v>
      </c>
      <c r="G153" s="162"/>
      <c r="H153" s="161" t="s">
        <v>625</v>
      </c>
      <c r="I153" s="261">
        <f t="shared" si="4"/>
        <v>440.92</v>
      </c>
      <c r="J153" s="127"/>
      <c r="K153" s="1" t="s">
        <v>123</v>
      </c>
    </row>
    <row r="154" spans="1:11" s="2" customFormat="1">
      <c r="A154" s="124">
        <v>144</v>
      </c>
      <c r="C154" s="394">
        <v>45170</v>
      </c>
      <c r="D154" s="238">
        <v>206542</v>
      </c>
      <c r="E154" s="161" t="s">
        <v>628</v>
      </c>
      <c r="F154" s="162">
        <v>551.15</v>
      </c>
      <c r="G154" s="162"/>
      <c r="H154" s="161" t="s">
        <v>625</v>
      </c>
      <c r="I154" s="261">
        <f t="shared" si="4"/>
        <v>551.15</v>
      </c>
      <c r="J154" s="127"/>
      <c r="K154" s="1" t="s">
        <v>123</v>
      </c>
    </row>
    <row r="155" spans="1:11" s="2" customFormat="1">
      <c r="A155" s="124">
        <v>145</v>
      </c>
      <c r="C155" s="394">
        <v>45177</v>
      </c>
      <c r="D155" s="238">
        <v>206542</v>
      </c>
      <c r="E155" s="161" t="s">
        <v>628</v>
      </c>
      <c r="F155" s="162">
        <v>440.92</v>
      </c>
      <c r="G155" s="162"/>
      <c r="H155" s="161" t="s">
        <v>625</v>
      </c>
      <c r="I155" s="261">
        <f t="shared" si="4"/>
        <v>440.92</v>
      </c>
      <c r="J155" s="127"/>
      <c r="K155" s="1" t="s">
        <v>123</v>
      </c>
    </row>
    <row r="156" spans="1:11" s="2" customFormat="1">
      <c r="A156" s="124">
        <v>146</v>
      </c>
      <c r="C156" s="394">
        <v>45184</v>
      </c>
      <c r="D156" s="238">
        <v>206542</v>
      </c>
      <c r="E156" s="161" t="s">
        <v>628</v>
      </c>
      <c r="F156" s="162">
        <v>551.15</v>
      </c>
      <c r="G156" s="162"/>
      <c r="H156" s="161" t="s">
        <v>625</v>
      </c>
      <c r="I156" s="261">
        <f t="shared" si="4"/>
        <v>551.15</v>
      </c>
      <c r="J156" s="127"/>
      <c r="K156" s="1" t="s">
        <v>123</v>
      </c>
    </row>
    <row r="157" spans="1:11" s="2" customFormat="1">
      <c r="A157" s="124">
        <v>147</v>
      </c>
      <c r="C157" s="394">
        <v>45188</v>
      </c>
      <c r="D157" s="238">
        <v>206717</v>
      </c>
      <c r="E157" s="161" t="s">
        <v>628</v>
      </c>
      <c r="F157" s="162">
        <v>220.46</v>
      </c>
      <c r="G157" s="162"/>
      <c r="H157" s="161" t="s">
        <v>625</v>
      </c>
      <c r="I157" s="261">
        <f t="shared" si="4"/>
        <v>220.46</v>
      </c>
      <c r="J157" s="127"/>
      <c r="K157" s="1" t="s">
        <v>123</v>
      </c>
    </row>
    <row r="158" spans="1:11" s="2" customFormat="1">
      <c r="A158" s="124">
        <v>148</v>
      </c>
      <c r="C158" s="394">
        <v>45191</v>
      </c>
      <c r="D158" s="238">
        <v>206717</v>
      </c>
      <c r="E158" s="161" t="s">
        <v>628</v>
      </c>
      <c r="F158" s="162">
        <v>110.23</v>
      </c>
      <c r="G158" s="162"/>
      <c r="H158" s="161" t="s">
        <v>625</v>
      </c>
      <c r="I158" s="261">
        <f t="shared" si="4"/>
        <v>110.23</v>
      </c>
      <c r="J158" s="127"/>
      <c r="K158" s="1" t="s">
        <v>123</v>
      </c>
    </row>
    <row r="159" spans="1:11" s="2" customFormat="1">
      <c r="A159" s="124">
        <v>149</v>
      </c>
      <c r="C159" s="394">
        <v>45200</v>
      </c>
      <c r="D159" s="238">
        <v>206869</v>
      </c>
      <c r="E159" s="161" t="s">
        <v>628</v>
      </c>
      <c r="F159" s="162">
        <v>551.15</v>
      </c>
      <c r="G159" s="162"/>
      <c r="H159" s="161" t="s">
        <v>625</v>
      </c>
      <c r="I159" s="261">
        <f t="shared" si="4"/>
        <v>551.15</v>
      </c>
      <c r="J159" s="127"/>
      <c r="K159" s="1" t="s">
        <v>123</v>
      </c>
    </row>
    <row r="160" spans="1:11" s="2" customFormat="1">
      <c r="A160" s="124">
        <v>150</v>
      </c>
      <c r="C160" s="394">
        <v>45177</v>
      </c>
      <c r="D160" s="2">
        <v>7272</v>
      </c>
      <c r="E160" s="161" t="s">
        <v>629</v>
      </c>
      <c r="F160" s="162">
        <v>1786.25</v>
      </c>
      <c r="G160" s="162"/>
      <c r="H160" s="161" t="s">
        <v>287</v>
      </c>
      <c r="I160" s="261">
        <f>F160</f>
        <v>1786.25</v>
      </c>
      <c r="J160" s="127"/>
      <c r="K160" s="1" t="s">
        <v>123</v>
      </c>
    </row>
    <row r="161" spans="1:11" s="2" customFormat="1">
      <c r="A161" s="124">
        <v>151</v>
      </c>
      <c r="C161" s="394">
        <v>45266</v>
      </c>
      <c r="D161" s="2">
        <v>7547</v>
      </c>
      <c r="E161" s="161" t="s">
        <v>629</v>
      </c>
      <c r="F161" s="162">
        <v>2219.5</v>
      </c>
      <c r="G161" s="162"/>
      <c r="H161" s="161" t="s">
        <v>287</v>
      </c>
      <c r="I161" s="261">
        <f t="shared" ref="I161:I166" si="5">F161</f>
        <v>2219.5</v>
      </c>
      <c r="J161" s="175"/>
      <c r="K161" s="1" t="s">
        <v>123</v>
      </c>
    </row>
    <row r="162" spans="1:11" s="2" customFormat="1">
      <c r="A162" s="124">
        <v>152</v>
      </c>
      <c r="C162" s="394">
        <v>45293</v>
      </c>
      <c r="D162" s="238">
        <v>7526</v>
      </c>
      <c r="E162" s="161" t="s">
        <v>629</v>
      </c>
      <c r="F162" s="162">
        <v>88.5</v>
      </c>
      <c r="G162" s="164"/>
      <c r="H162" s="161" t="s">
        <v>287</v>
      </c>
      <c r="I162" s="261">
        <f t="shared" si="5"/>
        <v>88.5</v>
      </c>
      <c r="J162" s="175"/>
      <c r="K162" s="1" t="s">
        <v>123</v>
      </c>
    </row>
    <row r="163" spans="1:11" s="2" customFormat="1">
      <c r="A163" s="124">
        <v>153</v>
      </c>
      <c r="C163" s="394">
        <v>45296</v>
      </c>
      <c r="D163" s="2">
        <v>7547</v>
      </c>
      <c r="E163" s="161" t="s">
        <v>629</v>
      </c>
      <c r="F163" s="162">
        <v>59</v>
      </c>
      <c r="G163" s="162"/>
      <c r="H163" s="161" t="s">
        <v>287</v>
      </c>
      <c r="I163" s="261">
        <f t="shared" si="5"/>
        <v>59</v>
      </c>
      <c r="J163" s="175"/>
      <c r="K163" s="1" t="s">
        <v>123</v>
      </c>
    </row>
    <row r="164" spans="1:11" s="2" customFormat="1">
      <c r="A164" s="124">
        <v>154</v>
      </c>
      <c r="C164" s="394">
        <v>45328</v>
      </c>
      <c r="D164" s="2">
        <v>7697</v>
      </c>
      <c r="E164" s="161" t="s">
        <v>629</v>
      </c>
      <c r="F164" s="162">
        <v>200</v>
      </c>
      <c r="G164" s="162"/>
      <c r="H164" s="161" t="s">
        <v>287</v>
      </c>
      <c r="I164" s="261">
        <f t="shared" si="5"/>
        <v>200</v>
      </c>
      <c r="J164" s="127"/>
      <c r="K164" s="1" t="s">
        <v>123</v>
      </c>
    </row>
    <row r="165" spans="1:11" s="2" customFormat="1">
      <c r="A165" s="124">
        <v>155</v>
      </c>
      <c r="C165" s="394">
        <v>45356</v>
      </c>
      <c r="D165" s="2">
        <v>7697</v>
      </c>
      <c r="E165" s="161" t="s">
        <v>629</v>
      </c>
      <c r="F165" s="162">
        <v>29</v>
      </c>
      <c r="G165" s="162"/>
      <c r="H165" s="161" t="s">
        <v>287</v>
      </c>
      <c r="I165" s="261">
        <f t="shared" si="5"/>
        <v>29</v>
      </c>
      <c r="J165" s="127"/>
      <c r="K165" s="1" t="s">
        <v>123</v>
      </c>
    </row>
    <row r="166" spans="1:11" s="2" customFormat="1">
      <c r="A166" s="124">
        <v>156</v>
      </c>
      <c r="C166" s="394">
        <v>45385</v>
      </c>
      <c r="D166" s="238">
        <v>7775</v>
      </c>
      <c r="E166" s="161" t="s">
        <v>629</v>
      </c>
      <c r="F166" s="162">
        <v>468</v>
      </c>
      <c r="G166" s="162"/>
      <c r="H166" s="161" t="s">
        <v>287</v>
      </c>
      <c r="I166" s="261">
        <f t="shared" si="5"/>
        <v>468</v>
      </c>
      <c r="J166" s="127"/>
      <c r="K166" s="1" t="s">
        <v>123</v>
      </c>
    </row>
    <row r="167" spans="1:11" s="2" customFormat="1">
      <c r="A167" s="124">
        <v>157</v>
      </c>
      <c r="C167" s="394">
        <v>45328</v>
      </c>
      <c r="D167" s="238">
        <v>903</v>
      </c>
      <c r="E167" s="161" t="s">
        <v>630</v>
      </c>
      <c r="F167" s="162">
        <v>4968</v>
      </c>
      <c r="G167" s="162"/>
      <c r="H167" s="161" t="s">
        <v>286</v>
      </c>
      <c r="I167" s="302">
        <f>F167</f>
        <v>4968</v>
      </c>
      <c r="J167" s="175"/>
      <c r="K167" s="1" t="s">
        <v>123</v>
      </c>
    </row>
    <row r="168" spans="1:11" s="2" customFormat="1">
      <c r="A168" s="124">
        <v>158</v>
      </c>
      <c r="C168" s="394">
        <v>45078</v>
      </c>
      <c r="D168" s="238">
        <v>205833</v>
      </c>
      <c r="E168" s="161" t="s">
        <v>631</v>
      </c>
      <c r="F168" s="162">
        <v>3150</v>
      </c>
      <c r="G168" s="162"/>
      <c r="H168" s="161" t="s">
        <v>632</v>
      </c>
      <c r="I168" s="261">
        <f>F168</f>
        <v>3150</v>
      </c>
      <c r="J168" s="127"/>
      <c r="K168" s="1" t="s">
        <v>225</v>
      </c>
    </row>
    <row r="169" spans="1:11" s="2" customFormat="1">
      <c r="A169" s="124">
        <v>159</v>
      </c>
      <c r="C169" s="394">
        <v>45170</v>
      </c>
      <c r="D169" s="238">
        <v>206727</v>
      </c>
      <c r="E169" s="161" t="s">
        <v>631</v>
      </c>
      <c r="F169" s="162">
        <v>3750</v>
      </c>
      <c r="G169" s="162"/>
      <c r="H169" s="161" t="s">
        <v>633</v>
      </c>
      <c r="I169" s="261"/>
      <c r="J169" s="127"/>
      <c r="K169" s="1"/>
    </row>
    <row r="170" spans="1:11" s="2" customFormat="1">
      <c r="A170" s="124">
        <v>160</v>
      </c>
      <c r="C170" s="394">
        <v>45433</v>
      </c>
      <c r="D170" s="238">
        <v>209035</v>
      </c>
      <c r="E170" s="161" t="s">
        <v>631</v>
      </c>
      <c r="F170" s="162">
        <v>3150</v>
      </c>
      <c r="G170" s="162"/>
      <c r="H170" s="161" t="s">
        <v>632</v>
      </c>
      <c r="I170" s="261"/>
      <c r="J170" s="127"/>
      <c r="K170" s="1"/>
    </row>
    <row r="171" spans="1:11" s="2" customFormat="1">
      <c r="A171" s="124">
        <v>161</v>
      </c>
      <c r="C171" s="394">
        <v>45138</v>
      </c>
      <c r="D171" s="2">
        <v>206289</v>
      </c>
      <c r="E171" s="161" t="s">
        <v>634</v>
      </c>
      <c r="F171" s="162">
        <v>2200</v>
      </c>
      <c r="G171" s="162"/>
      <c r="H171" s="161" t="s">
        <v>286</v>
      </c>
      <c r="I171" s="261"/>
      <c r="J171" s="127"/>
      <c r="K171" s="1"/>
    </row>
    <row r="172" spans="1:11" s="2" customFormat="1">
      <c r="A172" s="124">
        <v>162</v>
      </c>
      <c r="C172" s="394">
        <v>45078</v>
      </c>
      <c r="D172" s="238">
        <v>205666</v>
      </c>
      <c r="E172" s="161" t="s">
        <v>635</v>
      </c>
      <c r="F172" s="162">
        <v>448.54</v>
      </c>
      <c r="G172" s="162"/>
      <c r="H172" s="161" t="s">
        <v>636</v>
      </c>
      <c r="I172" s="261"/>
      <c r="J172" s="127"/>
      <c r="K172" s="1"/>
    </row>
    <row r="173" spans="1:11" s="2" customFormat="1">
      <c r="A173" s="124">
        <v>163</v>
      </c>
      <c r="C173" s="394">
        <v>45381</v>
      </c>
      <c r="D173" s="238">
        <v>208659</v>
      </c>
      <c r="E173" s="161" t="s">
        <v>635</v>
      </c>
      <c r="F173" s="162">
        <v>306.32</v>
      </c>
      <c r="G173" s="162"/>
      <c r="H173" s="161" t="s">
        <v>636</v>
      </c>
      <c r="I173" s="261"/>
      <c r="J173" s="127"/>
      <c r="K173" s="1"/>
    </row>
    <row r="174" spans="1:11" s="2" customFormat="1">
      <c r="A174" s="124">
        <v>164</v>
      </c>
      <c r="C174" s="394">
        <v>45200</v>
      </c>
      <c r="D174" s="2">
        <v>206841</v>
      </c>
      <c r="E174" s="161" t="s">
        <v>637</v>
      </c>
      <c r="F174" s="162">
        <v>35000</v>
      </c>
      <c r="G174" s="162"/>
      <c r="H174" s="161" t="s">
        <v>288</v>
      </c>
      <c r="I174" s="302">
        <f>F174</f>
        <v>35000</v>
      </c>
      <c r="J174" s="175"/>
      <c r="K174" s="1" t="s">
        <v>123</v>
      </c>
    </row>
    <row r="175" spans="1:11" s="2" customFormat="1">
      <c r="A175" s="124">
        <v>165</v>
      </c>
      <c r="C175" s="394">
        <v>45107</v>
      </c>
      <c r="D175" s="238">
        <v>7124</v>
      </c>
      <c r="E175" s="161" t="s">
        <v>638</v>
      </c>
      <c r="F175" s="162">
        <v>14912.37</v>
      </c>
      <c r="G175" s="162"/>
      <c r="H175" s="161" t="s">
        <v>639</v>
      </c>
      <c r="I175" s="261"/>
      <c r="J175" s="127"/>
      <c r="K175" s="1"/>
    </row>
    <row r="176" spans="1:11" s="2" customFormat="1">
      <c r="A176" s="124">
        <v>166</v>
      </c>
      <c r="C176" s="394">
        <v>45138</v>
      </c>
      <c r="D176" s="238">
        <v>7199</v>
      </c>
      <c r="E176" s="161" t="s">
        <v>638</v>
      </c>
      <c r="F176" s="162">
        <v>14289.23</v>
      </c>
      <c r="G176" s="162"/>
      <c r="H176" s="161" t="s">
        <v>639</v>
      </c>
      <c r="I176" s="261"/>
      <c r="J176" s="127"/>
      <c r="K176" s="1"/>
    </row>
    <row r="177" spans="1:11" s="2" customFormat="1">
      <c r="A177" s="124">
        <v>167</v>
      </c>
      <c r="C177" s="394">
        <v>45169</v>
      </c>
      <c r="D177" s="238">
        <v>7271</v>
      </c>
      <c r="E177" s="161" t="s">
        <v>638</v>
      </c>
      <c r="F177" s="162">
        <v>16611.21</v>
      </c>
      <c r="G177" s="162"/>
      <c r="H177" s="161" t="s">
        <v>639</v>
      </c>
      <c r="I177" s="261"/>
      <c r="J177" s="127"/>
      <c r="K177" s="1"/>
    </row>
    <row r="178" spans="1:11" s="2" customFormat="1">
      <c r="A178" s="124">
        <v>168</v>
      </c>
      <c r="C178" s="394">
        <v>45199</v>
      </c>
      <c r="D178" s="238">
        <v>7347</v>
      </c>
      <c r="E178" s="161" t="s">
        <v>638</v>
      </c>
      <c r="F178" s="162">
        <v>14761.94</v>
      </c>
      <c r="G178" s="162"/>
      <c r="H178" s="161" t="s">
        <v>639</v>
      </c>
      <c r="I178" s="261"/>
      <c r="J178" s="127"/>
      <c r="K178" s="1"/>
    </row>
    <row r="179" spans="1:11" s="2" customFormat="1">
      <c r="A179" s="124">
        <v>169</v>
      </c>
      <c r="C179" s="394">
        <v>45230</v>
      </c>
      <c r="D179" s="238">
        <v>7414</v>
      </c>
      <c r="E179" s="161" t="s">
        <v>638</v>
      </c>
      <c r="F179" s="162">
        <v>14349.51</v>
      </c>
      <c r="G179" s="162"/>
      <c r="H179" s="161" t="s">
        <v>639</v>
      </c>
      <c r="I179" s="261"/>
      <c r="J179" s="127"/>
      <c r="K179" s="1"/>
    </row>
    <row r="180" spans="1:11" s="2" customFormat="1">
      <c r="A180" s="124">
        <v>170</v>
      </c>
      <c r="C180" s="394">
        <v>45260</v>
      </c>
      <c r="D180" s="238">
        <v>7490</v>
      </c>
      <c r="E180" s="161" t="s">
        <v>638</v>
      </c>
      <c r="F180" s="162">
        <v>13916.22</v>
      </c>
      <c r="G180" s="162"/>
      <c r="H180" s="161" t="s">
        <v>639</v>
      </c>
      <c r="I180" s="261"/>
      <c r="J180" s="127"/>
      <c r="K180" s="1"/>
    </row>
    <row r="181" spans="1:11" s="2" customFormat="1">
      <c r="A181" s="124">
        <v>171</v>
      </c>
      <c r="C181" s="394">
        <v>45291</v>
      </c>
      <c r="D181" s="238">
        <v>7580</v>
      </c>
      <c r="E181" s="161" t="s">
        <v>638</v>
      </c>
      <c r="F181" s="162">
        <v>15075.07</v>
      </c>
      <c r="G181" s="162"/>
      <c r="H181" s="161" t="s">
        <v>639</v>
      </c>
      <c r="I181" s="261"/>
      <c r="J181" s="127"/>
      <c r="K181" s="1"/>
    </row>
    <row r="182" spans="1:11" s="2" customFormat="1">
      <c r="A182" s="124">
        <v>172</v>
      </c>
      <c r="C182" s="394">
        <v>45322</v>
      </c>
      <c r="D182" s="238">
        <v>7652</v>
      </c>
      <c r="E182" s="161" t="s">
        <v>638</v>
      </c>
      <c r="F182" s="162">
        <v>14969.76</v>
      </c>
      <c r="G182" s="162"/>
      <c r="H182" s="161" t="s">
        <v>639</v>
      </c>
      <c r="I182" s="261"/>
      <c r="J182" s="127"/>
      <c r="K182" s="1"/>
    </row>
    <row r="183" spans="1:11" s="2" customFormat="1">
      <c r="A183" s="124">
        <v>173</v>
      </c>
      <c r="C183" s="394">
        <v>45351</v>
      </c>
      <c r="D183" s="238">
        <v>7737</v>
      </c>
      <c r="E183" s="161" t="s">
        <v>638</v>
      </c>
      <c r="F183" s="162">
        <v>14778.72</v>
      </c>
      <c r="G183" s="162"/>
      <c r="H183" s="161" t="s">
        <v>639</v>
      </c>
      <c r="I183" s="261"/>
      <c r="J183" s="127"/>
      <c r="K183" s="1"/>
    </row>
    <row r="184" spans="1:11" s="2" customFormat="1">
      <c r="A184" s="124">
        <v>174</v>
      </c>
      <c r="C184" s="394">
        <v>45382</v>
      </c>
      <c r="D184" s="238">
        <v>7798</v>
      </c>
      <c r="E184" s="161" t="s">
        <v>638</v>
      </c>
      <c r="F184" s="162">
        <v>14622.55</v>
      </c>
      <c r="G184" s="162"/>
      <c r="H184" s="161" t="s">
        <v>639</v>
      </c>
      <c r="I184" s="261"/>
      <c r="J184" s="127"/>
      <c r="K184" s="1"/>
    </row>
    <row r="185" spans="1:11" s="2" customFormat="1">
      <c r="A185" s="124">
        <v>175</v>
      </c>
      <c r="C185" s="394">
        <v>45412</v>
      </c>
      <c r="D185" s="238">
        <v>7870</v>
      </c>
      <c r="E185" s="161" t="s">
        <v>638</v>
      </c>
      <c r="F185" s="162">
        <v>14597.29</v>
      </c>
      <c r="G185" s="162"/>
      <c r="H185" s="161" t="s">
        <v>639</v>
      </c>
      <c r="I185" s="261"/>
      <c r="J185" s="127"/>
      <c r="K185" s="1"/>
    </row>
    <row r="186" spans="1:11" s="2" customFormat="1">
      <c r="A186" s="124">
        <v>176</v>
      </c>
      <c r="C186" s="394">
        <v>45443</v>
      </c>
      <c r="D186" s="238">
        <v>7956</v>
      </c>
      <c r="E186" s="161" t="s">
        <v>638</v>
      </c>
      <c r="F186" s="162">
        <v>14956.72</v>
      </c>
      <c r="G186" s="162"/>
      <c r="H186" s="161" t="s">
        <v>639</v>
      </c>
      <c r="I186" s="261"/>
      <c r="J186" s="127"/>
      <c r="K186" s="1"/>
    </row>
    <row r="187" spans="1:11" s="2" customFormat="1">
      <c r="A187" s="124">
        <v>177</v>
      </c>
      <c r="C187" s="394">
        <v>45169</v>
      </c>
      <c r="D187" s="238">
        <v>7255</v>
      </c>
      <c r="E187" s="161" t="s">
        <v>640</v>
      </c>
      <c r="F187" s="162">
        <v>390.68</v>
      </c>
      <c r="G187" s="162"/>
      <c r="H187" s="161" t="s">
        <v>641</v>
      </c>
      <c r="I187" s="261"/>
      <c r="J187" s="127"/>
      <c r="K187" s="1"/>
    </row>
    <row r="188" spans="1:11" s="2" customFormat="1">
      <c r="A188" s="124">
        <v>178</v>
      </c>
      <c r="C188" s="394">
        <v>45199</v>
      </c>
      <c r="D188" s="238">
        <v>7318</v>
      </c>
      <c r="E188" s="161" t="s">
        <v>640</v>
      </c>
      <c r="F188" s="162">
        <v>990.86</v>
      </c>
      <c r="G188" s="162"/>
      <c r="H188" s="161" t="s">
        <v>641</v>
      </c>
      <c r="I188" s="261"/>
      <c r="J188" s="127"/>
      <c r="K188" s="1"/>
    </row>
    <row r="189" spans="1:11" s="2" customFormat="1">
      <c r="A189" s="124">
        <v>179</v>
      </c>
      <c r="C189" s="394">
        <v>45261</v>
      </c>
      <c r="D189" s="238">
        <v>7504</v>
      </c>
      <c r="E189" s="161" t="s">
        <v>640</v>
      </c>
      <c r="F189" s="162">
        <v>688.73</v>
      </c>
      <c r="G189" s="162"/>
      <c r="H189" s="161" t="s">
        <v>641</v>
      </c>
      <c r="I189" s="261"/>
      <c r="J189" s="127"/>
      <c r="K189" s="1"/>
    </row>
    <row r="190" spans="1:11" s="2" customFormat="1">
      <c r="A190" s="124">
        <v>180</v>
      </c>
      <c r="C190" s="394">
        <v>45382</v>
      </c>
      <c r="D190" s="238">
        <v>7784</v>
      </c>
      <c r="E190" s="161" t="s">
        <v>640</v>
      </c>
      <c r="F190" s="162">
        <v>581.32000000000005</v>
      </c>
      <c r="G190" s="162"/>
      <c r="H190" s="161" t="s">
        <v>641</v>
      </c>
      <c r="I190" s="261"/>
      <c r="J190" s="127"/>
      <c r="K190" s="1"/>
    </row>
    <row r="191" spans="1:11" s="2" customFormat="1">
      <c r="A191" s="124">
        <v>181</v>
      </c>
      <c r="C191" s="394">
        <v>45382</v>
      </c>
      <c r="D191" s="238">
        <v>7784</v>
      </c>
      <c r="E191" s="161" t="s">
        <v>640</v>
      </c>
      <c r="F191" s="162">
        <v>747.65</v>
      </c>
      <c r="G191" s="162"/>
      <c r="H191" s="161" t="s">
        <v>641</v>
      </c>
      <c r="I191" s="261"/>
      <c r="J191" s="127"/>
      <c r="K191" s="1"/>
    </row>
    <row r="192" spans="1:11" s="2" customFormat="1">
      <c r="A192" s="124">
        <v>182</v>
      </c>
      <c r="C192" s="394">
        <v>45382</v>
      </c>
      <c r="D192" s="238">
        <v>7784</v>
      </c>
      <c r="E192" s="161" t="s">
        <v>640</v>
      </c>
      <c r="F192" s="162">
        <v>815.14</v>
      </c>
      <c r="G192" s="162"/>
      <c r="H192" s="161" t="s">
        <v>641</v>
      </c>
      <c r="I192" s="261"/>
      <c r="J192" s="127"/>
      <c r="K192" s="1"/>
    </row>
    <row r="193" spans="1:11" s="2" customFormat="1">
      <c r="A193" s="124">
        <v>183</v>
      </c>
      <c r="C193" s="394">
        <v>45107</v>
      </c>
      <c r="D193" s="238">
        <v>7121</v>
      </c>
      <c r="E193" s="161" t="s">
        <v>642</v>
      </c>
      <c r="F193" s="162">
        <v>946.8</v>
      </c>
      <c r="G193" s="162"/>
      <c r="H193" s="161" t="s">
        <v>643</v>
      </c>
      <c r="I193" s="261"/>
      <c r="J193" s="127"/>
      <c r="K193" s="1"/>
    </row>
    <row r="194" spans="1:11" s="2" customFormat="1">
      <c r="A194" s="124">
        <v>184</v>
      </c>
      <c r="C194" s="394">
        <v>45169</v>
      </c>
      <c r="D194" s="238">
        <v>7250</v>
      </c>
      <c r="E194" s="161" t="s">
        <v>642</v>
      </c>
      <c r="F194" s="162">
        <v>1823.34</v>
      </c>
      <c r="G194" s="162"/>
      <c r="H194" s="161" t="s">
        <v>643</v>
      </c>
      <c r="I194" s="261"/>
      <c r="J194" s="127"/>
      <c r="K194" s="1"/>
    </row>
    <row r="195" spans="1:11" s="2" customFormat="1">
      <c r="A195" s="124">
        <v>185</v>
      </c>
      <c r="C195" s="394">
        <v>45199</v>
      </c>
      <c r="D195" s="238">
        <v>7315</v>
      </c>
      <c r="E195" s="161" t="s">
        <v>642</v>
      </c>
      <c r="F195" s="162">
        <v>931.77</v>
      </c>
      <c r="G195" s="162"/>
      <c r="H195" s="161"/>
      <c r="I195" s="261"/>
      <c r="J195" s="127"/>
      <c r="K195" s="1"/>
    </row>
    <row r="196" spans="1:11" s="2" customFormat="1">
      <c r="A196" s="124">
        <v>186</v>
      </c>
      <c r="C196" s="394">
        <v>45230</v>
      </c>
      <c r="D196" s="238">
        <v>7401</v>
      </c>
      <c r="E196" s="161" t="s">
        <v>642</v>
      </c>
      <c r="F196" s="162">
        <v>909.98</v>
      </c>
      <c r="G196" s="162"/>
      <c r="H196" s="161"/>
      <c r="I196" s="261"/>
      <c r="J196" s="127"/>
      <c r="K196" s="1"/>
    </row>
    <row r="197" spans="1:11" s="2" customFormat="1">
      <c r="A197" s="124">
        <v>187</v>
      </c>
      <c r="C197" s="394">
        <v>45261</v>
      </c>
      <c r="D197" s="238">
        <v>7501</v>
      </c>
      <c r="E197" s="161" t="s">
        <v>642</v>
      </c>
      <c r="F197" s="162">
        <v>702.21</v>
      </c>
      <c r="G197" s="162"/>
      <c r="H197" s="161"/>
      <c r="I197" s="261"/>
      <c r="J197" s="127"/>
      <c r="K197" s="1"/>
    </row>
    <row r="198" spans="1:11" s="2" customFormat="1">
      <c r="A198" s="124">
        <v>188</v>
      </c>
      <c r="C198" s="394">
        <v>45291</v>
      </c>
      <c r="D198" s="238">
        <v>7558</v>
      </c>
      <c r="E198" s="161" t="s">
        <v>642</v>
      </c>
      <c r="F198" s="162">
        <v>741.66</v>
      </c>
      <c r="G198" s="162"/>
      <c r="H198" s="161"/>
      <c r="I198" s="261"/>
      <c r="J198" s="127"/>
      <c r="K198" s="1"/>
    </row>
    <row r="199" spans="1:11" s="2" customFormat="1">
      <c r="A199" s="124">
        <v>189</v>
      </c>
      <c r="C199" s="394">
        <v>45382</v>
      </c>
      <c r="D199" s="238">
        <v>7780</v>
      </c>
      <c r="E199" s="161" t="s">
        <v>642</v>
      </c>
      <c r="F199" s="162">
        <v>841.6</v>
      </c>
      <c r="G199" s="162"/>
      <c r="H199" s="161" t="s">
        <v>643</v>
      </c>
      <c r="I199" s="261"/>
      <c r="J199" s="127"/>
      <c r="K199" s="1"/>
    </row>
    <row r="200" spans="1:11" s="2" customFormat="1">
      <c r="A200" s="124">
        <v>190</v>
      </c>
      <c r="C200" s="394">
        <v>45382</v>
      </c>
      <c r="D200" s="238">
        <v>7780</v>
      </c>
      <c r="E200" s="161" t="s">
        <v>642</v>
      </c>
      <c r="F200" s="162">
        <v>899.46</v>
      </c>
      <c r="G200" s="162"/>
      <c r="H200" s="161" t="s">
        <v>643</v>
      </c>
      <c r="I200" s="261"/>
      <c r="J200" s="127"/>
      <c r="K200" s="1"/>
    </row>
    <row r="201" spans="1:11" s="2" customFormat="1">
      <c r="A201" s="124">
        <v>191</v>
      </c>
      <c r="C201" s="394">
        <v>45382</v>
      </c>
      <c r="D201" s="238">
        <v>7780</v>
      </c>
      <c r="E201" s="161" t="s">
        <v>642</v>
      </c>
      <c r="F201" s="162">
        <v>673.28</v>
      </c>
      <c r="G201" s="162"/>
      <c r="H201" s="161"/>
      <c r="I201" s="261"/>
      <c r="J201" s="127"/>
      <c r="K201" s="1"/>
    </row>
    <row r="202" spans="1:11" s="2" customFormat="1">
      <c r="A202" s="124">
        <v>192</v>
      </c>
      <c r="C202" s="394">
        <v>45413</v>
      </c>
      <c r="D202" s="238">
        <v>7848</v>
      </c>
      <c r="E202" s="161" t="s">
        <v>642</v>
      </c>
      <c r="F202" s="162">
        <v>915.24</v>
      </c>
      <c r="G202" s="162"/>
      <c r="H202" s="161"/>
      <c r="I202" s="261"/>
      <c r="J202" s="127"/>
      <c r="K202" s="1"/>
    </row>
    <row r="203" spans="1:11" s="2" customFormat="1">
      <c r="A203" s="124">
        <v>193</v>
      </c>
      <c r="C203" s="394">
        <v>45169</v>
      </c>
      <c r="D203" s="238">
        <v>7261</v>
      </c>
      <c r="E203" s="161" t="s">
        <v>644</v>
      </c>
      <c r="F203" s="162">
        <v>2263.75</v>
      </c>
      <c r="G203" s="162"/>
      <c r="H203" s="161" t="s">
        <v>645</v>
      </c>
      <c r="I203" s="261"/>
      <c r="J203" s="127"/>
      <c r="K203" s="1"/>
    </row>
    <row r="204" spans="1:11" s="2" customFormat="1">
      <c r="A204" s="124">
        <v>194</v>
      </c>
      <c r="C204" s="394">
        <v>45200</v>
      </c>
      <c r="D204" s="238">
        <v>7324</v>
      </c>
      <c r="E204" s="161" t="s">
        <v>644</v>
      </c>
      <c r="F204" s="162">
        <v>905.25</v>
      </c>
      <c r="G204" s="162"/>
      <c r="H204" s="161" t="s">
        <v>645</v>
      </c>
      <c r="I204" s="261"/>
      <c r="J204" s="127"/>
      <c r="K204" s="1"/>
    </row>
    <row r="205" spans="1:11" s="2" customFormat="1">
      <c r="A205" s="124">
        <v>195</v>
      </c>
      <c r="C205" s="394">
        <v>45230</v>
      </c>
      <c r="D205" s="238">
        <v>7395</v>
      </c>
      <c r="E205" s="161" t="s">
        <v>644</v>
      </c>
      <c r="F205" s="162">
        <v>1344</v>
      </c>
      <c r="G205" s="162"/>
      <c r="H205" s="161" t="s">
        <v>645</v>
      </c>
      <c r="I205" s="261"/>
      <c r="J205" s="127"/>
      <c r="K205" s="1"/>
    </row>
    <row r="206" spans="1:11" s="2" customFormat="1">
      <c r="A206" s="124">
        <v>196</v>
      </c>
      <c r="C206" s="394">
        <v>45261</v>
      </c>
      <c r="D206" s="238">
        <v>7484</v>
      </c>
      <c r="E206" s="161" t="s">
        <v>644</v>
      </c>
      <c r="F206" s="162">
        <v>1328.5</v>
      </c>
      <c r="G206" s="162"/>
      <c r="H206" s="161" t="s">
        <v>645</v>
      </c>
      <c r="I206" s="261"/>
      <c r="J206" s="127"/>
      <c r="K206" s="1"/>
    </row>
    <row r="207" spans="1:11" s="2" customFormat="1">
      <c r="A207" s="124">
        <v>197</v>
      </c>
      <c r="C207" s="394">
        <v>45291</v>
      </c>
      <c r="D207" s="238">
        <v>7568</v>
      </c>
      <c r="E207" s="161" t="s">
        <v>644</v>
      </c>
      <c r="F207" s="162">
        <v>56.5</v>
      </c>
      <c r="G207" s="162"/>
      <c r="H207" s="161" t="s">
        <v>645</v>
      </c>
      <c r="I207" s="261"/>
      <c r="J207" s="127"/>
      <c r="K207" s="1"/>
    </row>
    <row r="208" spans="1:11" s="2" customFormat="1">
      <c r="A208" s="124">
        <v>198</v>
      </c>
      <c r="C208" s="360">
        <v>45485</v>
      </c>
      <c r="D208" s="2">
        <v>7999</v>
      </c>
      <c r="E208" s="2" t="s">
        <v>646</v>
      </c>
      <c r="F208" s="319"/>
      <c r="G208" s="2" t="s">
        <v>616</v>
      </c>
      <c r="H208" s="2" t="s">
        <v>287</v>
      </c>
      <c r="I208" s="302"/>
      <c r="J208" s="175">
        <v>1407.26</v>
      </c>
      <c r="K208" s="1" t="s">
        <v>226</v>
      </c>
    </row>
    <row r="209" spans="1:11" s="2" customFormat="1">
      <c r="A209" s="124">
        <v>199</v>
      </c>
      <c r="C209" s="360">
        <v>45509</v>
      </c>
      <c r="D209" s="2">
        <v>8052</v>
      </c>
      <c r="E209" s="2" t="s">
        <v>646</v>
      </c>
      <c r="F209" s="319"/>
      <c r="G209" s="2" t="s">
        <v>616</v>
      </c>
      <c r="H209" s="2" t="s">
        <v>287</v>
      </c>
      <c r="I209" s="302"/>
      <c r="J209" s="175">
        <v>3180</v>
      </c>
      <c r="K209" s="1" t="s">
        <v>226</v>
      </c>
    </row>
    <row r="210" spans="1:11" s="2" customFormat="1">
      <c r="A210" s="124">
        <v>200</v>
      </c>
      <c r="C210" s="360">
        <v>45540</v>
      </c>
      <c r="D210" s="2">
        <v>8126</v>
      </c>
      <c r="E210" s="2" t="s">
        <v>646</v>
      </c>
      <c r="F210" s="319"/>
      <c r="G210" s="2" t="s">
        <v>616</v>
      </c>
      <c r="H210" s="2" t="s">
        <v>287</v>
      </c>
      <c r="I210" s="302"/>
      <c r="J210" s="175">
        <v>2158.52</v>
      </c>
      <c r="K210" s="1" t="s">
        <v>226</v>
      </c>
    </row>
    <row r="211" spans="1:11" s="2" customFormat="1">
      <c r="A211" s="124">
        <v>201</v>
      </c>
      <c r="C211" s="360">
        <v>45566</v>
      </c>
      <c r="D211" s="2">
        <v>8169</v>
      </c>
      <c r="E211" s="2" t="s">
        <v>646</v>
      </c>
      <c r="F211" s="319"/>
      <c r="G211" s="2" t="s">
        <v>616</v>
      </c>
      <c r="H211" s="2" t="s">
        <v>287</v>
      </c>
      <c r="I211" s="302"/>
      <c r="J211" s="175">
        <v>1400</v>
      </c>
      <c r="K211" s="1" t="s">
        <v>226</v>
      </c>
    </row>
    <row r="212" spans="1:11" s="2" customFormat="1">
      <c r="A212" s="124">
        <v>202</v>
      </c>
      <c r="C212" s="360">
        <v>45597</v>
      </c>
      <c r="D212" s="2">
        <v>8251</v>
      </c>
      <c r="E212" s="2" t="s">
        <v>646</v>
      </c>
      <c r="F212" s="319"/>
      <c r="G212" s="2" t="s">
        <v>616</v>
      </c>
      <c r="H212" s="2" t="s">
        <v>287</v>
      </c>
      <c r="I212" s="302"/>
      <c r="J212" s="175">
        <v>1040</v>
      </c>
      <c r="K212" s="1" t="s">
        <v>226</v>
      </c>
    </row>
    <row r="213" spans="1:11" s="2" customFormat="1">
      <c r="A213" s="124">
        <v>203</v>
      </c>
      <c r="C213" s="360"/>
      <c r="E213" s="2" t="s">
        <v>646</v>
      </c>
      <c r="F213" s="319"/>
      <c r="H213" s="2" t="s">
        <v>647</v>
      </c>
      <c r="I213" s="302"/>
      <c r="J213" s="175">
        <f>AVERAGE(J208:J212)*7</f>
        <v>12860.092000000001</v>
      </c>
      <c r="K213" s="1" t="s">
        <v>226</v>
      </c>
    </row>
    <row r="214" spans="1:11" s="2" customFormat="1">
      <c r="A214" s="124">
        <v>204</v>
      </c>
      <c r="C214" s="394">
        <v>45099</v>
      </c>
      <c r="D214" s="238">
        <v>205805</v>
      </c>
      <c r="E214" s="161" t="s">
        <v>648</v>
      </c>
      <c r="F214" s="162">
        <v>450</v>
      </c>
      <c r="G214" s="162"/>
      <c r="H214" s="161" t="s">
        <v>611</v>
      </c>
      <c r="I214" s="261"/>
      <c r="J214" s="127"/>
      <c r="K214" s="1"/>
    </row>
    <row r="215" spans="1:11" s="2" customFormat="1">
      <c r="A215" s="124">
        <v>205</v>
      </c>
      <c r="C215" s="394">
        <v>45107</v>
      </c>
      <c r="D215" s="238">
        <v>7088</v>
      </c>
      <c r="E215" s="161" t="s">
        <v>649</v>
      </c>
      <c r="F215" s="162">
        <v>6550.8</v>
      </c>
      <c r="G215" s="162"/>
      <c r="H215" s="161" t="s">
        <v>609</v>
      </c>
      <c r="I215" s="261"/>
      <c r="J215" s="127"/>
      <c r="K215" s="1"/>
    </row>
    <row r="216" spans="1:11" s="2" customFormat="1">
      <c r="A216" s="124">
        <v>206</v>
      </c>
      <c r="C216" s="394">
        <v>45107</v>
      </c>
      <c r="D216" s="238">
        <v>7088</v>
      </c>
      <c r="E216" s="161" t="s">
        <v>649</v>
      </c>
      <c r="F216" s="162">
        <v>2438</v>
      </c>
      <c r="G216" s="162"/>
      <c r="H216" s="161" t="s">
        <v>609</v>
      </c>
      <c r="I216" s="261"/>
      <c r="J216" s="127"/>
      <c r="K216" s="1"/>
    </row>
    <row r="217" spans="1:11" s="2" customFormat="1">
      <c r="A217" s="124">
        <v>207</v>
      </c>
      <c r="C217" s="394">
        <v>45107</v>
      </c>
      <c r="D217" s="238">
        <v>7088</v>
      </c>
      <c r="E217" s="161" t="s">
        <v>649</v>
      </c>
      <c r="F217" s="162">
        <v>2983.9</v>
      </c>
      <c r="G217" s="162"/>
      <c r="H217" s="161" t="s">
        <v>609</v>
      </c>
      <c r="I217" s="261"/>
      <c r="J217" s="127"/>
      <c r="K217" s="1"/>
    </row>
    <row r="218" spans="1:11" s="2" customFormat="1">
      <c r="A218" s="124">
        <v>208</v>
      </c>
      <c r="C218" s="394">
        <v>45107</v>
      </c>
      <c r="D218" s="238">
        <v>7088</v>
      </c>
      <c r="E218" s="161" t="s">
        <v>649</v>
      </c>
      <c r="F218" s="162">
        <v>3074</v>
      </c>
      <c r="G218" s="162"/>
      <c r="H218" s="161" t="s">
        <v>609</v>
      </c>
      <c r="I218" s="261"/>
      <c r="J218" s="127"/>
      <c r="K218" s="1"/>
    </row>
    <row r="219" spans="1:11" s="2" customFormat="1">
      <c r="A219" s="124">
        <v>209</v>
      </c>
      <c r="C219" s="394">
        <v>45138</v>
      </c>
      <c r="D219" s="238">
        <v>7142</v>
      </c>
      <c r="E219" s="161" t="s">
        <v>649</v>
      </c>
      <c r="F219" s="162">
        <v>3074</v>
      </c>
      <c r="G219" s="162"/>
      <c r="H219" s="161" t="s">
        <v>609</v>
      </c>
      <c r="I219" s="261"/>
      <c r="J219" s="127"/>
      <c r="K219" s="1"/>
    </row>
    <row r="220" spans="1:11" s="2" customFormat="1">
      <c r="A220" s="124">
        <v>210</v>
      </c>
      <c r="C220" s="394">
        <v>45138</v>
      </c>
      <c r="D220" s="238">
        <v>7142</v>
      </c>
      <c r="E220" s="161" t="s">
        <v>649</v>
      </c>
      <c r="F220" s="162">
        <v>6524.3</v>
      </c>
      <c r="G220" s="162"/>
      <c r="H220" s="161" t="s">
        <v>609</v>
      </c>
      <c r="I220" s="261"/>
      <c r="J220" s="127"/>
      <c r="K220" s="1"/>
    </row>
    <row r="221" spans="1:11" s="2" customFormat="1">
      <c r="A221" s="124">
        <v>211</v>
      </c>
      <c r="C221" s="394">
        <v>45138</v>
      </c>
      <c r="D221" s="238">
        <v>7142</v>
      </c>
      <c r="E221" s="161" t="s">
        <v>649</v>
      </c>
      <c r="F221" s="162">
        <v>2438</v>
      </c>
      <c r="G221" s="162"/>
      <c r="H221" s="161" t="s">
        <v>609</v>
      </c>
      <c r="I221" s="261"/>
      <c r="J221" s="127"/>
      <c r="K221" s="1"/>
    </row>
    <row r="222" spans="1:11" s="2" customFormat="1">
      <c r="A222" s="124">
        <v>212</v>
      </c>
      <c r="C222" s="394">
        <v>45138</v>
      </c>
      <c r="D222" s="238">
        <v>7142</v>
      </c>
      <c r="E222" s="161" t="s">
        <v>649</v>
      </c>
      <c r="F222" s="162">
        <v>2983.9</v>
      </c>
      <c r="G222" s="162"/>
      <c r="H222" s="161" t="s">
        <v>609</v>
      </c>
      <c r="I222" s="261"/>
      <c r="J222" s="127"/>
      <c r="K222" s="1"/>
    </row>
    <row r="223" spans="1:11" s="2" customFormat="1">
      <c r="A223" s="124">
        <v>213</v>
      </c>
      <c r="C223" s="394">
        <v>45169</v>
      </c>
      <c r="D223" s="238">
        <v>7224</v>
      </c>
      <c r="E223" s="161" t="s">
        <v>649</v>
      </c>
      <c r="F223" s="162">
        <v>6630.3</v>
      </c>
      <c r="G223" s="162"/>
      <c r="H223" s="161" t="s">
        <v>609</v>
      </c>
      <c r="I223" s="261"/>
      <c r="J223" s="127"/>
      <c r="K223" s="1"/>
    </row>
    <row r="224" spans="1:11" s="2" customFormat="1">
      <c r="A224" s="124">
        <v>214</v>
      </c>
      <c r="C224" s="394">
        <v>45169</v>
      </c>
      <c r="D224" s="238">
        <v>7224</v>
      </c>
      <c r="E224" s="161" t="s">
        <v>649</v>
      </c>
      <c r="F224" s="162">
        <v>2438</v>
      </c>
      <c r="G224" s="162"/>
      <c r="H224" s="161" t="s">
        <v>609</v>
      </c>
      <c r="I224" s="261"/>
      <c r="J224" s="127"/>
      <c r="K224" s="1"/>
    </row>
    <row r="225" spans="1:11" s="2" customFormat="1">
      <c r="A225" s="124">
        <v>215</v>
      </c>
      <c r="C225" s="394">
        <v>45169</v>
      </c>
      <c r="D225" s="238">
        <v>7224</v>
      </c>
      <c r="E225" s="161" t="s">
        <v>649</v>
      </c>
      <c r="F225" s="162">
        <v>2983.9</v>
      </c>
      <c r="G225" s="162"/>
      <c r="H225" s="161" t="s">
        <v>609</v>
      </c>
      <c r="I225" s="261"/>
      <c r="J225" s="127"/>
      <c r="K225" s="1"/>
    </row>
    <row r="226" spans="1:11" s="2" customFormat="1">
      <c r="A226" s="124">
        <v>216</v>
      </c>
      <c r="C226" s="394">
        <v>45169</v>
      </c>
      <c r="D226" s="238">
        <v>7224</v>
      </c>
      <c r="E226" s="161" t="s">
        <v>649</v>
      </c>
      <c r="F226" s="162">
        <v>3074</v>
      </c>
      <c r="G226" s="162"/>
      <c r="H226" s="161" t="s">
        <v>609</v>
      </c>
      <c r="I226" s="261"/>
      <c r="J226" s="127"/>
      <c r="K226" s="1"/>
    </row>
    <row r="227" spans="1:11" s="2" customFormat="1">
      <c r="A227" s="124">
        <v>217</v>
      </c>
      <c r="C227" s="394">
        <v>45199</v>
      </c>
      <c r="D227" s="238">
        <v>7290</v>
      </c>
      <c r="E227" s="161" t="s">
        <v>649</v>
      </c>
      <c r="F227" s="162">
        <v>6895.3</v>
      </c>
      <c r="G227" s="162"/>
      <c r="H227" s="161" t="s">
        <v>609</v>
      </c>
      <c r="I227" s="261"/>
      <c r="J227" s="127"/>
      <c r="K227" s="1"/>
    </row>
    <row r="228" spans="1:11" s="2" customFormat="1">
      <c r="A228" s="124">
        <v>218</v>
      </c>
      <c r="C228" s="394">
        <v>45199</v>
      </c>
      <c r="D228" s="238">
        <v>7290</v>
      </c>
      <c r="E228" s="161" t="s">
        <v>649</v>
      </c>
      <c r="F228" s="162">
        <v>2438</v>
      </c>
      <c r="G228" s="162"/>
      <c r="H228" s="161" t="s">
        <v>609</v>
      </c>
      <c r="I228" s="261"/>
      <c r="J228" s="127"/>
      <c r="K228" s="1"/>
    </row>
    <row r="229" spans="1:11" s="2" customFormat="1">
      <c r="A229" s="124">
        <v>219</v>
      </c>
      <c r="C229" s="394">
        <v>45199</v>
      </c>
      <c r="D229" s="238">
        <v>7290</v>
      </c>
      <c r="E229" s="161" t="s">
        <v>649</v>
      </c>
      <c r="F229" s="162">
        <v>2983.9</v>
      </c>
      <c r="G229" s="162"/>
      <c r="H229" s="161" t="s">
        <v>609</v>
      </c>
      <c r="I229" s="261"/>
      <c r="J229" s="127"/>
      <c r="K229" s="1"/>
    </row>
    <row r="230" spans="1:11" s="2" customFormat="1">
      <c r="A230" s="124">
        <v>220</v>
      </c>
      <c r="C230" s="394">
        <v>45199</v>
      </c>
      <c r="D230" s="238">
        <v>7290</v>
      </c>
      <c r="E230" s="161" t="s">
        <v>649</v>
      </c>
      <c r="F230" s="162">
        <v>3074</v>
      </c>
      <c r="G230" s="162"/>
      <c r="H230" s="161" t="s">
        <v>609</v>
      </c>
      <c r="I230" s="261"/>
      <c r="J230" s="127"/>
      <c r="K230" s="1"/>
    </row>
    <row r="231" spans="1:11" s="2" customFormat="1">
      <c r="A231" s="124">
        <v>221</v>
      </c>
      <c r="C231" s="394">
        <v>45230</v>
      </c>
      <c r="D231" s="238">
        <v>7375</v>
      </c>
      <c r="E231" s="161" t="s">
        <v>649</v>
      </c>
      <c r="F231" s="162">
        <v>7398.8</v>
      </c>
      <c r="G231" s="162"/>
      <c r="H231" s="161" t="s">
        <v>609</v>
      </c>
      <c r="I231" s="261"/>
      <c r="J231" s="127"/>
      <c r="K231" s="1"/>
    </row>
    <row r="232" spans="1:11" s="2" customFormat="1">
      <c r="A232" s="124">
        <v>222</v>
      </c>
      <c r="C232" s="394">
        <v>45230</v>
      </c>
      <c r="D232" s="238">
        <v>7375</v>
      </c>
      <c r="E232" s="161" t="s">
        <v>649</v>
      </c>
      <c r="F232" s="162">
        <v>2438</v>
      </c>
      <c r="G232" s="162"/>
      <c r="H232" s="161" t="s">
        <v>609</v>
      </c>
      <c r="I232" s="261"/>
      <c r="J232" s="127"/>
      <c r="K232" s="1"/>
    </row>
    <row r="233" spans="1:11" s="2" customFormat="1">
      <c r="A233" s="124">
        <v>223</v>
      </c>
      <c r="C233" s="394">
        <v>45230</v>
      </c>
      <c r="D233" s="238">
        <v>7375</v>
      </c>
      <c r="E233" s="161" t="s">
        <v>649</v>
      </c>
      <c r="F233" s="162">
        <v>2983.9</v>
      </c>
      <c r="G233" s="162"/>
      <c r="H233" s="161" t="s">
        <v>609</v>
      </c>
      <c r="I233" s="261"/>
      <c r="J233" s="127"/>
      <c r="K233" s="1"/>
    </row>
    <row r="234" spans="1:11" s="2" customFormat="1">
      <c r="A234" s="124">
        <v>224</v>
      </c>
      <c r="C234" s="394">
        <v>45230</v>
      </c>
      <c r="D234" s="238">
        <v>7375</v>
      </c>
      <c r="E234" s="161" t="s">
        <v>649</v>
      </c>
      <c r="F234" s="162">
        <v>3074</v>
      </c>
      <c r="G234" s="162"/>
      <c r="H234" s="161" t="s">
        <v>609</v>
      </c>
      <c r="I234" s="261"/>
      <c r="J234" s="127"/>
      <c r="K234" s="1"/>
    </row>
    <row r="235" spans="1:11" s="2" customFormat="1">
      <c r="A235" s="124">
        <v>225</v>
      </c>
      <c r="C235" s="394">
        <v>45260</v>
      </c>
      <c r="D235" s="238">
        <v>7449</v>
      </c>
      <c r="E235" s="161" t="s">
        <v>649</v>
      </c>
      <c r="F235" s="162">
        <v>7239.8</v>
      </c>
      <c r="G235" s="162"/>
      <c r="H235" s="161" t="s">
        <v>609</v>
      </c>
      <c r="I235" s="261"/>
      <c r="J235" s="127"/>
      <c r="K235" s="1"/>
    </row>
    <row r="236" spans="1:11" s="2" customFormat="1">
      <c r="A236" s="124">
        <v>226</v>
      </c>
      <c r="C236" s="394">
        <v>45260</v>
      </c>
      <c r="D236" s="238">
        <v>7449</v>
      </c>
      <c r="E236" s="161" t="s">
        <v>649</v>
      </c>
      <c r="F236" s="162">
        <v>2438</v>
      </c>
      <c r="G236" s="162"/>
      <c r="H236" s="161" t="s">
        <v>609</v>
      </c>
      <c r="I236" s="261"/>
      <c r="J236" s="127"/>
      <c r="K236" s="1"/>
    </row>
    <row r="237" spans="1:11" s="2" customFormat="1">
      <c r="A237" s="124">
        <v>227</v>
      </c>
      <c r="C237" s="394">
        <v>45260</v>
      </c>
      <c r="D237" s="238">
        <v>7449</v>
      </c>
      <c r="E237" s="161" t="s">
        <v>649</v>
      </c>
      <c r="F237" s="162">
        <v>2983.9</v>
      </c>
      <c r="G237" s="162"/>
      <c r="H237" s="161" t="s">
        <v>609</v>
      </c>
      <c r="I237" s="261"/>
      <c r="J237" s="127"/>
      <c r="K237" s="1"/>
    </row>
    <row r="238" spans="1:11" s="2" customFormat="1">
      <c r="A238" s="124">
        <v>228</v>
      </c>
      <c r="C238" s="394">
        <v>45260</v>
      </c>
      <c r="D238" s="238">
        <v>7449</v>
      </c>
      <c r="E238" s="161" t="s">
        <v>649</v>
      </c>
      <c r="F238" s="162">
        <v>3074</v>
      </c>
      <c r="G238" s="162"/>
      <c r="H238" s="161" t="s">
        <v>609</v>
      </c>
      <c r="I238" s="261"/>
      <c r="J238" s="127"/>
      <c r="K238" s="1"/>
    </row>
    <row r="239" spans="1:11" s="2" customFormat="1">
      <c r="A239" s="124">
        <v>229</v>
      </c>
      <c r="C239" s="394">
        <v>45291</v>
      </c>
      <c r="D239" s="238">
        <v>7516</v>
      </c>
      <c r="E239" s="161" t="s">
        <v>649</v>
      </c>
      <c r="F239" s="162">
        <v>7584.3</v>
      </c>
      <c r="G239" s="162"/>
      <c r="H239" s="161" t="s">
        <v>609</v>
      </c>
      <c r="I239" s="261"/>
      <c r="J239" s="127"/>
      <c r="K239" s="1"/>
    </row>
    <row r="240" spans="1:11" s="2" customFormat="1">
      <c r="A240" s="124">
        <v>230</v>
      </c>
      <c r="C240" s="394">
        <v>45291</v>
      </c>
      <c r="D240" s="238">
        <v>7516</v>
      </c>
      <c r="E240" s="161" t="s">
        <v>649</v>
      </c>
      <c r="F240" s="162">
        <v>2438</v>
      </c>
      <c r="G240" s="162"/>
      <c r="H240" s="161" t="s">
        <v>609</v>
      </c>
      <c r="I240" s="261"/>
      <c r="J240" s="127"/>
      <c r="K240" s="1"/>
    </row>
    <row r="241" spans="1:11" s="2" customFormat="1">
      <c r="A241" s="124">
        <v>231</v>
      </c>
      <c r="C241" s="394">
        <v>45291</v>
      </c>
      <c r="D241" s="238">
        <v>7516</v>
      </c>
      <c r="E241" s="161" t="s">
        <v>649</v>
      </c>
      <c r="F241" s="162">
        <v>2983.9</v>
      </c>
      <c r="G241" s="162"/>
      <c r="H241" s="161" t="s">
        <v>609</v>
      </c>
      <c r="I241" s="261"/>
      <c r="J241" s="127"/>
      <c r="K241" s="1"/>
    </row>
    <row r="242" spans="1:11" s="2" customFormat="1">
      <c r="A242" s="124">
        <v>232</v>
      </c>
      <c r="C242" s="394">
        <v>45291</v>
      </c>
      <c r="D242" s="238">
        <v>7516</v>
      </c>
      <c r="E242" s="161" t="s">
        <v>649</v>
      </c>
      <c r="F242" s="162">
        <v>3074</v>
      </c>
      <c r="G242" s="162"/>
      <c r="H242" s="161" t="s">
        <v>609</v>
      </c>
      <c r="I242" s="261"/>
      <c r="J242" s="127"/>
      <c r="K242" s="1"/>
    </row>
    <row r="243" spans="1:11" s="2" customFormat="1">
      <c r="A243" s="124">
        <v>233</v>
      </c>
      <c r="C243" s="394">
        <v>45322</v>
      </c>
      <c r="D243" s="238">
        <v>7618</v>
      </c>
      <c r="E243" s="161" t="s">
        <v>649</v>
      </c>
      <c r="F243" s="162">
        <v>7080.8</v>
      </c>
      <c r="G243" s="162"/>
      <c r="H243" s="161" t="s">
        <v>609</v>
      </c>
      <c r="I243" s="261"/>
      <c r="J243" s="127"/>
      <c r="K243" s="1"/>
    </row>
    <row r="244" spans="1:11" s="2" customFormat="1">
      <c r="A244" s="124">
        <v>234</v>
      </c>
      <c r="C244" s="394">
        <v>45322</v>
      </c>
      <c r="D244" s="238">
        <v>7618</v>
      </c>
      <c r="E244" s="161" t="s">
        <v>649</v>
      </c>
      <c r="F244" s="162">
        <v>2438</v>
      </c>
      <c r="G244" s="162"/>
      <c r="H244" s="161" t="s">
        <v>609</v>
      </c>
      <c r="I244" s="261"/>
      <c r="J244" s="127"/>
      <c r="K244" s="1"/>
    </row>
    <row r="245" spans="1:11" s="2" customFormat="1">
      <c r="A245" s="124">
        <v>235</v>
      </c>
      <c r="C245" s="394">
        <v>45322</v>
      </c>
      <c r="D245" s="238">
        <v>7618</v>
      </c>
      <c r="E245" s="161" t="s">
        <v>649</v>
      </c>
      <c r="F245" s="162">
        <v>2983.9</v>
      </c>
      <c r="G245" s="162"/>
      <c r="H245" s="161" t="s">
        <v>609</v>
      </c>
      <c r="I245" s="261"/>
      <c r="J245" s="127"/>
      <c r="K245" s="1"/>
    </row>
    <row r="246" spans="1:11" s="2" customFormat="1">
      <c r="A246" s="124">
        <v>236</v>
      </c>
      <c r="C246" s="394">
        <v>45322</v>
      </c>
      <c r="D246" s="238">
        <v>7618</v>
      </c>
      <c r="E246" s="161" t="s">
        <v>649</v>
      </c>
      <c r="F246" s="162">
        <v>3074</v>
      </c>
      <c r="G246" s="162"/>
      <c r="H246" s="161" t="s">
        <v>609</v>
      </c>
      <c r="I246" s="261"/>
      <c r="J246" s="127"/>
      <c r="K246" s="1"/>
    </row>
    <row r="247" spans="1:11" s="2" customFormat="1">
      <c r="A247" s="124">
        <v>237</v>
      </c>
      <c r="C247" s="394">
        <v>45351</v>
      </c>
      <c r="D247" s="238">
        <v>7682</v>
      </c>
      <c r="E247" s="161" t="s">
        <v>649</v>
      </c>
      <c r="F247" s="162">
        <v>7027.8</v>
      </c>
      <c r="G247" s="162"/>
      <c r="H247" s="161" t="s">
        <v>609</v>
      </c>
      <c r="I247" s="261"/>
      <c r="J247" s="127"/>
      <c r="K247" s="1"/>
    </row>
    <row r="248" spans="1:11" s="2" customFormat="1">
      <c r="A248" s="124">
        <v>238</v>
      </c>
      <c r="C248" s="394">
        <v>45351</v>
      </c>
      <c r="D248" s="238">
        <v>7682</v>
      </c>
      <c r="E248" s="161" t="s">
        <v>649</v>
      </c>
      <c r="F248" s="162">
        <v>2438</v>
      </c>
      <c r="G248" s="162"/>
      <c r="H248" s="161" t="s">
        <v>609</v>
      </c>
      <c r="I248" s="261"/>
      <c r="J248" s="127"/>
      <c r="K248" s="1"/>
    </row>
    <row r="249" spans="1:11" s="2" customFormat="1">
      <c r="A249" s="124">
        <v>239</v>
      </c>
      <c r="C249" s="394">
        <v>45351</v>
      </c>
      <c r="D249" s="238">
        <v>7682</v>
      </c>
      <c r="E249" s="161" t="s">
        <v>649</v>
      </c>
      <c r="F249" s="162">
        <v>2983.9</v>
      </c>
      <c r="G249" s="162"/>
      <c r="H249" s="161" t="s">
        <v>609</v>
      </c>
      <c r="I249" s="261"/>
      <c r="J249" s="127"/>
      <c r="K249" s="1"/>
    </row>
    <row r="250" spans="1:11" s="2" customFormat="1">
      <c r="A250" s="124">
        <v>240</v>
      </c>
      <c r="C250" s="394">
        <v>45351</v>
      </c>
      <c r="D250" s="238">
        <v>7682</v>
      </c>
      <c r="E250" s="161" t="s">
        <v>649</v>
      </c>
      <c r="F250" s="162">
        <v>3074</v>
      </c>
      <c r="G250" s="162"/>
      <c r="H250" s="161" t="s">
        <v>609</v>
      </c>
      <c r="I250" s="261"/>
      <c r="J250" s="127"/>
      <c r="K250" s="1"/>
    </row>
    <row r="251" spans="1:11" s="2" customFormat="1">
      <c r="A251" s="124">
        <v>241</v>
      </c>
      <c r="C251" s="394">
        <v>45382</v>
      </c>
      <c r="D251" s="238">
        <v>7744</v>
      </c>
      <c r="E251" s="161" t="s">
        <v>649</v>
      </c>
      <c r="F251" s="162">
        <v>7398.8</v>
      </c>
      <c r="G251" s="162"/>
      <c r="H251" s="161" t="s">
        <v>609</v>
      </c>
      <c r="I251" s="261"/>
      <c r="J251" s="127"/>
      <c r="K251" s="1"/>
    </row>
    <row r="252" spans="1:11" s="2" customFormat="1">
      <c r="A252" s="124">
        <v>242</v>
      </c>
      <c r="C252" s="394">
        <v>45382</v>
      </c>
      <c r="D252" s="238">
        <v>7744</v>
      </c>
      <c r="E252" s="161" t="s">
        <v>649</v>
      </c>
      <c r="F252" s="162">
        <v>2438</v>
      </c>
      <c r="G252" s="162"/>
      <c r="H252" s="161" t="s">
        <v>609</v>
      </c>
      <c r="I252" s="261"/>
      <c r="J252" s="127"/>
      <c r="K252" s="1"/>
    </row>
    <row r="253" spans="1:11" s="2" customFormat="1">
      <c r="A253" s="124">
        <v>243</v>
      </c>
      <c r="C253" s="394">
        <v>45382</v>
      </c>
      <c r="D253" s="238">
        <v>7744</v>
      </c>
      <c r="E253" s="161" t="s">
        <v>649</v>
      </c>
      <c r="F253" s="162">
        <v>2983.9</v>
      </c>
      <c r="G253" s="162"/>
      <c r="H253" s="161" t="s">
        <v>609</v>
      </c>
      <c r="I253" s="261"/>
      <c r="J253" s="127"/>
      <c r="K253" s="1"/>
    </row>
    <row r="254" spans="1:11" s="2" customFormat="1">
      <c r="A254" s="124">
        <v>244</v>
      </c>
      <c r="C254" s="394">
        <v>45382</v>
      </c>
      <c r="D254" s="238">
        <v>7744</v>
      </c>
      <c r="E254" s="161" t="s">
        <v>649</v>
      </c>
      <c r="F254" s="162">
        <v>3074</v>
      </c>
      <c r="G254" s="162"/>
      <c r="H254" s="161" t="s">
        <v>609</v>
      </c>
      <c r="I254" s="261"/>
      <c r="J254" s="127"/>
      <c r="K254" s="1"/>
    </row>
    <row r="255" spans="1:11" s="2" customFormat="1">
      <c r="A255" s="124">
        <v>245</v>
      </c>
      <c r="C255" s="394">
        <v>45412</v>
      </c>
      <c r="D255" s="238">
        <v>7828</v>
      </c>
      <c r="E255" s="161" t="s">
        <v>649</v>
      </c>
      <c r="F255" s="162">
        <v>7160.3</v>
      </c>
      <c r="G255" s="162"/>
      <c r="H255" s="161" t="s">
        <v>609</v>
      </c>
      <c r="I255" s="261"/>
      <c r="J255" s="127"/>
      <c r="K255" s="1"/>
    </row>
    <row r="256" spans="1:11" s="2" customFormat="1">
      <c r="A256" s="124">
        <v>246</v>
      </c>
      <c r="C256" s="394">
        <v>45412</v>
      </c>
      <c r="D256" s="238">
        <v>7828</v>
      </c>
      <c r="E256" s="161" t="s">
        <v>649</v>
      </c>
      <c r="F256" s="162">
        <v>2438</v>
      </c>
      <c r="G256" s="162"/>
      <c r="H256" s="161" t="s">
        <v>609</v>
      </c>
      <c r="I256" s="261"/>
      <c r="J256" s="127"/>
      <c r="K256" s="1"/>
    </row>
    <row r="257" spans="1:11" s="2" customFormat="1">
      <c r="A257" s="124">
        <v>247</v>
      </c>
      <c r="C257" s="394">
        <v>45412</v>
      </c>
      <c r="D257" s="238">
        <v>7828</v>
      </c>
      <c r="E257" s="161" t="s">
        <v>649</v>
      </c>
      <c r="F257" s="162">
        <v>2983.9</v>
      </c>
      <c r="G257" s="162"/>
      <c r="H257" s="161" t="s">
        <v>609</v>
      </c>
      <c r="I257" s="261"/>
      <c r="J257" s="127"/>
      <c r="K257" s="1"/>
    </row>
    <row r="258" spans="1:11" s="2" customFormat="1">
      <c r="A258" s="124">
        <v>248</v>
      </c>
      <c r="C258" s="394">
        <v>45412</v>
      </c>
      <c r="D258" s="238">
        <v>7828</v>
      </c>
      <c r="E258" s="161" t="s">
        <v>649</v>
      </c>
      <c r="F258" s="162">
        <v>3074</v>
      </c>
      <c r="G258" s="162"/>
      <c r="H258" s="161" t="s">
        <v>609</v>
      </c>
      <c r="I258" s="261"/>
      <c r="J258" s="127"/>
      <c r="K258" s="1"/>
    </row>
    <row r="259" spans="1:11" s="2" customFormat="1">
      <c r="A259" s="124">
        <v>249</v>
      </c>
      <c r="C259" s="394">
        <v>45443</v>
      </c>
      <c r="D259" s="238">
        <v>7890</v>
      </c>
      <c r="E259" s="161" t="s">
        <v>649</v>
      </c>
      <c r="F259" s="162">
        <v>6709.8</v>
      </c>
      <c r="G259" s="162"/>
      <c r="H259" s="161" t="s">
        <v>609</v>
      </c>
      <c r="I259" s="261"/>
      <c r="J259" s="127"/>
      <c r="K259" s="1"/>
    </row>
    <row r="260" spans="1:11" s="2" customFormat="1">
      <c r="A260" s="124">
        <v>250</v>
      </c>
      <c r="C260" s="394">
        <v>45443</v>
      </c>
      <c r="D260" s="238">
        <v>7890</v>
      </c>
      <c r="E260" s="161" t="s">
        <v>649</v>
      </c>
      <c r="F260" s="162">
        <v>2438</v>
      </c>
      <c r="G260" s="162"/>
      <c r="H260" s="161" t="s">
        <v>609</v>
      </c>
      <c r="I260" s="261"/>
      <c r="J260" s="127"/>
      <c r="K260" s="1"/>
    </row>
    <row r="261" spans="1:11" s="2" customFormat="1">
      <c r="A261" s="124">
        <v>251</v>
      </c>
      <c r="C261" s="394">
        <v>45443</v>
      </c>
      <c r="D261" s="238">
        <v>7890</v>
      </c>
      <c r="E261" s="161" t="s">
        <v>649</v>
      </c>
      <c r="F261" s="162">
        <v>2983.9</v>
      </c>
      <c r="G261" s="162"/>
      <c r="H261" s="161" t="s">
        <v>609</v>
      </c>
      <c r="I261" s="261"/>
      <c r="J261" s="127"/>
      <c r="K261" s="1"/>
    </row>
    <row r="262" spans="1:11" s="2" customFormat="1">
      <c r="A262" s="124">
        <v>252</v>
      </c>
      <c r="C262" s="394">
        <v>45443</v>
      </c>
      <c r="D262" s="238">
        <v>7890</v>
      </c>
      <c r="E262" s="161" t="s">
        <v>649</v>
      </c>
      <c r="F262" s="162">
        <v>3074</v>
      </c>
      <c r="G262" s="162"/>
      <c r="H262" s="161" t="s">
        <v>609</v>
      </c>
      <c r="I262" s="261"/>
      <c r="J262" s="127"/>
      <c r="K262" s="1"/>
    </row>
    <row r="263" spans="1:11" s="2" customFormat="1">
      <c r="A263" s="124">
        <v>253</v>
      </c>
      <c r="C263" s="394">
        <v>45118</v>
      </c>
      <c r="D263" s="238">
        <v>206040</v>
      </c>
      <c r="E263" s="161" t="s">
        <v>650</v>
      </c>
      <c r="F263" s="162">
        <v>317.26</v>
      </c>
      <c r="G263" s="162"/>
      <c r="H263" s="161" t="s">
        <v>636</v>
      </c>
      <c r="I263" s="261"/>
      <c r="J263" s="127"/>
      <c r="K263" s="1"/>
    </row>
    <row r="264" spans="1:11" s="2" customFormat="1">
      <c r="A264" s="124">
        <v>254</v>
      </c>
      <c r="C264" s="394">
        <v>45212</v>
      </c>
      <c r="D264" s="238">
        <v>206876</v>
      </c>
      <c r="E264" s="161" t="s">
        <v>650</v>
      </c>
      <c r="F264" s="162">
        <v>131.28</v>
      </c>
      <c r="G264" s="162"/>
      <c r="H264" s="161" t="s">
        <v>636</v>
      </c>
      <c r="I264" s="261"/>
      <c r="J264" s="127"/>
      <c r="K264" s="1"/>
    </row>
    <row r="265" spans="1:11" s="2" customFormat="1">
      <c r="A265" s="124">
        <v>255</v>
      </c>
      <c r="C265" s="394">
        <v>45305</v>
      </c>
      <c r="D265" s="238">
        <v>207935</v>
      </c>
      <c r="E265" s="161" t="s">
        <v>650</v>
      </c>
      <c r="F265" s="162">
        <v>120.34</v>
      </c>
      <c r="G265" s="162"/>
      <c r="H265" s="161" t="s">
        <v>636</v>
      </c>
      <c r="I265" s="261"/>
      <c r="J265" s="127"/>
      <c r="K265" s="1"/>
    </row>
    <row r="266" spans="1:11" s="2" customFormat="1">
      <c r="A266" s="124">
        <v>256</v>
      </c>
      <c r="C266" s="394">
        <v>45384</v>
      </c>
      <c r="D266" s="238">
        <v>208768</v>
      </c>
      <c r="E266" s="161" t="s">
        <v>650</v>
      </c>
      <c r="F266" s="162">
        <v>65.64</v>
      </c>
      <c r="G266" s="162"/>
      <c r="H266" s="161" t="s">
        <v>636</v>
      </c>
      <c r="I266" s="261"/>
      <c r="J266" s="127"/>
      <c r="K266" s="1"/>
    </row>
    <row r="267" spans="1:11" s="2" customFormat="1">
      <c r="A267" s="124">
        <v>257</v>
      </c>
      <c r="C267" s="394">
        <v>45272</v>
      </c>
      <c r="D267" s="238">
        <v>7527</v>
      </c>
      <c r="E267" s="161" t="s">
        <v>651</v>
      </c>
      <c r="F267" s="162">
        <v>78040.45</v>
      </c>
      <c r="G267" s="162"/>
      <c r="H267" s="161" t="s">
        <v>286</v>
      </c>
      <c r="I267" s="302">
        <f>F267</f>
        <v>78040.45</v>
      </c>
      <c r="J267" s="175"/>
      <c r="K267" s="1" t="s">
        <v>123</v>
      </c>
    </row>
    <row r="268" spans="1:11" s="2" customFormat="1">
      <c r="A268" s="124">
        <v>258</v>
      </c>
      <c r="C268" s="394">
        <v>45272</v>
      </c>
      <c r="D268" s="238">
        <v>7702</v>
      </c>
      <c r="E268" s="161" t="s">
        <v>651</v>
      </c>
      <c r="F268" s="162">
        <v>78040.45</v>
      </c>
      <c r="G268" s="162"/>
      <c r="H268" s="161" t="s">
        <v>286</v>
      </c>
      <c r="I268" s="302">
        <f t="shared" ref="I268:I270" si="6">F268</f>
        <v>78040.45</v>
      </c>
      <c r="J268" s="175"/>
      <c r="K268" s="1" t="s">
        <v>123</v>
      </c>
    </row>
    <row r="269" spans="1:11" s="2" customFormat="1">
      <c r="A269" s="124">
        <v>259</v>
      </c>
      <c r="C269" s="394">
        <v>45316</v>
      </c>
      <c r="D269" s="238">
        <v>7639</v>
      </c>
      <c r="E269" s="161" t="s">
        <v>651</v>
      </c>
      <c r="F269" s="162">
        <v>2906.68</v>
      </c>
      <c r="G269" s="162"/>
      <c r="H269" s="161" t="s">
        <v>286</v>
      </c>
      <c r="I269" s="302">
        <f t="shared" si="6"/>
        <v>2906.68</v>
      </c>
      <c r="J269" s="175"/>
      <c r="K269" s="1" t="s">
        <v>123</v>
      </c>
    </row>
    <row r="270" spans="1:11" s="2" customFormat="1">
      <c r="A270" s="124">
        <v>260</v>
      </c>
      <c r="C270" s="394">
        <v>45316</v>
      </c>
      <c r="D270" s="2">
        <v>7787</v>
      </c>
      <c r="E270" s="161" t="s">
        <v>651</v>
      </c>
      <c r="F270" s="162">
        <v>2906.68</v>
      </c>
      <c r="G270" s="162"/>
      <c r="H270" s="161" t="s">
        <v>286</v>
      </c>
      <c r="I270" s="302">
        <f t="shared" si="6"/>
        <v>2906.68</v>
      </c>
      <c r="J270" s="175"/>
      <c r="K270" s="1" t="s">
        <v>123</v>
      </c>
    </row>
    <row r="271" spans="1:11" s="2" customFormat="1">
      <c r="A271" s="124">
        <v>261</v>
      </c>
      <c r="C271" s="394">
        <v>45200</v>
      </c>
      <c r="D271" s="238">
        <v>206886</v>
      </c>
      <c r="E271" s="161" t="s">
        <v>652</v>
      </c>
      <c r="F271" s="162">
        <v>4750</v>
      </c>
      <c r="G271" s="162"/>
      <c r="H271" s="161" t="s">
        <v>653</v>
      </c>
      <c r="I271" s="261"/>
      <c r="J271" s="127"/>
      <c r="K271" s="1"/>
    </row>
    <row r="272" spans="1:11" s="2" customFormat="1">
      <c r="A272" s="124">
        <v>262</v>
      </c>
      <c r="C272" s="394">
        <v>45280</v>
      </c>
      <c r="D272" s="238">
        <v>207537</v>
      </c>
      <c r="E272" s="161" t="s">
        <v>652</v>
      </c>
      <c r="F272" s="162">
        <v>4750</v>
      </c>
      <c r="G272" s="162"/>
      <c r="H272" s="161" t="s">
        <v>653</v>
      </c>
      <c r="I272" s="261"/>
      <c r="J272" s="127"/>
      <c r="K272" s="1"/>
    </row>
    <row r="273" spans="1:11" s="2" customFormat="1">
      <c r="A273" s="124">
        <v>263</v>
      </c>
      <c r="C273" s="394">
        <v>45079</v>
      </c>
      <c r="D273" s="238">
        <v>7075</v>
      </c>
      <c r="E273" s="161" t="s">
        <v>654</v>
      </c>
      <c r="F273" s="162">
        <v>917.2</v>
      </c>
      <c r="G273" s="162"/>
      <c r="H273" s="161" t="s">
        <v>655</v>
      </c>
      <c r="I273" s="261"/>
      <c r="J273" s="127"/>
      <c r="K273" s="1"/>
    </row>
    <row r="274" spans="1:11" s="2" customFormat="1">
      <c r="A274" s="124">
        <v>264</v>
      </c>
      <c r="C274" s="394">
        <v>45079</v>
      </c>
      <c r="D274" s="238">
        <v>7075</v>
      </c>
      <c r="E274" s="161" t="s">
        <v>654</v>
      </c>
      <c r="F274" s="162">
        <v>914.6</v>
      </c>
      <c r="G274" s="162"/>
      <c r="H274" s="161" t="s">
        <v>655</v>
      </c>
      <c r="I274" s="261"/>
      <c r="J274" s="127"/>
      <c r="K274" s="1"/>
    </row>
    <row r="275" spans="1:11" s="2" customFormat="1">
      <c r="A275" s="124">
        <v>265</v>
      </c>
      <c r="C275" s="394">
        <v>45086</v>
      </c>
      <c r="D275" s="238">
        <v>7075</v>
      </c>
      <c r="E275" s="161" t="s">
        <v>654</v>
      </c>
      <c r="F275" s="162">
        <v>734.16</v>
      </c>
      <c r="G275" s="162"/>
      <c r="H275" s="161" t="s">
        <v>655</v>
      </c>
      <c r="I275" s="261"/>
      <c r="J275" s="127"/>
      <c r="K275" s="1"/>
    </row>
    <row r="276" spans="1:11" s="2" customFormat="1">
      <c r="A276" s="124">
        <v>266</v>
      </c>
      <c r="C276" s="394">
        <v>45086</v>
      </c>
      <c r="D276" s="238">
        <v>7075</v>
      </c>
      <c r="E276" s="161" t="s">
        <v>654</v>
      </c>
      <c r="F276" s="162">
        <v>704</v>
      </c>
      <c r="G276" s="162"/>
      <c r="H276" s="161" t="s">
        <v>655</v>
      </c>
      <c r="I276" s="261"/>
      <c r="J276" s="127"/>
      <c r="K276" s="1"/>
    </row>
    <row r="277" spans="1:11" s="2" customFormat="1">
      <c r="A277" s="124">
        <v>267</v>
      </c>
      <c r="C277" s="394">
        <v>45093</v>
      </c>
      <c r="D277" s="238">
        <v>7075</v>
      </c>
      <c r="E277" s="161" t="s">
        <v>654</v>
      </c>
      <c r="F277" s="162">
        <v>917.2</v>
      </c>
      <c r="G277" s="162"/>
      <c r="H277" s="161" t="s">
        <v>655</v>
      </c>
      <c r="I277" s="261"/>
      <c r="J277" s="127"/>
      <c r="K277" s="1"/>
    </row>
    <row r="278" spans="1:11" s="2" customFormat="1">
      <c r="A278" s="124">
        <v>268</v>
      </c>
      <c r="C278" s="394">
        <v>45093</v>
      </c>
      <c r="D278" s="238">
        <v>7075</v>
      </c>
      <c r="E278" s="161" t="s">
        <v>654</v>
      </c>
      <c r="F278" s="162">
        <v>938</v>
      </c>
      <c r="G278" s="162"/>
      <c r="H278" s="161" t="s">
        <v>655</v>
      </c>
      <c r="I278" s="261"/>
      <c r="J278" s="127"/>
      <c r="K278" s="1"/>
    </row>
    <row r="279" spans="1:11" s="2" customFormat="1">
      <c r="A279" s="124">
        <v>269</v>
      </c>
      <c r="C279" s="394">
        <v>45100</v>
      </c>
      <c r="D279" s="238">
        <v>7075</v>
      </c>
      <c r="E279" s="161" t="s">
        <v>654</v>
      </c>
      <c r="F279" s="162">
        <v>934.36</v>
      </c>
      <c r="G279" s="162"/>
      <c r="H279" s="161" t="s">
        <v>655</v>
      </c>
      <c r="I279" s="261"/>
      <c r="J279" s="127"/>
      <c r="K279" s="1"/>
    </row>
    <row r="280" spans="1:11" s="2" customFormat="1">
      <c r="A280" s="124">
        <v>270</v>
      </c>
      <c r="C280" s="394">
        <v>45100</v>
      </c>
      <c r="D280" s="238">
        <v>7075</v>
      </c>
      <c r="E280" s="161" t="s">
        <v>654</v>
      </c>
      <c r="F280" s="162">
        <v>834</v>
      </c>
      <c r="G280" s="162"/>
      <c r="H280" s="161" t="s">
        <v>655</v>
      </c>
      <c r="I280" s="261"/>
      <c r="J280" s="127"/>
      <c r="K280" s="1"/>
    </row>
    <row r="281" spans="1:11" s="2" customFormat="1">
      <c r="A281" s="124">
        <v>271</v>
      </c>
      <c r="C281" s="394">
        <v>45107</v>
      </c>
      <c r="D281" s="238">
        <v>7143</v>
      </c>
      <c r="E281" s="161" t="s">
        <v>654</v>
      </c>
      <c r="F281" s="162">
        <v>928.87</v>
      </c>
      <c r="G281" s="162"/>
      <c r="H281" s="161" t="s">
        <v>655</v>
      </c>
      <c r="I281" s="261"/>
      <c r="J281" s="127"/>
      <c r="K281" s="1"/>
    </row>
    <row r="282" spans="1:11" s="2" customFormat="1">
      <c r="A282" s="124">
        <v>272</v>
      </c>
      <c r="C282" s="394">
        <v>45107</v>
      </c>
      <c r="D282" s="238">
        <v>7143</v>
      </c>
      <c r="E282" s="161" t="s">
        <v>654</v>
      </c>
      <c r="F282" s="162">
        <v>368.08</v>
      </c>
      <c r="G282" s="162"/>
      <c r="H282" s="161" t="s">
        <v>655</v>
      </c>
      <c r="I282" s="261"/>
      <c r="J282" s="127"/>
      <c r="K282" s="1"/>
    </row>
    <row r="283" spans="1:11" s="2" customFormat="1">
      <c r="A283" s="124">
        <v>273</v>
      </c>
      <c r="C283" s="394">
        <v>45114</v>
      </c>
      <c r="D283" s="238">
        <v>7143</v>
      </c>
      <c r="E283" s="161" t="s">
        <v>654</v>
      </c>
      <c r="F283" s="162">
        <v>917.2</v>
      </c>
      <c r="G283" s="162"/>
      <c r="H283" s="161" t="s">
        <v>655</v>
      </c>
      <c r="I283" s="261"/>
      <c r="J283" s="127"/>
      <c r="K283" s="1"/>
    </row>
    <row r="284" spans="1:11" s="2" customFormat="1">
      <c r="A284" s="124">
        <v>274</v>
      </c>
      <c r="C284" s="394">
        <v>45114</v>
      </c>
      <c r="D284" s="238">
        <v>7143</v>
      </c>
      <c r="E284" s="161" t="s">
        <v>654</v>
      </c>
      <c r="F284" s="162">
        <v>734.16</v>
      </c>
      <c r="G284" s="162"/>
      <c r="H284" s="161" t="s">
        <v>655</v>
      </c>
      <c r="I284" s="261"/>
      <c r="J284" s="127"/>
      <c r="K284" s="1"/>
    </row>
    <row r="285" spans="1:11" s="2" customFormat="1">
      <c r="A285" s="124">
        <v>275</v>
      </c>
      <c r="C285" s="394">
        <v>45121</v>
      </c>
      <c r="D285" s="238">
        <v>7143</v>
      </c>
      <c r="E285" s="161" t="s">
        <v>654</v>
      </c>
      <c r="F285" s="162">
        <v>734.16</v>
      </c>
      <c r="G285" s="162"/>
      <c r="H285" s="161" t="s">
        <v>655</v>
      </c>
      <c r="I285" s="261"/>
      <c r="J285" s="127"/>
      <c r="K285" s="1"/>
    </row>
    <row r="286" spans="1:11" s="2" customFormat="1">
      <c r="A286" s="124">
        <v>276</v>
      </c>
      <c r="C286" s="394">
        <v>45121</v>
      </c>
      <c r="D286" s="238">
        <v>7143</v>
      </c>
      <c r="E286" s="161" t="s">
        <v>654</v>
      </c>
      <c r="F286" s="162">
        <v>734.16</v>
      </c>
      <c r="G286" s="162"/>
      <c r="H286" s="161" t="s">
        <v>655</v>
      </c>
      <c r="I286" s="261"/>
      <c r="J286" s="127"/>
      <c r="K286" s="1"/>
    </row>
    <row r="287" spans="1:11" s="2" customFormat="1">
      <c r="A287" s="124">
        <v>277</v>
      </c>
      <c r="C287" s="394">
        <v>45128</v>
      </c>
      <c r="D287" s="238">
        <v>7143</v>
      </c>
      <c r="E287" s="161" t="s">
        <v>654</v>
      </c>
      <c r="F287" s="162">
        <v>934.36</v>
      </c>
      <c r="G287" s="162"/>
      <c r="H287" s="161" t="s">
        <v>655</v>
      </c>
      <c r="I287" s="261"/>
      <c r="J287" s="127"/>
      <c r="K287" s="1"/>
    </row>
    <row r="288" spans="1:11" s="2" customFormat="1">
      <c r="A288" s="124">
        <v>278</v>
      </c>
      <c r="C288" s="394">
        <v>45128</v>
      </c>
      <c r="D288" s="238">
        <v>7143</v>
      </c>
      <c r="E288" s="161" t="s">
        <v>654</v>
      </c>
      <c r="F288" s="162">
        <v>917.2</v>
      </c>
      <c r="G288" s="162"/>
      <c r="H288" s="161" t="s">
        <v>655</v>
      </c>
      <c r="I288" s="261"/>
      <c r="J288" s="127"/>
      <c r="K288" s="1"/>
    </row>
    <row r="289" spans="1:11" s="2" customFormat="1">
      <c r="A289" s="124">
        <v>279</v>
      </c>
      <c r="C289" s="394">
        <v>45135</v>
      </c>
      <c r="D289" s="238">
        <v>7143</v>
      </c>
      <c r="E289" s="161" t="s">
        <v>654</v>
      </c>
      <c r="F289" s="162">
        <v>551.12</v>
      </c>
      <c r="G289" s="162"/>
      <c r="H289" s="161" t="s">
        <v>655</v>
      </c>
      <c r="I289" s="261"/>
      <c r="J289" s="127"/>
      <c r="K289" s="1"/>
    </row>
    <row r="290" spans="1:11" s="2" customFormat="1">
      <c r="A290" s="124">
        <v>280</v>
      </c>
      <c r="C290" s="394">
        <v>45135</v>
      </c>
      <c r="D290" s="238">
        <v>7143</v>
      </c>
      <c r="E290" s="161" t="s">
        <v>654</v>
      </c>
      <c r="F290" s="162">
        <v>734.16</v>
      </c>
      <c r="G290" s="162"/>
      <c r="H290" s="161" t="s">
        <v>655</v>
      </c>
      <c r="I290" s="261"/>
      <c r="J290" s="127"/>
      <c r="K290" s="1"/>
    </row>
    <row r="291" spans="1:11" s="2" customFormat="1">
      <c r="A291" s="124">
        <v>281</v>
      </c>
      <c r="C291" s="394">
        <v>45142</v>
      </c>
      <c r="D291" s="238">
        <v>7205</v>
      </c>
      <c r="E291" s="161" t="s">
        <v>654</v>
      </c>
      <c r="F291" s="162">
        <v>917.2</v>
      </c>
      <c r="G291" s="162"/>
      <c r="H291" s="161" t="s">
        <v>655</v>
      </c>
      <c r="I291" s="261"/>
      <c r="J291" s="127"/>
      <c r="K291" s="1"/>
    </row>
    <row r="292" spans="1:11" s="2" customFormat="1">
      <c r="A292" s="124">
        <v>282</v>
      </c>
      <c r="C292" s="394">
        <v>45149</v>
      </c>
      <c r="D292" s="238">
        <v>7205</v>
      </c>
      <c r="E292" s="161" t="s">
        <v>654</v>
      </c>
      <c r="F292" s="162">
        <v>734.16</v>
      </c>
      <c r="G292" s="162"/>
      <c r="H292" s="161" t="s">
        <v>655</v>
      </c>
      <c r="I292" s="261"/>
      <c r="J292" s="127"/>
      <c r="K292" s="1"/>
    </row>
    <row r="293" spans="1:11" s="2" customFormat="1">
      <c r="A293" s="124">
        <v>283</v>
      </c>
      <c r="C293" s="394">
        <v>45156</v>
      </c>
      <c r="D293" s="238">
        <v>7205</v>
      </c>
      <c r="E293" s="161" t="s">
        <v>654</v>
      </c>
      <c r="F293" s="162">
        <v>734.16</v>
      </c>
      <c r="G293" s="162"/>
      <c r="H293" s="161" t="s">
        <v>655</v>
      </c>
      <c r="I293" s="261"/>
      <c r="J293" s="127"/>
      <c r="K293" s="1"/>
    </row>
    <row r="294" spans="1:11" s="2" customFormat="1">
      <c r="A294" s="124">
        <v>284</v>
      </c>
      <c r="C294" s="394">
        <v>45163</v>
      </c>
      <c r="D294" s="238">
        <v>7205</v>
      </c>
      <c r="E294" s="161" t="s">
        <v>654</v>
      </c>
      <c r="F294" s="162">
        <v>368.08</v>
      </c>
      <c r="G294" s="162"/>
      <c r="H294" s="161" t="s">
        <v>655</v>
      </c>
      <c r="I294" s="261"/>
      <c r="J294" s="127"/>
      <c r="K294" s="1"/>
    </row>
    <row r="295" spans="1:11" s="2" customFormat="1">
      <c r="A295" s="124">
        <v>285</v>
      </c>
      <c r="C295" s="394">
        <v>45170</v>
      </c>
      <c r="D295" s="238">
        <v>7293</v>
      </c>
      <c r="E295" s="161" t="s">
        <v>654</v>
      </c>
      <c r="F295" s="162">
        <v>551.12</v>
      </c>
      <c r="G295" s="162"/>
      <c r="H295" s="161" t="s">
        <v>655</v>
      </c>
      <c r="I295" s="261"/>
      <c r="J295" s="127"/>
      <c r="K295" s="1"/>
    </row>
    <row r="296" spans="1:11" s="2" customFormat="1">
      <c r="A296" s="124">
        <v>286</v>
      </c>
      <c r="C296" s="394">
        <v>45177</v>
      </c>
      <c r="D296" s="238">
        <v>7293</v>
      </c>
      <c r="E296" s="161" t="s">
        <v>654</v>
      </c>
      <c r="F296" s="162">
        <v>505.36</v>
      </c>
      <c r="G296" s="162"/>
      <c r="H296" s="161" t="s">
        <v>655</v>
      </c>
      <c r="I296" s="261"/>
      <c r="J296" s="127"/>
      <c r="K296" s="1"/>
    </row>
    <row r="297" spans="1:11" s="2" customFormat="1">
      <c r="A297" s="124">
        <v>287</v>
      </c>
      <c r="C297" s="394">
        <v>45184</v>
      </c>
      <c r="D297" s="238">
        <v>7293</v>
      </c>
      <c r="E297" s="161" t="s">
        <v>654</v>
      </c>
      <c r="F297" s="162">
        <v>551.12</v>
      </c>
      <c r="G297" s="162"/>
      <c r="H297" s="161" t="s">
        <v>655</v>
      </c>
      <c r="I297" s="261"/>
      <c r="J297" s="127"/>
      <c r="K297" s="1"/>
    </row>
    <row r="298" spans="1:11" s="2" customFormat="1">
      <c r="A298" s="124">
        <v>288</v>
      </c>
      <c r="C298" s="394">
        <v>45191</v>
      </c>
      <c r="D298" s="238">
        <v>7293</v>
      </c>
      <c r="E298" s="161" t="s">
        <v>654</v>
      </c>
      <c r="F298" s="162">
        <v>917.2</v>
      </c>
      <c r="G298" s="162"/>
      <c r="H298" s="161" t="s">
        <v>655</v>
      </c>
      <c r="I298" s="261"/>
      <c r="J298" s="127"/>
      <c r="K298" s="1"/>
    </row>
    <row r="299" spans="1:11" s="2" customFormat="1">
      <c r="A299" s="124">
        <v>289</v>
      </c>
      <c r="C299" s="394">
        <v>45198</v>
      </c>
      <c r="D299" s="238">
        <v>7293</v>
      </c>
      <c r="E299" s="161" t="s">
        <v>654</v>
      </c>
      <c r="F299" s="162">
        <v>917.2</v>
      </c>
      <c r="G299" s="162"/>
      <c r="H299" s="161" t="s">
        <v>655</v>
      </c>
      <c r="I299" s="261"/>
      <c r="J299" s="127"/>
      <c r="K299" s="1"/>
    </row>
    <row r="300" spans="1:11" s="2" customFormat="1">
      <c r="A300" s="124">
        <v>290</v>
      </c>
      <c r="C300" s="394">
        <v>45205</v>
      </c>
      <c r="D300" s="238">
        <v>7358</v>
      </c>
      <c r="E300" s="161" t="s">
        <v>654</v>
      </c>
      <c r="F300" s="162">
        <v>871.44</v>
      </c>
      <c r="G300" s="162"/>
      <c r="H300" s="161" t="s">
        <v>655</v>
      </c>
      <c r="I300" s="261"/>
      <c r="J300" s="127"/>
      <c r="K300" s="1"/>
    </row>
    <row r="301" spans="1:11" s="2" customFormat="1">
      <c r="A301" s="124">
        <v>291</v>
      </c>
      <c r="C301" s="394">
        <v>45212</v>
      </c>
      <c r="D301" s="238">
        <v>7358</v>
      </c>
      <c r="E301" s="161" t="s">
        <v>654</v>
      </c>
      <c r="F301" s="162">
        <v>860</v>
      </c>
      <c r="G301" s="162"/>
      <c r="H301" s="161" t="s">
        <v>655</v>
      </c>
      <c r="I301" s="261"/>
      <c r="J301" s="127"/>
      <c r="K301" s="1"/>
    </row>
    <row r="302" spans="1:11" s="2" customFormat="1">
      <c r="A302" s="124">
        <v>292</v>
      </c>
      <c r="C302" s="394">
        <v>45219</v>
      </c>
      <c r="D302" s="238">
        <v>7358</v>
      </c>
      <c r="E302" s="161" t="s">
        <v>654</v>
      </c>
      <c r="F302" s="162">
        <v>848.56</v>
      </c>
      <c r="G302" s="162"/>
      <c r="H302" s="161" t="s">
        <v>655</v>
      </c>
      <c r="I302" s="261"/>
      <c r="J302" s="127"/>
      <c r="K302" s="1"/>
    </row>
    <row r="303" spans="1:11" s="2" customFormat="1">
      <c r="A303" s="124">
        <v>293</v>
      </c>
      <c r="C303" s="394">
        <v>45226</v>
      </c>
      <c r="D303" s="238">
        <v>7358</v>
      </c>
      <c r="E303" s="161" t="s">
        <v>654</v>
      </c>
      <c r="F303" s="162">
        <v>917.2</v>
      </c>
      <c r="G303" s="162"/>
      <c r="H303" s="161" t="s">
        <v>655</v>
      </c>
      <c r="I303" s="261"/>
      <c r="J303" s="127"/>
      <c r="K303" s="1"/>
    </row>
    <row r="304" spans="1:11" s="2" customFormat="1">
      <c r="A304" s="124">
        <v>294</v>
      </c>
      <c r="C304" s="394">
        <v>45233</v>
      </c>
      <c r="D304" s="238">
        <v>7452</v>
      </c>
      <c r="E304" s="161" t="s">
        <v>654</v>
      </c>
      <c r="F304" s="162">
        <v>894.32</v>
      </c>
      <c r="G304" s="162"/>
      <c r="H304" s="161" t="s">
        <v>655</v>
      </c>
      <c r="I304" s="261"/>
      <c r="J304" s="127"/>
      <c r="K304" s="1"/>
    </row>
    <row r="305" spans="1:11" s="2" customFormat="1">
      <c r="A305" s="124">
        <v>295</v>
      </c>
      <c r="C305" s="394">
        <v>45247</v>
      </c>
      <c r="D305" s="238">
        <v>7452</v>
      </c>
      <c r="E305" s="161" t="s">
        <v>654</v>
      </c>
      <c r="F305" s="162">
        <v>894.32</v>
      </c>
      <c r="G305" s="162"/>
      <c r="H305" s="161" t="s">
        <v>655</v>
      </c>
      <c r="I305" s="261"/>
      <c r="J305" s="127"/>
      <c r="K305" s="1"/>
    </row>
    <row r="306" spans="1:11" s="2" customFormat="1">
      <c r="A306" s="124">
        <v>296</v>
      </c>
      <c r="C306" s="394">
        <v>45254</v>
      </c>
      <c r="D306" s="238">
        <v>7452</v>
      </c>
      <c r="E306" s="161" t="s">
        <v>654</v>
      </c>
      <c r="F306" s="162">
        <v>917.2</v>
      </c>
      <c r="G306" s="162"/>
      <c r="H306" s="161" t="s">
        <v>655</v>
      </c>
      <c r="I306" s="261"/>
      <c r="J306" s="127"/>
      <c r="K306" s="1"/>
    </row>
    <row r="307" spans="1:11" s="2" customFormat="1">
      <c r="A307" s="124">
        <v>297</v>
      </c>
      <c r="C307" s="394">
        <v>45261</v>
      </c>
      <c r="D307" s="238">
        <v>7452</v>
      </c>
      <c r="E307" s="161" t="s">
        <v>654</v>
      </c>
      <c r="F307" s="162">
        <v>528.24</v>
      </c>
      <c r="G307" s="162"/>
      <c r="H307" s="161" t="s">
        <v>655</v>
      </c>
      <c r="I307" s="261"/>
      <c r="J307" s="127"/>
      <c r="K307" s="1"/>
    </row>
    <row r="308" spans="1:11" s="2" customFormat="1">
      <c r="A308" s="124">
        <v>298</v>
      </c>
      <c r="C308" s="394">
        <v>45268</v>
      </c>
      <c r="D308" s="238">
        <v>7518</v>
      </c>
      <c r="E308" s="161" t="s">
        <v>654</v>
      </c>
      <c r="F308" s="162">
        <v>917.2</v>
      </c>
      <c r="G308" s="162"/>
      <c r="H308" s="161" t="s">
        <v>655</v>
      </c>
      <c r="I308" s="261"/>
      <c r="J308" s="127"/>
      <c r="K308" s="1"/>
    </row>
    <row r="309" spans="1:11" s="2" customFormat="1">
      <c r="A309" s="124">
        <v>299</v>
      </c>
      <c r="C309" s="394">
        <v>45275</v>
      </c>
      <c r="D309" s="238">
        <v>7518</v>
      </c>
      <c r="E309" s="161" t="s">
        <v>654</v>
      </c>
      <c r="F309" s="162">
        <v>734.16</v>
      </c>
      <c r="G309" s="162"/>
      <c r="H309" s="161" t="s">
        <v>655</v>
      </c>
      <c r="I309" s="261"/>
      <c r="J309" s="127"/>
      <c r="K309" s="1"/>
    </row>
    <row r="310" spans="1:11" s="2" customFormat="1">
      <c r="A310" s="124">
        <v>300</v>
      </c>
      <c r="C310" s="394">
        <v>45289</v>
      </c>
      <c r="D310" s="238">
        <v>7518</v>
      </c>
      <c r="E310" s="161" t="s">
        <v>654</v>
      </c>
      <c r="F310" s="162">
        <v>917.2</v>
      </c>
      <c r="G310" s="162"/>
      <c r="H310" s="161" t="s">
        <v>655</v>
      </c>
      <c r="I310" s="261"/>
      <c r="J310" s="127"/>
      <c r="K310" s="1"/>
    </row>
    <row r="311" spans="1:11" s="2" customFormat="1">
      <c r="A311" s="124">
        <v>301</v>
      </c>
      <c r="C311" s="394">
        <v>45289</v>
      </c>
      <c r="D311" s="238">
        <v>0</v>
      </c>
      <c r="E311" s="161" t="s">
        <v>654</v>
      </c>
      <c r="F311" s="162">
        <v>-62.14</v>
      </c>
      <c r="G311" s="162"/>
      <c r="H311" s="161" t="s">
        <v>655</v>
      </c>
      <c r="I311" s="261"/>
      <c r="J311" s="127"/>
      <c r="K311" s="1"/>
    </row>
    <row r="312" spans="1:11" s="2" customFormat="1">
      <c r="A312" s="124">
        <v>302</v>
      </c>
      <c r="C312" s="394">
        <v>45296</v>
      </c>
      <c r="D312" s="238">
        <v>7599</v>
      </c>
      <c r="E312" s="161" t="s">
        <v>654</v>
      </c>
      <c r="F312" s="162">
        <v>551.12</v>
      </c>
      <c r="G312" s="162"/>
      <c r="H312" s="161" t="s">
        <v>655</v>
      </c>
      <c r="I312" s="261"/>
      <c r="J312" s="127"/>
      <c r="K312" s="1"/>
    </row>
    <row r="313" spans="1:11" s="2" customFormat="1">
      <c r="A313" s="124">
        <v>303</v>
      </c>
      <c r="C313" s="394">
        <v>45303</v>
      </c>
      <c r="D313" s="238">
        <v>7599</v>
      </c>
      <c r="E313" s="161" t="s">
        <v>654</v>
      </c>
      <c r="F313" s="162">
        <v>551.12</v>
      </c>
      <c r="G313" s="162"/>
      <c r="H313" s="161" t="s">
        <v>655</v>
      </c>
      <c r="I313" s="261"/>
      <c r="J313" s="127"/>
      <c r="K313" s="1"/>
    </row>
    <row r="314" spans="1:11" s="2" customFormat="1">
      <c r="A314" s="124">
        <v>304</v>
      </c>
      <c r="C314" s="394">
        <v>45322</v>
      </c>
      <c r="D314" s="238">
        <v>7645</v>
      </c>
      <c r="E314" s="161" t="s">
        <v>654</v>
      </c>
      <c r="F314" s="162">
        <v>917.2</v>
      </c>
      <c r="G314" s="162"/>
      <c r="H314" s="161" t="s">
        <v>655</v>
      </c>
      <c r="I314" s="261"/>
      <c r="J314" s="127"/>
      <c r="K314" s="1"/>
    </row>
    <row r="315" spans="1:11" s="2" customFormat="1">
      <c r="A315" s="124">
        <v>305</v>
      </c>
      <c r="C315" s="394">
        <v>45324</v>
      </c>
      <c r="D315" s="238">
        <v>7662</v>
      </c>
      <c r="E315" s="161" t="s">
        <v>654</v>
      </c>
      <c r="F315" s="162">
        <v>551.12</v>
      </c>
      <c r="G315" s="162"/>
      <c r="H315" s="161" t="s">
        <v>655</v>
      </c>
      <c r="I315" s="261"/>
      <c r="J315" s="127"/>
      <c r="K315" s="1"/>
    </row>
    <row r="316" spans="1:11" s="2" customFormat="1">
      <c r="A316" s="124">
        <v>306</v>
      </c>
      <c r="C316" s="394">
        <v>45331</v>
      </c>
      <c r="D316" s="238">
        <v>7662</v>
      </c>
      <c r="E316" s="161" t="s">
        <v>654</v>
      </c>
      <c r="F316" s="162">
        <v>917.2</v>
      </c>
      <c r="G316" s="162"/>
      <c r="H316" s="161" t="s">
        <v>655</v>
      </c>
      <c r="I316" s="261"/>
      <c r="J316" s="127"/>
      <c r="K316" s="1"/>
    </row>
    <row r="317" spans="1:11" s="2" customFormat="1">
      <c r="A317" s="124">
        <v>307</v>
      </c>
      <c r="C317" s="394">
        <v>45338</v>
      </c>
      <c r="D317" s="238">
        <v>7662</v>
      </c>
      <c r="E317" s="161" t="s">
        <v>654</v>
      </c>
      <c r="F317" s="162">
        <v>917.2</v>
      </c>
      <c r="G317" s="162"/>
      <c r="H317" s="161" t="s">
        <v>655</v>
      </c>
      <c r="I317" s="261"/>
      <c r="J317" s="127"/>
      <c r="K317" s="1"/>
    </row>
    <row r="318" spans="1:11" s="2" customFormat="1">
      <c r="A318" s="124">
        <v>308</v>
      </c>
      <c r="C318" s="394">
        <v>45345</v>
      </c>
      <c r="D318" s="238">
        <v>7662</v>
      </c>
      <c r="E318" s="161" t="s">
        <v>654</v>
      </c>
      <c r="F318" s="162">
        <v>871.44</v>
      </c>
      <c r="G318" s="162"/>
      <c r="H318" s="161" t="s">
        <v>655</v>
      </c>
      <c r="I318" s="261"/>
      <c r="J318" s="127"/>
      <c r="K318" s="1"/>
    </row>
    <row r="319" spans="1:11" s="2" customFormat="1">
      <c r="A319" s="124">
        <v>309</v>
      </c>
      <c r="C319" s="394">
        <v>45351</v>
      </c>
      <c r="D319" s="238">
        <v>7708</v>
      </c>
      <c r="E319" s="161" t="s">
        <v>654</v>
      </c>
      <c r="F319" s="162">
        <v>917.2</v>
      </c>
      <c r="G319" s="162"/>
      <c r="H319" s="161" t="s">
        <v>655</v>
      </c>
      <c r="I319" s="261"/>
      <c r="J319" s="127"/>
      <c r="K319" s="1"/>
    </row>
    <row r="320" spans="1:11" s="2" customFormat="1">
      <c r="A320" s="124">
        <v>310</v>
      </c>
      <c r="C320" s="394">
        <v>45352</v>
      </c>
      <c r="D320" s="238">
        <v>7748</v>
      </c>
      <c r="E320" s="161" t="s">
        <v>654</v>
      </c>
      <c r="F320" s="162">
        <v>917.2</v>
      </c>
      <c r="G320" s="162"/>
      <c r="H320" s="161" t="s">
        <v>655</v>
      </c>
      <c r="I320" s="261"/>
      <c r="J320" s="127"/>
      <c r="K320" s="1"/>
    </row>
    <row r="321" spans="1:11" s="2" customFormat="1">
      <c r="A321" s="124">
        <v>311</v>
      </c>
      <c r="C321" s="394">
        <v>45359</v>
      </c>
      <c r="D321" s="238">
        <v>7748</v>
      </c>
      <c r="E321" s="161" t="s">
        <v>654</v>
      </c>
      <c r="F321" s="162">
        <v>917.2</v>
      </c>
      <c r="G321" s="162"/>
      <c r="H321" s="161" t="s">
        <v>655</v>
      </c>
      <c r="I321" s="261"/>
      <c r="J321" s="127"/>
      <c r="K321" s="1"/>
    </row>
    <row r="322" spans="1:11" s="2" customFormat="1">
      <c r="A322" s="124">
        <v>312</v>
      </c>
      <c r="C322" s="394">
        <v>45366</v>
      </c>
      <c r="D322" s="238">
        <v>7748</v>
      </c>
      <c r="E322" s="161" t="s">
        <v>654</v>
      </c>
      <c r="F322" s="162">
        <v>917.2</v>
      </c>
      <c r="G322" s="162"/>
      <c r="H322" s="161" t="s">
        <v>655</v>
      </c>
      <c r="I322" s="261"/>
      <c r="J322" s="127"/>
      <c r="K322" s="1"/>
    </row>
    <row r="323" spans="1:11" s="2" customFormat="1">
      <c r="A323" s="124">
        <v>313</v>
      </c>
      <c r="C323" s="394">
        <v>45373</v>
      </c>
      <c r="D323" s="238">
        <v>7748</v>
      </c>
      <c r="E323" s="161" t="s">
        <v>654</v>
      </c>
      <c r="F323" s="162">
        <v>917.2</v>
      </c>
      <c r="G323" s="162"/>
      <c r="H323" s="161" t="s">
        <v>655</v>
      </c>
      <c r="I323" s="261"/>
      <c r="J323" s="127"/>
      <c r="K323" s="1"/>
    </row>
    <row r="324" spans="1:11" s="2" customFormat="1">
      <c r="A324" s="124">
        <v>314</v>
      </c>
      <c r="C324" s="394">
        <v>45380</v>
      </c>
      <c r="D324" s="238">
        <v>7748</v>
      </c>
      <c r="E324" s="161" t="s">
        <v>654</v>
      </c>
      <c r="F324" s="162">
        <v>860</v>
      </c>
      <c r="G324" s="162"/>
      <c r="H324" s="161" t="s">
        <v>655</v>
      </c>
      <c r="I324" s="261"/>
      <c r="J324" s="127"/>
      <c r="K324" s="1"/>
    </row>
    <row r="325" spans="1:11" s="2" customFormat="1">
      <c r="A325" s="124">
        <v>315</v>
      </c>
      <c r="C325" s="394">
        <v>45387</v>
      </c>
      <c r="D325" s="238">
        <v>7806</v>
      </c>
      <c r="E325" s="161" t="s">
        <v>654</v>
      </c>
      <c r="F325" s="162">
        <v>757.04</v>
      </c>
      <c r="G325" s="162"/>
      <c r="H325" s="161" t="s">
        <v>655</v>
      </c>
      <c r="I325" s="261"/>
      <c r="J325" s="127"/>
      <c r="K325" s="1"/>
    </row>
    <row r="326" spans="1:11" s="2" customFormat="1">
      <c r="A326" s="124">
        <v>316</v>
      </c>
      <c r="C326" s="394">
        <v>45394</v>
      </c>
      <c r="D326" s="238">
        <v>7806</v>
      </c>
      <c r="E326" s="161" t="s">
        <v>654</v>
      </c>
      <c r="F326" s="162">
        <v>711.28</v>
      </c>
      <c r="G326" s="162"/>
      <c r="H326" s="161" t="s">
        <v>655</v>
      </c>
      <c r="I326" s="261"/>
      <c r="J326" s="127"/>
      <c r="K326" s="1"/>
    </row>
    <row r="327" spans="1:11" s="2" customFormat="1">
      <c r="A327" s="124">
        <v>317</v>
      </c>
      <c r="C327" s="394">
        <v>45083</v>
      </c>
      <c r="D327" s="238">
        <v>205993</v>
      </c>
      <c r="E327" s="161" t="s">
        <v>656</v>
      </c>
      <c r="F327" s="162">
        <v>49.65</v>
      </c>
      <c r="G327" s="162"/>
      <c r="H327" s="161" t="s">
        <v>657</v>
      </c>
      <c r="I327" s="261"/>
      <c r="J327" s="127"/>
      <c r="K327" s="1"/>
    </row>
    <row r="328" spans="1:11" s="2" customFormat="1">
      <c r="A328" s="124">
        <v>318</v>
      </c>
      <c r="C328" s="394">
        <v>45098</v>
      </c>
      <c r="D328" s="238">
        <v>205993</v>
      </c>
      <c r="E328" s="161" t="s">
        <v>656</v>
      </c>
      <c r="F328" s="162">
        <v>63</v>
      </c>
      <c r="G328" s="162"/>
      <c r="H328" s="161" t="s">
        <v>657</v>
      </c>
      <c r="I328" s="261"/>
      <c r="J328" s="127"/>
      <c r="K328" s="1"/>
    </row>
    <row r="329" spans="1:11" s="2" customFormat="1">
      <c r="A329" s="124">
        <v>319</v>
      </c>
      <c r="C329" s="394">
        <v>45107</v>
      </c>
      <c r="D329" s="238">
        <v>205993</v>
      </c>
      <c r="E329" s="161" t="s">
        <v>656</v>
      </c>
      <c r="F329" s="162">
        <v>4250</v>
      </c>
      <c r="G329" s="162"/>
      <c r="H329" s="161" t="s">
        <v>657</v>
      </c>
      <c r="I329" s="261"/>
      <c r="J329" s="127"/>
      <c r="K329" s="1"/>
    </row>
    <row r="330" spans="1:11" s="2" customFormat="1">
      <c r="A330" s="124">
        <v>320</v>
      </c>
      <c r="C330" s="394">
        <v>45127</v>
      </c>
      <c r="D330" s="238">
        <v>206209</v>
      </c>
      <c r="E330" s="161" t="s">
        <v>656</v>
      </c>
      <c r="F330" s="162">
        <v>53.4</v>
      </c>
      <c r="G330" s="162"/>
      <c r="H330" s="161" t="s">
        <v>657</v>
      </c>
      <c r="I330" s="261"/>
      <c r="J330" s="127"/>
      <c r="K330" s="1"/>
    </row>
    <row r="331" spans="1:11" s="2" customFormat="1">
      <c r="A331" s="124">
        <v>321</v>
      </c>
      <c r="C331" s="394">
        <v>45138</v>
      </c>
      <c r="D331" s="238">
        <v>206209</v>
      </c>
      <c r="E331" s="161" t="s">
        <v>656</v>
      </c>
      <c r="F331" s="162">
        <v>3470</v>
      </c>
      <c r="G331" s="162"/>
      <c r="H331" s="161" t="s">
        <v>657</v>
      </c>
      <c r="I331" s="261"/>
      <c r="J331" s="127"/>
      <c r="K331" s="1"/>
    </row>
    <row r="332" spans="1:11" s="2" customFormat="1">
      <c r="A332" s="124">
        <v>322</v>
      </c>
      <c r="C332" s="394">
        <v>45187</v>
      </c>
      <c r="D332" s="238">
        <v>206748</v>
      </c>
      <c r="E332" s="161" t="s">
        <v>656</v>
      </c>
      <c r="F332" s="162">
        <v>48.75</v>
      </c>
      <c r="G332" s="162"/>
      <c r="H332" s="161" t="s">
        <v>657</v>
      </c>
      <c r="I332" s="261"/>
      <c r="J332" s="127"/>
      <c r="K332" s="1"/>
    </row>
    <row r="333" spans="1:11" s="2" customFormat="1">
      <c r="A333" s="124">
        <v>323</v>
      </c>
      <c r="C333" s="394">
        <v>45199</v>
      </c>
      <c r="D333" s="238">
        <v>206861</v>
      </c>
      <c r="E333" s="161" t="s">
        <v>656</v>
      </c>
      <c r="F333" s="162">
        <v>3090</v>
      </c>
      <c r="G333" s="162"/>
      <c r="H333" s="161" t="s">
        <v>657</v>
      </c>
      <c r="I333" s="261"/>
      <c r="J333" s="127"/>
      <c r="K333" s="1"/>
    </row>
    <row r="334" spans="1:11" s="2" customFormat="1">
      <c r="A334" s="124">
        <v>324</v>
      </c>
      <c r="C334" s="394">
        <v>45222</v>
      </c>
      <c r="D334" s="238">
        <v>207132</v>
      </c>
      <c r="E334" s="161" t="s">
        <v>656</v>
      </c>
      <c r="F334" s="162">
        <v>42.75</v>
      </c>
      <c r="G334" s="162"/>
      <c r="H334" s="161" t="s">
        <v>657</v>
      </c>
      <c r="I334" s="261"/>
      <c r="J334" s="127"/>
      <c r="K334" s="1"/>
    </row>
    <row r="335" spans="1:11" s="2" customFormat="1">
      <c r="A335" s="124">
        <v>325</v>
      </c>
      <c r="C335" s="394">
        <v>45230</v>
      </c>
      <c r="D335" s="238">
        <v>207132</v>
      </c>
      <c r="E335" s="161" t="s">
        <v>656</v>
      </c>
      <c r="F335" s="162">
        <v>3410</v>
      </c>
      <c r="G335" s="162"/>
      <c r="H335" s="161" t="s">
        <v>657</v>
      </c>
      <c r="I335" s="261"/>
      <c r="J335" s="127"/>
      <c r="K335" s="1"/>
    </row>
    <row r="336" spans="1:11" s="2" customFormat="1">
      <c r="A336" s="124">
        <v>326</v>
      </c>
      <c r="C336" s="394">
        <v>45251</v>
      </c>
      <c r="D336" s="238">
        <v>207449</v>
      </c>
      <c r="E336" s="161" t="s">
        <v>656</v>
      </c>
      <c r="F336" s="162">
        <v>46.2</v>
      </c>
      <c r="G336" s="162"/>
      <c r="H336" s="161" t="s">
        <v>657</v>
      </c>
      <c r="I336" s="261"/>
      <c r="J336" s="127"/>
      <c r="K336" s="1"/>
    </row>
    <row r="337" spans="1:12" s="2" customFormat="1">
      <c r="A337" s="124">
        <v>327</v>
      </c>
      <c r="C337" s="394">
        <v>45260</v>
      </c>
      <c r="D337" s="238">
        <v>207449</v>
      </c>
      <c r="E337" s="161" t="s">
        <v>656</v>
      </c>
      <c r="F337" s="162">
        <v>3965</v>
      </c>
      <c r="G337" s="162"/>
      <c r="H337" s="161" t="s">
        <v>657</v>
      </c>
      <c r="I337" s="261"/>
      <c r="J337" s="127"/>
      <c r="K337" s="1"/>
    </row>
    <row r="338" spans="1:12" s="2" customFormat="1">
      <c r="A338" s="124">
        <v>328</v>
      </c>
      <c r="C338" s="394">
        <v>45291</v>
      </c>
      <c r="D338" s="238">
        <v>207817</v>
      </c>
      <c r="E338" s="161" t="s">
        <v>656</v>
      </c>
      <c r="F338" s="162">
        <v>2980</v>
      </c>
      <c r="G338" s="162"/>
      <c r="H338" s="161" t="s">
        <v>657</v>
      </c>
      <c r="I338" s="261"/>
      <c r="J338" s="127"/>
      <c r="K338" s="1"/>
    </row>
    <row r="339" spans="1:12" s="2" customFormat="1">
      <c r="A339" s="124">
        <v>329</v>
      </c>
      <c r="C339" s="394">
        <v>45322</v>
      </c>
      <c r="D339" s="238">
        <v>208253</v>
      </c>
      <c r="E339" s="161" t="s">
        <v>656</v>
      </c>
      <c r="F339" s="162">
        <v>2205</v>
      </c>
      <c r="G339" s="162"/>
      <c r="H339" s="161" t="s">
        <v>657</v>
      </c>
      <c r="I339" s="261"/>
      <c r="J339" s="127"/>
      <c r="K339" s="1"/>
    </row>
    <row r="340" spans="1:12" s="2" customFormat="1">
      <c r="A340" s="124">
        <v>330</v>
      </c>
      <c r="C340" s="394">
        <v>45323</v>
      </c>
      <c r="D340" s="238">
        <v>208488</v>
      </c>
      <c r="E340" s="161" t="s">
        <v>656</v>
      </c>
      <c r="F340" s="162">
        <v>3460</v>
      </c>
      <c r="G340" s="162"/>
      <c r="H340" s="161" t="s">
        <v>657</v>
      </c>
      <c r="I340" s="261"/>
      <c r="J340" s="127"/>
      <c r="K340" s="1"/>
    </row>
    <row r="341" spans="1:12">
      <c r="A341" s="124">
        <v>331</v>
      </c>
      <c r="B341" s="2"/>
      <c r="C341" s="394">
        <v>45323</v>
      </c>
      <c r="D341" s="238">
        <v>208488</v>
      </c>
      <c r="E341" s="161" t="s">
        <v>656</v>
      </c>
      <c r="F341" s="162">
        <v>3895</v>
      </c>
      <c r="G341" s="162"/>
      <c r="H341" s="161" t="s">
        <v>657</v>
      </c>
      <c r="I341" s="261"/>
      <c r="J341" s="127"/>
      <c r="K341" s="1"/>
      <c r="L341" s="2"/>
    </row>
    <row r="342" spans="1:12">
      <c r="A342" s="124">
        <v>332</v>
      </c>
      <c r="B342" s="2"/>
      <c r="C342" s="394">
        <v>45323</v>
      </c>
      <c r="D342" s="238">
        <v>208488</v>
      </c>
      <c r="E342" s="161" t="s">
        <v>656</v>
      </c>
      <c r="F342" s="162">
        <v>43.95</v>
      </c>
      <c r="G342" s="162"/>
      <c r="H342" s="161" t="s">
        <v>657</v>
      </c>
      <c r="I342" s="261"/>
      <c r="J342" s="127"/>
      <c r="K342" s="1"/>
      <c r="L342" s="2"/>
    </row>
    <row r="343" spans="1:12">
      <c r="A343" s="124">
        <v>333</v>
      </c>
      <c r="B343" s="2"/>
      <c r="C343" s="394">
        <v>45351</v>
      </c>
      <c r="D343" s="238">
        <v>208488</v>
      </c>
      <c r="E343" s="161" t="s">
        <v>656</v>
      </c>
      <c r="F343" s="162">
        <v>2900</v>
      </c>
      <c r="G343" s="162"/>
      <c r="H343" s="161" t="s">
        <v>657</v>
      </c>
      <c r="I343" s="261"/>
      <c r="J343" s="127"/>
      <c r="K343" s="1"/>
      <c r="L343" s="2"/>
    </row>
    <row r="344" spans="1:12">
      <c r="A344" s="124">
        <v>334</v>
      </c>
      <c r="B344" s="2"/>
      <c r="C344" s="394">
        <v>45382</v>
      </c>
      <c r="D344" s="238">
        <v>208719</v>
      </c>
      <c r="E344" s="161" t="s">
        <v>656</v>
      </c>
      <c r="F344" s="162">
        <v>3623.36</v>
      </c>
      <c r="G344" s="162"/>
      <c r="H344" s="161" t="s">
        <v>657</v>
      </c>
      <c r="I344" s="261"/>
      <c r="J344" s="127"/>
      <c r="K344" s="1"/>
      <c r="L344" s="2"/>
    </row>
    <row r="345" spans="1:12">
      <c r="A345" s="124">
        <v>335</v>
      </c>
      <c r="B345" s="2"/>
      <c r="C345" s="394">
        <v>45412</v>
      </c>
      <c r="D345" s="238">
        <v>208959</v>
      </c>
      <c r="E345" s="161" t="s">
        <v>656</v>
      </c>
      <c r="F345" s="162">
        <v>4609.6000000000004</v>
      </c>
      <c r="G345" s="162"/>
      <c r="H345" s="161" t="s">
        <v>657</v>
      </c>
      <c r="I345" s="261"/>
      <c r="J345" s="127"/>
      <c r="K345" s="1"/>
      <c r="L345" s="2"/>
    </row>
    <row r="346" spans="1:12">
      <c r="A346" s="124">
        <v>336</v>
      </c>
      <c r="B346" s="2"/>
      <c r="C346" s="394">
        <v>45427</v>
      </c>
      <c r="D346" s="238">
        <v>209041</v>
      </c>
      <c r="E346" s="161" t="s">
        <v>656</v>
      </c>
      <c r="F346" s="162">
        <v>55.95</v>
      </c>
      <c r="G346" s="162"/>
      <c r="H346" s="161" t="s">
        <v>657</v>
      </c>
      <c r="I346" s="261"/>
      <c r="J346" s="127"/>
      <c r="K346" s="1"/>
      <c r="L346" s="2"/>
    </row>
    <row r="347" spans="1:12">
      <c r="A347" s="124">
        <v>337</v>
      </c>
      <c r="B347" s="2"/>
      <c r="C347" s="394">
        <v>45443</v>
      </c>
      <c r="D347" s="238">
        <v>209254</v>
      </c>
      <c r="E347" s="161" t="s">
        <v>656</v>
      </c>
      <c r="F347" s="162">
        <v>4775.76</v>
      </c>
      <c r="G347" s="162"/>
      <c r="H347" s="161" t="s">
        <v>657</v>
      </c>
      <c r="I347" s="261"/>
      <c r="J347" s="127"/>
      <c r="K347" s="1"/>
      <c r="L347" s="2"/>
    </row>
    <row r="348" spans="1:12">
      <c r="A348" s="124">
        <v>338</v>
      </c>
      <c r="B348" s="2"/>
      <c r="C348" s="10"/>
      <c r="D348" s="2"/>
      <c r="E348" s="2"/>
      <c r="F348" s="2"/>
      <c r="G348" s="2"/>
      <c r="H348" s="2"/>
      <c r="I348" s="261"/>
      <c r="J348" s="127"/>
      <c r="K348" s="1"/>
      <c r="L348" s="2"/>
    </row>
    <row r="349" spans="1:12">
      <c r="A349" s="124">
        <v>339</v>
      </c>
      <c r="B349" s="2"/>
      <c r="C349" s="10"/>
      <c r="D349" s="2"/>
      <c r="E349" s="2"/>
      <c r="F349" s="2"/>
      <c r="G349" s="2"/>
      <c r="H349" s="2"/>
      <c r="I349" s="261"/>
      <c r="J349" s="127"/>
      <c r="K349" s="1"/>
      <c r="L349" s="2"/>
    </row>
    <row r="350" spans="1:12">
      <c r="A350" s="124">
        <v>340</v>
      </c>
      <c r="B350" s="2"/>
      <c r="C350" s="10"/>
      <c r="D350" s="320"/>
      <c r="E350" s="320" t="s">
        <v>36</v>
      </c>
      <c r="F350" s="321">
        <f>SUM(F11:F349)</f>
        <v>1275530.3900000006</v>
      </c>
      <c r="G350" s="320"/>
      <c r="H350" s="320"/>
      <c r="I350" s="322">
        <f>SUM(I11:I349)</f>
        <v>627946.09666666668</v>
      </c>
      <c r="J350" s="330">
        <f>SUM(J11:J349)</f>
        <v>49845.872000000003</v>
      </c>
      <c r="K350" s="1"/>
      <c r="L350" s="2"/>
    </row>
    <row r="351" spans="1:12">
      <c r="A351" s="124">
        <v>341</v>
      </c>
      <c r="B351" s="2"/>
      <c r="C351" s="10"/>
      <c r="D351" s="320"/>
      <c r="E351" s="320"/>
      <c r="F351" s="320"/>
      <c r="G351" s="320"/>
      <c r="H351" s="320"/>
      <c r="I351" s="323"/>
      <c r="J351" s="331"/>
      <c r="K351" s="1"/>
      <c r="L351" s="2"/>
    </row>
    <row r="352" spans="1:12">
      <c r="A352" s="124">
        <v>342</v>
      </c>
      <c r="B352" s="2"/>
      <c r="C352" s="10"/>
      <c r="D352" s="320"/>
      <c r="E352" s="320" t="s">
        <v>147</v>
      </c>
      <c r="F352" s="324">
        <f>F350-I350+J350</f>
        <v>697430.16533333389</v>
      </c>
      <c r="G352" s="320"/>
      <c r="H352" s="320"/>
      <c r="I352" s="323"/>
      <c r="J352" s="331"/>
      <c r="K352" s="1"/>
      <c r="L352" s="2"/>
    </row>
    <row r="353" spans="1:12">
      <c r="A353" s="124">
        <v>343</v>
      </c>
      <c r="B353" s="320"/>
      <c r="C353" s="10"/>
      <c r="D353" s="2"/>
      <c r="E353" s="320"/>
      <c r="F353" s="320"/>
      <c r="G353" s="320"/>
      <c r="H353" s="320"/>
      <c r="I353" s="323"/>
      <c r="J353" s="331"/>
      <c r="K353" s="325"/>
      <c r="L353" s="320"/>
    </row>
    <row r="354" spans="1:12" ht="13.5" thickBot="1">
      <c r="A354" s="124">
        <v>344</v>
      </c>
      <c r="B354" s="320"/>
      <c r="C354" s="19" t="s">
        <v>15</v>
      </c>
      <c r="D354" s="3" t="s">
        <v>616</v>
      </c>
      <c r="E354" s="326" t="s">
        <v>616</v>
      </c>
      <c r="F354" s="333">
        <f>F352-F350</f>
        <v>-578100.22466666671</v>
      </c>
      <c r="G354" s="326" t="s">
        <v>616</v>
      </c>
      <c r="H354" s="320"/>
      <c r="I354" s="323"/>
      <c r="J354" s="331"/>
      <c r="K354" s="325"/>
      <c r="L354" s="320"/>
    </row>
    <row r="355" spans="1:12" ht="13.5" thickTop="1">
      <c r="A355" s="124">
        <v>345</v>
      </c>
      <c r="B355" s="320"/>
      <c r="C355" s="10"/>
      <c r="D355" s="320"/>
      <c r="E355" s="320"/>
      <c r="F355" s="320"/>
      <c r="G355" s="320"/>
      <c r="H355" s="320"/>
      <c r="I355" s="323"/>
      <c r="J355" s="331"/>
      <c r="K355" s="325"/>
      <c r="L355" s="320"/>
    </row>
    <row r="356" spans="1:12">
      <c r="A356" s="124">
        <v>346</v>
      </c>
      <c r="B356" s="320"/>
      <c r="C356" s="395" t="s">
        <v>379</v>
      </c>
      <c r="D356" s="320"/>
      <c r="E356" s="320"/>
      <c r="F356" s="320"/>
      <c r="G356" s="320"/>
      <c r="H356" s="320"/>
      <c r="I356" s="323"/>
      <c r="J356" s="331"/>
      <c r="K356" s="325"/>
      <c r="L356" s="320"/>
    </row>
    <row r="357" spans="1:12">
      <c r="A357" s="124">
        <v>347</v>
      </c>
      <c r="B357" s="320"/>
      <c r="C357" s="10" t="s">
        <v>123</v>
      </c>
      <c r="D357" s="320" t="s">
        <v>378</v>
      </c>
      <c r="E357" s="320"/>
      <c r="F357" s="320"/>
      <c r="G357" s="320"/>
      <c r="H357" s="320"/>
      <c r="I357" s="323"/>
      <c r="J357" s="331"/>
      <c r="K357" s="325"/>
      <c r="L357" s="320"/>
    </row>
    <row r="358" spans="1:12">
      <c r="A358" s="124">
        <v>348</v>
      </c>
      <c r="B358" s="320"/>
      <c r="C358" s="10" t="s">
        <v>124</v>
      </c>
      <c r="D358" s="320" t="s">
        <v>380</v>
      </c>
      <c r="E358" s="320"/>
      <c r="F358" s="320"/>
      <c r="G358" s="320"/>
      <c r="H358" s="320"/>
      <c r="I358" s="323"/>
      <c r="J358" s="331"/>
      <c r="K358" s="325"/>
      <c r="L358" s="320"/>
    </row>
    <row r="359" spans="1:12">
      <c r="A359" s="124">
        <v>349</v>
      </c>
      <c r="B359" s="320"/>
      <c r="C359" s="10" t="s">
        <v>225</v>
      </c>
      <c r="D359" s="320" t="s">
        <v>285</v>
      </c>
      <c r="E359" s="320" t="s">
        <v>658</v>
      </c>
      <c r="F359" s="320"/>
      <c r="G359" s="320"/>
      <c r="H359" s="320"/>
      <c r="I359" s="323"/>
      <c r="J359" s="331"/>
      <c r="K359" s="325"/>
      <c r="L359" s="320"/>
    </row>
    <row r="360" spans="1:12">
      <c r="A360" s="124">
        <v>350</v>
      </c>
      <c r="B360" s="320"/>
      <c r="C360" s="10" t="s">
        <v>246</v>
      </c>
      <c r="D360" s="320" t="s">
        <v>607</v>
      </c>
      <c r="E360" s="320" t="s">
        <v>659</v>
      </c>
      <c r="F360" s="320"/>
      <c r="G360" s="320"/>
      <c r="H360" s="320"/>
      <c r="I360" s="323"/>
      <c r="J360" s="331"/>
      <c r="K360" s="325"/>
      <c r="L360" s="320"/>
    </row>
    <row r="361" spans="1:12">
      <c r="A361" s="124">
        <v>351</v>
      </c>
      <c r="B361" s="320"/>
      <c r="C361" s="10" t="s">
        <v>226</v>
      </c>
      <c r="D361" s="320" t="s">
        <v>607</v>
      </c>
      <c r="E361" s="320" t="s">
        <v>660</v>
      </c>
      <c r="F361" s="320"/>
      <c r="G361" s="320"/>
      <c r="H361" s="320"/>
      <c r="I361" s="323"/>
      <c r="J361" s="331"/>
      <c r="K361" s="325"/>
      <c r="L361" s="320"/>
    </row>
    <row r="362" spans="1:12">
      <c r="A362" s="124">
        <v>352</v>
      </c>
      <c r="B362" s="320"/>
      <c r="C362" s="10"/>
      <c r="D362" s="320"/>
      <c r="E362" s="320"/>
      <c r="F362" s="320"/>
      <c r="G362" s="320"/>
      <c r="H362" s="320"/>
      <c r="I362" s="323"/>
      <c r="J362" s="331"/>
      <c r="K362" s="325"/>
      <c r="L362" s="320"/>
    </row>
    <row r="363" spans="1:12" ht="12.75" customHeight="1">
      <c r="A363" s="124">
        <v>353</v>
      </c>
      <c r="B363" s="320"/>
      <c r="C363" s="457" t="s">
        <v>290</v>
      </c>
      <c r="D363" s="457"/>
      <c r="E363" s="457"/>
      <c r="F363" s="457"/>
      <c r="G363" s="457"/>
      <c r="H363" s="457"/>
      <c r="I363" s="457"/>
      <c r="J363" s="332"/>
      <c r="K363" s="325"/>
      <c r="L363" s="320"/>
    </row>
    <row r="364" spans="1:12">
      <c r="I364" s="133"/>
      <c r="J364" s="13"/>
      <c r="K364" s="9"/>
    </row>
    <row r="365" spans="1:12">
      <c r="I365" s="133"/>
      <c r="J365" s="13"/>
      <c r="K365" s="9"/>
    </row>
  </sheetData>
  <mergeCells count="4">
    <mergeCell ref="A3:J3"/>
    <mergeCell ref="A4:J4"/>
    <mergeCell ref="A6:J6"/>
    <mergeCell ref="C363:I363"/>
  </mergeCells>
  <printOptions horizontalCentered="1"/>
  <pageMargins left="0.7" right="0.7" top="0.75" bottom="0.75" header="0.3" footer="0.3"/>
  <pageSetup scale="61" fitToHeight="0" orientation="portrait" r:id="rId1"/>
  <headerFooter alignWithMargins="0">
    <oddFooter>&amp;RExhibit  JW-2
Page &amp;P of &amp;N</oddFooter>
  </headerFooter>
  <ignoredErrors>
    <ignoredError sqref="C9:K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F71D8-A86D-4592-B083-F3C950A1B765}">
  <sheetPr>
    <pageSetUpPr fitToPage="1"/>
  </sheetPr>
  <dimension ref="A1:F21"/>
  <sheetViews>
    <sheetView view="pageBreakPreview" zoomScaleNormal="100" zoomScaleSheetLayoutView="100" workbookViewId="0">
      <selection activeCell="C14" sqref="C14"/>
    </sheetView>
  </sheetViews>
  <sheetFormatPr defaultColWidth="9.140625" defaultRowHeight="12.75"/>
  <cols>
    <col min="1" max="1" width="5.85546875" style="10" customWidth="1"/>
    <col min="2" max="2" width="2.28515625" style="10" customWidth="1"/>
    <col min="3" max="3" width="37.7109375" style="10" bestFit="1" customWidth="1"/>
    <col min="4" max="4" width="9.42578125" style="10" customWidth="1"/>
    <col min="5" max="5" width="2.42578125" style="10" customWidth="1"/>
    <col min="6" max="6" width="15.7109375" style="10" customWidth="1"/>
    <col min="7" max="16384" width="9.140625" style="10"/>
  </cols>
  <sheetData>
    <row r="1" spans="1:6">
      <c r="D1" s="5"/>
      <c r="F1" s="5" t="s">
        <v>254</v>
      </c>
    </row>
    <row r="2" spans="1:6" ht="20.25" customHeight="1">
      <c r="D2" s="5"/>
      <c r="F2" s="5"/>
    </row>
    <row r="3" spans="1:6">
      <c r="A3" s="447" t="str">
        <f>RevReq!A1</f>
        <v>SOUTH KENTUCKY R.E.C.C.</v>
      </c>
      <c r="B3" s="447"/>
      <c r="C3" s="447"/>
      <c r="D3" s="447"/>
      <c r="E3" s="447"/>
      <c r="F3" s="447"/>
    </row>
    <row r="4" spans="1:6">
      <c r="A4" s="447" t="str">
        <f>RevReq!A3</f>
        <v>For the 12 Months Ended May 2024</v>
      </c>
      <c r="B4" s="447"/>
      <c r="C4" s="447"/>
      <c r="D4" s="447"/>
      <c r="E4" s="447"/>
      <c r="F4" s="447"/>
    </row>
    <row r="6" spans="1:6" s="6" customFormat="1" ht="15" customHeight="1">
      <c r="A6" s="448" t="s">
        <v>31</v>
      </c>
      <c r="B6" s="448"/>
      <c r="C6" s="448"/>
      <c r="D6" s="448"/>
      <c r="E6" s="448"/>
      <c r="F6" s="448"/>
    </row>
    <row r="8" spans="1:6">
      <c r="A8" s="9" t="s">
        <v>0</v>
      </c>
      <c r="C8" s="9" t="s">
        <v>40</v>
      </c>
      <c r="D8" s="9" t="s">
        <v>278</v>
      </c>
      <c r="E8" s="9"/>
      <c r="F8" s="9" t="s">
        <v>24</v>
      </c>
    </row>
    <row r="9" spans="1:6">
      <c r="A9" s="11" t="s">
        <v>21</v>
      </c>
      <c r="C9" s="12" t="s">
        <v>18</v>
      </c>
      <c r="D9" s="12" t="s">
        <v>20</v>
      </c>
      <c r="E9" s="12"/>
      <c r="F9" s="12" t="s">
        <v>19</v>
      </c>
    </row>
    <row r="10" spans="1:6">
      <c r="A10" s="9"/>
    </row>
    <row r="11" spans="1:6">
      <c r="A11" s="9"/>
    </row>
    <row r="12" spans="1:6">
      <c r="A12" s="9">
        <v>1</v>
      </c>
      <c r="C12" s="14" t="s">
        <v>292</v>
      </c>
      <c r="D12" s="26">
        <v>423</v>
      </c>
      <c r="E12" s="1"/>
      <c r="F12" s="165">
        <f>RevReq!C35</f>
        <v>2018096.45</v>
      </c>
    </row>
    <row r="13" spans="1:6">
      <c r="A13" s="9">
        <v>2</v>
      </c>
      <c r="D13" s="2"/>
      <c r="E13" s="2"/>
      <c r="F13" s="18"/>
    </row>
    <row r="14" spans="1:6">
      <c r="A14" s="9">
        <v>3</v>
      </c>
      <c r="C14" s="10" t="s">
        <v>36</v>
      </c>
      <c r="D14" s="2"/>
      <c r="E14" s="2"/>
      <c r="F14" s="18">
        <f>F12</f>
        <v>2018096.45</v>
      </c>
    </row>
    <row r="15" spans="1:6">
      <c r="A15" s="9">
        <v>4</v>
      </c>
      <c r="D15" s="2"/>
      <c r="E15" s="2"/>
    </row>
    <row r="16" spans="1:6">
      <c r="A16" s="9">
        <v>5</v>
      </c>
      <c r="C16" s="10" t="s">
        <v>37</v>
      </c>
      <c r="D16" s="2"/>
      <c r="F16" s="13">
        <v>0</v>
      </c>
    </row>
    <row r="17" spans="1:6">
      <c r="A17" s="9">
        <v>6</v>
      </c>
      <c r="D17" s="2"/>
    </row>
    <row r="18" spans="1:6" ht="13.5" thickBot="1">
      <c r="A18" s="9">
        <v>7</v>
      </c>
      <c r="C18" s="19" t="s">
        <v>15</v>
      </c>
      <c r="D18" s="3"/>
      <c r="E18" s="19"/>
      <c r="F18" s="21">
        <f>ROUND(F16-F14,2)</f>
        <v>-2018096.45</v>
      </c>
    </row>
    <row r="19" spans="1:6" ht="13.5" thickTop="1"/>
    <row r="21" spans="1:6" ht="30" customHeight="1">
      <c r="C21" s="449" t="s">
        <v>293</v>
      </c>
      <c r="D21" s="449"/>
      <c r="E21" s="449"/>
      <c r="F21" s="449"/>
    </row>
  </sheetData>
  <mergeCells count="4">
    <mergeCell ref="A3:F3"/>
    <mergeCell ref="A4:F4"/>
    <mergeCell ref="A6:F6"/>
    <mergeCell ref="C21:F21"/>
  </mergeCells>
  <printOptions horizontalCentered="1"/>
  <pageMargins left="1" right="0.75" top="0.75" bottom="0.5" header="0.5" footer="0.5"/>
  <pageSetup orientation="portrait" r:id="rId1"/>
  <headerFooter alignWithMargins="0">
    <oddFooter>&amp;RExhibit  JW-2
Page &amp;P of &amp;N</oddFooter>
  </headerFooter>
  <ignoredErrors>
    <ignoredError sqref="C9:F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5F009-D7DC-4F2B-911F-102D17A9C251}">
  <sheetPr>
    <pageSetUpPr fitToPage="1"/>
  </sheetPr>
  <dimension ref="A1:O212"/>
  <sheetViews>
    <sheetView view="pageBreakPreview" topLeftCell="A143" zoomScaleNormal="100" zoomScaleSheetLayoutView="100" workbookViewId="0">
      <selection sqref="A1:XFD7"/>
    </sheetView>
  </sheetViews>
  <sheetFormatPr defaultColWidth="9.140625" defaultRowHeight="12.75"/>
  <cols>
    <col min="1" max="1" width="5.85546875" style="10" customWidth="1"/>
    <col min="2" max="2" width="2.28515625" style="10" customWidth="1"/>
    <col min="3" max="3" width="6.5703125" style="10" customWidth="1"/>
    <col min="4" max="4" width="9" style="10" customWidth="1"/>
    <col min="5" max="5" width="4.28515625" style="10" customWidth="1"/>
    <col min="6" max="6" width="12.140625" style="10" customWidth="1"/>
    <col min="7" max="7" width="11.5703125" style="10" customWidth="1"/>
    <col min="8" max="8" width="11.28515625" style="10" bestFit="1" customWidth="1"/>
    <col min="9" max="9" width="11.42578125" style="10" customWidth="1"/>
    <col min="10" max="10" width="11.28515625" style="10" bestFit="1" customWidth="1"/>
    <col min="11" max="11" width="12.85546875" style="10" customWidth="1"/>
    <col min="12" max="12" width="7.85546875" style="10" customWidth="1"/>
    <col min="13" max="13" width="11.42578125" style="10" customWidth="1"/>
    <col min="14" max="14" width="9.28515625" style="10" bestFit="1" customWidth="1"/>
    <col min="15" max="15" width="12.42578125" style="10" customWidth="1"/>
    <col min="16" max="16384" width="9.140625" style="10"/>
  </cols>
  <sheetData>
    <row r="1" spans="1:15">
      <c r="O1" s="5" t="s">
        <v>291</v>
      </c>
    </row>
    <row r="2" spans="1:15" ht="20.25" customHeight="1">
      <c r="F2" s="5"/>
    </row>
    <row r="3" spans="1:15">
      <c r="A3" s="447" t="str">
        <f>RevReq!A1</f>
        <v>SOUTH KENTUCKY R.E.C.C.</v>
      </c>
      <c r="B3" s="447"/>
      <c r="C3" s="447"/>
      <c r="D3" s="447"/>
      <c r="E3" s="447"/>
      <c r="F3" s="447"/>
      <c r="G3" s="447"/>
      <c r="H3" s="447"/>
      <c r="I3" s="447"/>
      <c r="J3" s="447"/>
      <c r="K3" s="447"/>
      <c r="L3" s="447"/>
      <c r="M3" s="447"/>
      <c r="N3" s="447"/>
      <c r="O3" s="447"/>
    </row>
    <row r="4" spans="1:15">
      <c r="A4" s="447" t="str">
        <f>RevReq!A3</f>
        <v>For the 12 Months Ended May 2024</v>
      </c>
      <c r="B4" s="447"/>
      <c r="C4" s="447"/>
      <c r="D4" s="447"/>
      <c r="E4" s="447"/>
      <c r="F4" s="447"/>
      <c r="G4" s="447"/>
      <c r="H4" s="447"/>
      <c r="I4" s="447"/>
      <c r="J4" s="447"/>
      <c r="K4" s="447"/>
      <c r="L4" s="447"/>
      <c r="M4" s="447"/>
      <c r="N4" s="447"/>
      <c r="O4" s="447"/>
    </row>
    <row r="6" spans="1:15" s="6" customFormat="1" ht="15" customHeight="1">
      <c r="A6" s="448" t="s">
        <v>318</v>
      </c>
      <c r="B6" s="448"/>
      <c r="C6" s="448"/>
      <c r="D6" s="448"/>
      <c r="E6" s="448"/>
      <c r="F6" s="448"/>
      <c r="G6" s="448"/>
      <c r="H6" s="448"/>
      <c r="I6" s="448"/>
      <c r="J6" s="448"/>
      <c r="K6" s="448"/>
      <c r="L6" s="448"/>
      <c r="M6" s="448"/>
      <c r="N6" s="448"/>
      <c r="O6" s="448"/>
    </row>
    <row r="7" spans="1:15">
      <c r="D7" s="9"/>
      <c r="E7" s="9"/>
      <c r="G7" s="46"/>
    </row>
    <row r="8" spans="1:15" s="177" customFormat="1" ht="24" customHeight="1">
      <c r="A8" s="159"/>
      <c r="C8" s="458" t="s">
        <v>242</v>
      </c>
      <c r="D8" s="459"/>
      <c r="E8" s="459"/>
      <c r="F8" s="460"/>
      <c r="G8" s="458" t="s">
        <v>319</v>
      </c>
      <c r="H8" s="460"/>
      <c r="I8" s="458" t="s">
        <v>320</v>
      </c>
      <c r="J8" s="460"/>
      <c r="K8" s="458" t="s">
        <v>321</v>
      </c>
      <c r="L8" s="460"/>
      <c r="M8" s="458" t="s">
        <v>322</v>
      </c>
      <c r="N8" s="459"/>
      <c r="O8" s="190" t="s">
        <v>43</v>
      </c>
    </row>
    <row r="9" spans="1:15" s="2" customFormat="1">
      <c r="A9" s="1"/>
      <c r="C9" s="387"/>
      <c r="D9" s="4"/>
      <c r="E9" s="4"/>
      <c r="F9" s="191" t="s">
        <v>323</v>
      </c>
      <c r="G9" s="192" t="s">
        <v>324</v>
      </c>
      <c r="H9" s="193" t="s">
        <v>325</v>
      </c>
      <c r="I9" s="194" t="s">
        <v>243</v>
      </c>
      <c r="J9" s="193" t="s">
        <v>325</v>
      </c>
      <c r="K9" s="193" t="s">
        <v>324</v>
      </c>
      <c r="L9" s="194" t="s">
        <v>325</v>
      </c>
      <c r="M9" s="193" t="s">
        <v>324</v>
      </c>
      <c r="N9" s="192" t="s">
        <v>325</v>
      </c>
      <c r="O9" s="195" t="s">
        <v>326</v>
      </c>
    </row>
    <row r="10" spans="1:15" s="2" customFormat="1">
      <c r="A10" s="1" t="s">
        <v>0</v>
      </c>
      <c r="C10" s="388" t="s">
        <v>294</v>
      </c>
      <c r="D10" s="1" t="s">
        <v>235</v>
      </c>
      <c r="E10" s="1" t="s">
        <v>241</v>
      </c>
      <c r="F10" s="196" t="s">
        <v>327</v>
      </c>
      <c r="G10" s="197">
        <v>176100</v>
      </c>
      <c r="H10" s="198">
        <v>6.2E-2</v>
      </c>
      <c r="I10" s="199" t="s">
        <v>327</v>
      </c>
      <c r="J10" s="198">
        <v>1.4500000000000001E-2</v>
      </c>
      <c r="K10" s="200">
        <v>7000</v>
      </c>
      <c r="L10" s="201">
        <v>6.0000000000000001E-3</v>
      </c>
      <c r="M10" s="200">
        <v>11400</v>
      </c>
      <c r="N10" s="202">
        <v>7.0000000000000001E-3</v>
      </c>
      <c r="O10" s="198" t="s">
        <v>328</v>
      </c>
    </row>
    <row r="11" spans="1:15" s="2" customFormat="1">
      <c r="A11" s="36" t="s">
        <v>21</v>
      </c>
      <c r="C11" s="389">
        <v>1</v>
      </c>
      <c r="D11" s="203">
        <f>C11+1</f>
        <v>2</v>
      </c>
      <c r="E11" s="203">
        <f>D11+1</f>
        <v>3</v>
      </c>
      <c r="F11" s="204">
        <v>4</v>
      </c>
      <c r="G11" s="203">
        <f t="shared" ref="G11:O11" si="0">F11+1</f>
        <v>5</v>
      </c>
      <c r="H11" s="205">
        <f t="shared" si="0"/>
        <v>6</v>
      </c>
      <c r="I11" s="203">
        <f t="shared" si="0"/>
        <v>7</v>
      </c>
      <c r="J11" s="205">
        <f t="shared" si="0"/>
        <v>8</v>
      </c>
      <c r="K11" s="205">
        <f t="shared" si="0"/>
        <v>9</v>
      </c>
      <c r="L11" s="203">
        <f t="shared" si="0"/>
        <v>10</v>
      </c>
      <c r="M11" s="205">
        <f t="shared" si="0"/>
        <v>11</v>
      </c>
      <c r="N11" s="205">
        <f t="shared" si="0"/>
        <v>12</v>
      </c>
      <c r="O11" s="205">
        <f t="shared" si="0"/>
        <v>13</v>
      </c>
    </row>
    <row r="12" spans="1:15" s="2" customFormat="1">
      <c r="A12" s="1"/>
      <c r="C12" s="9"/>
      <c r="D12" s="1"/>
      <c r="E12" s="1"/>
    </row>
    <row r="13" spans="1:15" s="2" customFormat="1">
      <c r="A13" s="1">
        <v>1</v>
      </c>
      <c r="C13" s="351" t="s">
        <v>329</v>
      </c>
      <c r="D13" s="1"/>
      <c r="E13" s="99"/>
    </row>
    <row r="14" spans="1:15" s="2" customFormat="1">
      <c r="A14" s="1">
        <v>2</v>
      </c>
      <c r="C14" s="9">
        <v>1</v>
      </c>
      <c r="D14" s="1" t="s">
        <v>418</v>
      </c>
      <c r="E14" s="1" t="s">
        <v>123</v>
      </c>
      <c r="F14" s="127">
        <v>0</v>
      </c>
      <c r="G14" s="206">
        <f>IF($F14&lt;G$10,$F14,G$10)</f>
        <v>0</v>
      </c>
      <c r="H14" s="207">
        <f t="shared" ref="H14:H33" si="1">G14*H$10</f>
        <v>0</v>
      </c>
      <c r="I14" s="169">
        <f>F14</f>
        <v>0</v>
      </c>
      <c r="J14" s="207">
        <f t="shared" ref="J14:J33" si="2">I14*J$10</f>
        <v>0</v>
      </c>
      <c r="K14" s="206">
        <f>IF($F14&lt;K$10,$F14,K$10)</f>
        <v>0</v>
      </c>
      <c r="L14" s="207">
        <f t="shared" ref="L14:L33" si="3">K14*L$10</f>
        <v>0</v>
      </c>
      <c r="M14" s="206">
        <f t="shared" ref="M14:M33" si="4">IF($F14&lt;M$10,$F14,M$10)</f>
        <v>0</v>
      </c>
      <c r="N14" s="207">
        <f t="shared" ref="N14:N33" si="5">M14*N$10</f>
        <v>0</v>
      </c>
      <c r="O14" s="207">
        <f t="shared" ref="O14:O33" si="6">H14+J14+L14+N14</f>
        <v>0</v>
      </c>
    </row>
    <row r="15" spans="1:15" s="2" customFormat="1">
      <c r="A15" s="1">
        <v>3</v>
      </c>
      <c r="C15" s="9">
        <v>1</v>
      </c>
      <c r="D15" s="1" t="s">
        <v>419</v>
      </c>
      <c r="E15" s="1"/>
      <c r="F15" s="127">
        <v>155000</v>
      </c>
      <c r="G15" s="206">
        <f t="shared" ref="G15:G36" si="7">IF($F15&lt;G$10,$F15,G$10)</f>
        <v>155000</v>
      </c>
      <c r="H15" s="207">
        <f>G15*H$10</f>
        <v>9610</v>
      </c>
      <c r="I15" s="169">
        <f t="shared" ref="I15:I36" si="8">F15</f>
        <v>155000</v>
      </c>
      <c r="J15" s="207">
        <f>I15*J$10</f>
        <v>2247.5</v>
      </c>
      <c r="K15" s="206">
        <f t="shared" ref="K15:K36" si="9">IF($F15&lt;K$10,$F15,K$10)</f>
        <v>7000</v>
      </c>
      <c r="L15" s="207">
        <f>K15*L$10</f>
        <v>42</v>
      </c>
      <c r="M15" s="206">
        <f t="shared" si="4"/>
        <v>11400</v>
      </c>
      <c r="N15" s="207">
        <f>M15*N$10</f>
        <v>79.8</v>
      </c>
      <c r="O15" s="207">
        <f t="shared" si="6"/>
        <v>11979.3</v>
      </c>
    </row>
    <row r="16" spans="1:15" s="2" customFormat="1">
      <c r="A16" s="1">
        <v>4</v>
      </c>
      <c r="C16" s="9">
        <v>1</v>
      </c>
      <c r="D16" s="1" t="s">
        <v>420</v>
      </c>
      <c r="E16" s="1"/>
      <c r="F16" s="127">
        <v>130697</v>
      </c>
      <c r="G16" s="206">
        <f t="shared" si="7"/>
        <v>130697</v>
      </c>
      <c r="H16" s="207">
        <f t="shared" si="1"/>
        <v>8103.2139999999999</v>
      </c>
      <c r="I16" s="169">
        <f t="shared" si="8"/>
        <v>130697</v>
      </c>
      <c r="J16" s="207">
        <f t="shared" si="2"/>
        <v>1895.1065000000001</v>
      </c>
      <c r="K16" s="206">
        <f t="shared" si="9"/>
        <v>7000</v>
      </c>
      <c r="L16" s="207">
        <f t="shared" si="3"/>
        <v>42</v>
      </c>
      <c r="M16" s="206">
        <f t="shared" si="4"/>
        <v>11400</v>
      </c>
      <c r="N16" s="207">
        <f t="shared" si="5"/>
        <v>79.8</v>
      </c>
      <c r="O16" s="207">
        <f t="shared" si="6"/>
        <v>10120.120499999999</v>
      </c>
    </row>
    <row r="17" spans="1:15" s="2" customFormat="1">
      <c r="A17" s="1">
        <v>5</v>
      </c>
      <c r="C17" s="9">
        <v>1</v>
      </c>
      <c r="D17" s="1" t="s">
        <v>421</v>
      </c>
      <c r="E17" s="1"/>
      <c r="F17" s="127">
        <v>130697</v>
      </c>
      <c r="G17" s="206">
        <f t="shared" si="7"/>
        <v>130697</v>
      </c>
      <c r="H17" s="207">
        <f t="shared" si="1"/>
        <v>8103.2139999999999</v>
      </c>
      <c r="I17" s="169">
        <f t="shared" si="8"/>
        <v>130697</v>
      </c>
      <c r="J17" s="207">
        <f t="shared" si="2"/>
        <v>1895.1065000000001</v>
      </c>
      <c r="K17" s="206">
        <f t="shared" si="9"/>
        <v>7000</v>
      </c>
      <c r="L17" s="207">
        <f t="shared" si="3"/>
        <v>42</v>
      </c>
      <c r="M17" s="206">
        <f t="shared" si="4"/>
        <v>11400</v>
      </c>
      <c r="N17" s="207">
        <f t="shared" si="5"/>
        <v>79.8</v>
      </c>
      <c r="O17" s="207">
        <f t="shared" si="6"/>
        <v>10120.120499999999</v>
      </c>
    </row>
    <row r="18" spans="1:15" s="2" customFormat="1">
      <c r="A18" s="1">
        <v>6</v>
      </c>
      <c r="C18" s="9">
        <v>1</v>
      </c>
      <c r="D18" s="1" t="s">
        <v>422</v>
      </c>
      <c r="E18" s="1"/>
      <c r="F18" s="127">
        <v>325000</v>
      </c>
      <c r="G18" s="206">
        <f t="shared" si="7"/>
        <v>176100</v>
      </c>
      <c r="H18" s="207">
        <f t="shared" si="1"/>
        <v>10918.2</v>
      </c>
      <c r="I18" s="169">
        <f t="shared" si="8"/>
        <v>325000</v>
      </c>
      <c r="J18" s="207">
        <f t="shared" si="2"/>
        <v>4712.5</v>
      </c>
      <c r="K18" s="206">
        <f t="shared" si="9"/>
        <v>7000</v>
      </c>
      <c r="L18" s="207">
        <f t="shared" si="3"/>
        <v>42</v>
      </c>
      <c r="M18" s="206">
        <f t="shared" si="4"/>
        <v>11400</v>
      </c>
      <c r="N18" s="207">
        <f t="shared" si="5"/>
        <v>79.8</v>
      </c>
      <c r="O18" s="207">
        <f t="shared" si="6"/>
        <v>15752.5</v>
      </c>
    </row>
    <row r="19" spans="1:15" s="2" customFormat="1">
      <c r="A19" s="1">
        <v>7</v>
      </c>
      <c r="C19" s="9">
        <v>1</v>
      </c>
      <c r="D19" s="1" t="s">
        <v>423</v>
      </c>
      <c r="E19" s="1"/>
      <c r="F19" s="127">
        <v>109862</v>
      </c>
      <c r="G19" s="206">
        <f t="shared" si="7"/>
        <v>109862</v>
      </c>
      <c r="H19" s="207">
        <f t="shared" si="1"/>
        <v>6811.4439999999995</v>
      </c>
      <c r="I19" s="169">
        <f t="shared" si="8"/>
        <v>109862</v>
      </c>
      <c r="J19" s="207">
        <f t="shared" si="2"/>
        <v>1592.999</v>
      </c>
      <c r="K19" s="206">
        <f t="shared" si="9"/>
        <v>7000</v>
      </c>
      <c r="L19" s="207">
        <f t="shared" si="3"/>
        <v>42</v>
      </c>
      <c r="M19" s="206">
        <f t="shared" si="4"/>
        <v>11400</v>
      </c>
      <c r="N19" s="207">
        <f t="shared" si="5"/>
        <v>79.8</v>
      </c>
      <c r="O19" s="207">
        <f t="shared" si="6"/>
        <v>8526.2429999999986</v>
      </c>
    </row>
    <row r="20" spans="1:15" s="2" customFormat="1">
      <c r="A20" s="1">
        <v>8</v>
      </c>
      <c r="C20" s="9">
        <v>1</v>
      </c>
      <c r="D20" s="1" t="s">
        <v>424</v>
      </c>
      <c r="E20" s="1"/>
      <c r="F20" s="127">
        <v>106403</v>
      </c>
      <c r="G20" s="206">
        <f t="shared" si="7"/>
        <v>106403</v>
      </c>
      <c r="H20" s="207">
        <f t="shared" si="1"/>
        <v>6596.9859999999999</v>
      </c>
      <c r="I20" s="169">
        <f t="shared" si="8"/>
        <v>106403</v>
      </c>
      <c r="J20" s="207">
        <f t="shared" si="2"/>
        <v>1542.8435000000002</v>
      </c>
      <c r="K20" s="206">
        <f t="shared" si="9"/>
        <v>7000</v>
      </c>
      <c r="L20" s="207">
        <f t="shared" si="3"/>
        <v>42</v>
      </c>
      <c r="M20" s="206">
        <f t="shared" si="4"/>
        <v>11400</v>
      </c>
      <c r="N20" s="207">
        <f t="shared" si="5"/>
        <v>79.8</v>
      </c>
      <c r="O20" s="207">
        <f t="shared" si="6"/>
        <v>8261.6294999999991</v>
      </c>
    </row>
    <row r="21" spans="1:15" s="2" customFormat="1">
      <c r="A21" s="1">
        <v>9</v>
      </c>
      <c r="C21" s="9">
        <v>1</v>
      </c>
      <c r="D21" s="1" t="s">
        <v>425</v>
      </c>
      <c r="E21" s="1"/>
      <c r="F21" s="127">
        <v>120870</v>
      </c>
      <c r="G21" s="206">
        <f t="shared" si="7"/>
        <v>120870</v>
      </c>
      <c r="H21" s="207">
        <f t="shared" si="1"/>
        <v>7493.94</v>
      </c>
      <c r="I21" s="169">
        <f t="shared" si="8"/>
        <v>120870</v>
      </c>
      <c r="J21" s="207">
        <f t="shared" si="2"/>
        <v>1752.615</v>
      </c>
      <c r="K21" s="206">
        <f t="shared" si="9"/>
        <v>7000</v>
      </c>
      <c r="L21" s="207">
        <f t="shared" si="3"/>
        <v>42</v>
      </c>
      <c r="M21" s="206">
        <f t="shared" si="4"/>
        <v>11400</v>
      </c>
      <c r="N21" s="207">
        <f t="shared" si="5"/>
        <v>79.8</v>
      </c>
      <c r="O21" s="207">
        <f t="shared" si="6"/>
        <v>9368.3549999999996</v>
      </c>
    </row>
    <row r="22" spans="1:15" s="2" customFormat="1">
      <c r="A22" s="1">
        <v>10</v>
      </c>
      <c r="C22" s="9">
        <v>1</v>
      </c>
      <c r="D22" s="1" t="s">
        <v>426</v>
      </c>
      <c r="E22" s="1"/>
      <c r="F22" s="127">
        <v>117874</v>
      </c>
      <c r="G22" s="206">
        <f t="shared" si="7"/>
        <v>117874</v>
      </c>
      <c r="H22" s="207">
        <f t="shared" si="1"/>
        <v>7308.1880000000001</v>
      </c>
      <c r="I22" s="169">
        <f t="shared" si="8"/>
        <v>117874</v>
      </c>
      <c r="J22" s="207">
        <f t="shared" si="2"/>
        <v>1709.173</v>
      </c>
      <c r="K22" s="206">
        <f t="shared" si="9"/>
        <v>7000</v>
      </c>
      <c r="L22" s="207">
        <f t="shared" si="3"/>
        <v>42</v>
      </c>
      <c r="M22" s="206">
        <f t="shared" si="4"/>
        <v>11400</v>
      </c>
      <c r="N22" s="207">
        <f t="shared" si="5"/>
        <v>79.8</v>
      </c>
      <c r="O22" s="207">
        <f t="shared" si="6"/>
        <v>9139.1610000000001</v>
      </c>
    </row>
    <row r="23" spans="1:15" s="2" customFormat="1">
      <c r="A23" s="1">
        <v>11</v>
      </c>
      <c r="C23" s="9">
        <v>1</v>
      </c>
      <c r="D23" s="1" t="s">
        <v>427</v>
      </c>
      <c r="E23" s="1"/>
      <c r="F23" s="127">
        <v>94726</v>
      </c>
      <c r="G23" s="206">
        <f t="shared" si="7"/>
        <v>94726</v>
      </c>
      <c r="H23" s="207">
        <f t="shared" si="1"/>
        <v>5873.0119999999997</v>
      </c>
      <c r="I23" s="169">
        <f t="shared" si="8"/>
        <v>94726</v>
      </c>
      <c r="J23" s="207">
        <f t="shared" si="2"/>
        <v>1373.527</v>
      </c>
      <c r="K23" s="206">
        <f t="shared" si="9"/>
        <v>7000</v>
      </c>
      <c r="L23" s="207">
        <f t="shared" si="3"/>
        <v>42</v>
      </c>
      <c r="M23" s="206">
        <f t="shared" si="4"/>
        <v>11400</v>
      </c>
      <c r="N23" s="207">
        <f t="shared" si="5"/>
        <v>79.8</v>
      </c>
      <c r="O23" s="207">
        <f t="shared" si="6"/>
        <v>7368.3389999999999</v>
      </c>
    </row>
    <row r="24" spans="1:15" s="2" customFormat="1">
      <c r="A24" s="1">
        <v>12</v>
      </c>
      <c r="C24" s="9">
        <v>1</v>
      </c>
      <c r="D24" s="1" t="s">
        <v>428</v>
      </c>
      <c r="E24" s="1"/>
      <c r="F24" s="127">
        <v>109862</v>
      </c>
      <c r="G24" s="206">
        <f t="shared" si="7"/>
        <v>109862</v>
      </c>
      <c r="H24" s="207">
        <f t="shared" si="1"/>
        <v>6811.4439999999995</v>
      </c>
      <c r="I24" s="169">
        <f t="shared" si="8"/>
        <v>109862</v>
      </c>
      <c r="J24" s="207">
        <f t="shared" si="2"/>
        <v>1592.999</v>
      </c>
      <c r="K24" s="206">
        <f t="shared" si="9"/>
        <v>7000</v>
      </c>
      <c r="L24" s="207">
        <f t="shared" si="3"/>
        <v>42</v>
      </c>
      <c r="M24" s="206">
        <f t="shared" si="4"/>
        <v>11400</v>
      </c>
      <c r="N24" s="207">
        <f t="shared" si="5"/>
        <v>79.8</v>
      </c>
      <c r="O24" s="207">
        <f t="shared" si="6"/>
        <v>8526.2429999999986</v>
      </c>
    </row>
    <row r="25" spans="1:15" s="2" customFormat="1">
      <c r="A25" s="1">
        <v>13</v>
      </c>
      <c r="C25" s="9">
        <v>1</v>
      </c>
      <c r="D25" s="1" t="s">
        <v>429</v>
      </c>
      <c r="E25" s="1"/>
      <c r="F25" s="127">
        <v>130697</v>
      </c>
      <c r="G25" s="206">
        <f t="shared" si="7"/>
        <v>130697</v>
      </c>
      <c r="H25" s="207">
        <f t="shared" si="1"/>
        <v>8103.2139999999999</v>
      </c>
      <c r="I25" s="169">
        <f t="shared" si="8"/>
        <v>130697</v>
      </c>
      <c r="J25" s="207">
        <f t="shared" si="2"/>
        <v>1895.1065000000001</v>
      </c>
      <c r="K25" s="206">
        <f t="shared" si="9"/>
        <v>7000</v>
      </c>
      <c r="L25" s="207">
        <f t="shared" si="3"/>
        <v>42</v>
      </c>
      <c r="M25" s="206">
        <f t="shared" si="4"/>
        <v>11400</v>
      </c>
      <c r="N25" s="207">
        <f t="shared" si="5"/>
        <v>79.8</v>
      </c>
      <c r="O25" s="207">
        <f t="shared" si="6"/>
        <v>10120.120499999999</v>
      </c>
    </row>
    <row r="26" spans="1:15" s="2" customFormat="1">
      <c r="A26" s="1">
        <v>14</v>
      </c>
      <c r="C26" s="9">
        <v>1</v>
      </c>
      <c r="D26" s="1" t="s">
        <v>430</v>
      </c>
      <c r="E26" s="1"/>
      <c r="F26" s="127">
        <v>97500</v>
      </c>
      <c r="G26" s="206">
        <f t="shared" si="7"/>
        <v>97500</v>
      </c>
      <c r="H26" s="207">
        <f t="shared" si="1"/>
        <v>6045</v>
      </c>
      <c r="I26" s="169">
        <f t="shared" si="8"/>
        <v>97500</v>
      </c>
      <c r="J26" s="207">
        <f t="shared" si="2"/>
        <v>1413.75</v>
      </c>
      <c r="K26" s="206">
        <f t="shared" si="9"/>
        <v>7000</v>
      </c>
      <c r="L26" s="207">
        <f t="shared" si="3"/>
        <v>42</v>
      </c>
      <c r="M26" s="206">
        <f t="shared" si="4"/>
        <v>11400</v>
      </c>
      <c r="N26" s="207">
        <f t="shared" si="5"/>
        <v>79.8</v>
      </c>
      <c r="O26" s="207">
        <f t="shared" si="6"/>
        <v>7580.55</v>
      </c>
    </row>
    <row r="27" spans="1:15" s="2" customFormat="1">
      <c r="A27" s="1">
        <v>15</v>
      </c>
      <c r="C27" s="9">
        <v>1</v>
      </c>
      <c r="D27" s="1" t="s">
        <v>431</v>
      </c>
      <c r="E27" s="1"/>
      <c r="F27" s="127">
        <v>130697</v>
      </c>
      <c r="G27" s="206">
        <f t="shared" si="7"/>
        <v>130697</v>
      </c>
      <c r="H27" s="207">
        <f t="shared" si="1"/>
        <v>8103.2139999999999</v>
      </c>
      <c r="I27" s="169">
        <f t="shared" si="8"/>
        <v>130697</v>
      </c>
      <c r="J27" s="207">
        <f t="shared" si="2"/>
        <v>1895.1065000000001</v>
      </c>
      <c r="K27" s="206">
        <f t="shared" si="9"/>
        <v>7000</v>
      </c>
      <c r="L27" s="207">
        <f t="shared" si="3"/>
        <v>42</v>
      </c>
      <c r="M27" s="206">
        <f t="shared" si="4"/>
        <v>11400</v>
      </c>
      <c r="N27" s="207">
        <f t="shared" si="5"/>
        <v>79.8</v>
      </c>
      <c r="O27" s="207">
        <f t="shared" si="6"/>
        <v>10120.120499999999</v>
      </c>
    </row>
    <row r="28" spans="1:15" s="2" customFormat="1">
      <c r="A28" s="1">
        <v>16</v>
      </c>
      <c r="C28" s="9">
        <v>1</v>
      </c>
      <c r="D28" s="1" t="s">
        <v>432</v>
      </c>
      <c r="E28" s="1"/>
      <c r="F28" s="127">
        <v>118603</v>
      </c>
      <c r="G28" s="206">
        <f t="shared" si="7"/>
        <v>118603</v>
      </c>
      <c r="H28" s="207">
        <f t="shared" si="1"/>
        <v>7353.3859999999995</v>
      </c>
      <c r="I28" s="169">
        <f t="shared" si="8"/>
        <v>118603</v>
      </c>
      <c r="J28" s="207">
        <f t="shared" si="2"/>
        <v>1719.7435</v>
      </c>
      <c r="K28" s="206">
        <f t="shared" si="9"/>
        <v>7000</v>
      </c>
      <c r="L28" s="207">
        <f t="shared" si="3"/>
        <v>42</v>
      </c>
      <c r="M28" s="206">
        <f t="shared" si="4"/>
        <v>11400</v>
      </c>
      <c r="N28" s="207">
        <f t="shared" si="5"/>
        <v>79.8</v>
      </c>
      <c r="O28" s="207">
        <f t="shared" si="6"/>
        <v>9194.9294999999984</v>
      </c>
    </row>
    <row r="29" spans="1:15" s="2" customFormat="1">
      <c r="A29" s="1">
        <v>17</v>
      </c>
      <c r="C29" s="9">
        <v>1</v>
      </c>
      <c r="D29" s="1" t="s">
        <v>433</v>
      </c>
      <c r="E29" s="1"/>
      <c r="F29" s="127">
        <v>177000</v>
      </c>
      <c r="G29" s="206">
        <f t="shared" si="7"/>
        <v>176100</v>
      </c>
      <c r="H29" s="207">
        <f t="shared" si="1"/>
        <v>10918.2</v>
      </c>
      <c r="I29" s="169">
        <f t="shared" si="8"/>
        <v>177000</v>
      </c>
      <c r="J29" s="207">
        <f t="shared" si="2"/>
        <v>2566.5</v>
      </c>
      <c r="K29" s="206">
        <f t="shared" si="9"/>
        <v>7000</v>
      </c>
      <c r="L29" s="207">
        <f t="shared" si="3"/>
        <v>42</v>
      </c>
      <c r="M29" s="206">
        <f t="shared" si="4"/>
        <v>11400</v>
      </c>
      <c r="N29" s="207">
        <f t="shared" si="5"/>
        <v>79.8</v>
      </c>
      <c r="O29" s="207">
        <f t="shared" si="6"/>
        <v>13606.5</v>
      </c>
    </row>
    <row r="30" spans="1:15" s="2" customFormat="1">
      <c r="A30" s="1">
        <v>18</v>
      </c>
      <c r="C30" s="9">
        <v>1</v>
      </c>
      <c r="D30" s="1" t="s">
        <v>434</v>
      </c>
      <c r="E30" s="1"/>
      <c r="F30" s="127">
        <v>155875</v>
      </c>
      <c r="G30" s="206">
        <f t="shared" si="7"/>
        <v>155875</v>
      </c>
      <c r="H30" s="207">
        <f t="shared" si="1"/>
        <v>9664.25</v>
      </c>
      <c r="I30" s="169">
        <f t="shared" si="8"/>
        <v>155875</v>
      </c>
      <c r="J30" s="207">
        <f t="shared" si="2"/>
        <v>2260.1875</v>
      </c>
      <c r="K30" s="206">
        <f t="shared" si="9"/>
        <v>7000</v>
      </c>
      <c r="L30" s="207">
        <f t="shared" si="3"/>
        <v>42</v>
      </c>
      <c r="M30" s="206">
        <f t="shared" si="4"/>
        <v>11400</v>
      </c>
      <c r="N30" s="207">
        <f t="shared" si="5"/>
        <v>79.8</v>
      </c>
      <c r="O30" s="207">
        <f t="shared" si="6"/>
        <v>12046.237499999999</v>
      </c>
    </row>
    <row r="31" spans="1:15" s="2" customFormat="1">
      <c r="A31" s="1">
        <v>19</v>
      </c>
      <c r="C31" s="9">
        <v>1</v>
      </c>
      <c r="D31" s="1" t="s">
        <v>435</v>
      </c>
      <c r="E31" s="1" t="s">
        <v>123</v>
      </c>
      <c r="F31" s="127">
        <v>0</v>
      </c>
      <c r="G31" s="206">
        <f t="shared" si="7"/>
        <v>0</v>
      </c>
      <c r="H31" s="207">
        <f t="shared" si="1"/>
        <v>0</v>
      </c>
      <c r="I31" s="169">
        <f t="shared" si="8"/>
        <v>0</v>
      </c>
      <c r="J31" s="207">
        <f t="shared" si="2"/>
        <v>0</v>
      </c>
      <c r="K31" s="206">
        <f t="shared" si="9"/>
        <v>0</v>
      </c>
      <c r="L31" s="207">
        <f t="shared" si="3"/>
        <v>0</v>
      </c>
      <c r="M31" s="206">
        <f t="shared" si="4"/>
        <v>0</v>
      </c>
      <c r="N31" s="207">
        <f t="shared" si="5"/>
        <v>0</v>
      </c>
      <c r="O31" s="207">
        <f t="shared" si="6"/>
        <v>0</v>
      </c>
    </row>
    <row r="32" spans="1:15" s="2" customFormat="1">
      <c r="A32" s="1">
        <v>20</v>
      </c>
      <c r="C32" s="9">
        <v>1</v>
      </c>
      <c r="D32" s="1" t="s">
        <v>436</v>
      </c>
      <c r="E32" s="1" t="s">
        <v>225</v>
      </c>
      <c r="F32" s="127">
        <v>133000</v>
      </c>
      <c r="G32" s="206">
        <f t="shared" si="7"/>
        <v>133000</v>
      </c>
      <c r="H32" s="207">
        <f t="shared" si="1"/>
        <v>8246</v>
      </c>
      <c r="I32" s="169">
        <f t="shared" si="8"/>
        <v>133000</v>
      </c>
      <c r="J32" s="207">
        <f t="shared" si="2"/>
        <v>1928.5</v>
      </c>
      <c r="K32" s="206">
        <f t="shared" si="9"/>
        <v>7000</v>
      </c>
      <c r="L32" s="207">
        <f t="shared" si="3"/>
        <v>42</v>
      </c>
      <c r="M32" s="206">
        <f t="shared" si="4"/>
        <v>11400</v>
      </c>
      <c r="N32" s="207">
        <f t="shared" si="5"/>
        <v>79.8</v>
      </c>
      <c r="O32" s="207">
        <f t="shared" si="6"/>
        <v>10296.299999999999</v>
      </c>
    </row>
    <row r="33" spans="1:15" s="2" customFormat="1">
      <c r="A33" s="1">
        <v>21</v>
      </c>
      <c r="C33" s="9">
        <v>1</v>
      </c>
      <c r="D33" s="1" t="s">
        <v>437</v>
      </c>
      <c r="E33" s="1" t="s">
        <v>225</v>
      </c>
      <c r="F33" s="127">
        <v>109862</v>
      </c>
      <c r="G33" s="206">
        <f t="shared" si="7"/>
        <v>109862</v>
      </c>
      <c r="H33" s="207">
        <f t="shared" si="1"/>
        <v>6811.4439999999995</v>
      </c>
      <c r="I33" s="169">
        <f t="shared" si="8"/>
        <v>109862</v>
      </c>
      <c r="J33" s="207">
        <f t="shared" si="2"/>
        <v>1592.999</v>
      </c>
      <c r="K33" s="206">
        <f t="shared" si="9"/>
        <v>7000</v>
      </c>
      <c r="L33" s="207">
        <f t="shared" si="3"/>
        <v>42</v>
      </c>
      <c r="M33" s="206">
        <f t="shared" si="4"/>
        <v>11400</v>
      </c>
      <c r="N33" s="207">
        <f t="shared" si="5"/>
        <v>79.8</v>
      </c>
      <c r="O33" s="207">
        <f t="shared" si="6"/>
        <v>8526.2429999999986</v>
      </c>
    </row>
    <row r="34" spans="1:15" s="2" customFormat="1">
      <c r="A34" s="1">
        <v>22</v>
      </c>
      <c r="C34" s="9">
        <v>1</v>
      </c>
      <c r="D34" s="1" t="s">
        <v>438</v>
      </c>
      <c r="E34" s="1" t="s">
        <v>225</v>
      </c>
      <c r="F34" s="127">
        <v>139600</v>
      </c>
      <c r="G34" s="206">
        <f t="shared" si="7"/>
        <v>139600</v>
      </c>
      <c r="H34" s="207">
        <f>G34*H$10</f>
        <v>8655.2000000000007</v>
      </c>
      <c r="I34" s="169">
        <f t="shared" si="8"/>
        <v>139600</v>
      </c>
      <c r="J34" s="207">
        <f>I34*J$10</f>
        <v>2024.2</v>
      </c>
      <c r="K34" s="206">
        <f t="shared" si="9"/>
        <v>7000</v>
      </c>
      <c r="L34" s="207">
        <f>K34*L$10</f>
        <v>42</v>
      </c>
      <c r="M34" s="206">
        <f>IF($F34&lt;M$10,$F34,M$10)</f>
        <v>11400</v>
      </c>
      <c r="N34" s="207">
        <f>M34*N$10</f>
        <v>79.8</v>
      </c>
      <c r="O34" s="207">
        <f>H34+J34+L34+N34</f>
        <v>10801.2</v>
      </c>
    </row>
    <row r="35" spans="1:15" s="2" customFormat="1">
      <c r="A35" s="1">
        <v>23</v>
      </c>
      <c r="C35" s="9">
        <v>1</v>
      </c>
      <c r="D35" s="1" t="s">
        <v>439</v>
      </c>
      <c r="E35" s="1" t="s">
        <v>225</v>
      </c>
      <c r="F35" s="127">
        <v>124870</v>
      </c>
      <c r="G35" s="206">
        <f t="shared" si="7"/>
        <v>124870</v>
      </c>
      <c r="H35" s="207">
        <f t="shared" ref="H35:J154" si="10">G35*H$10</f>
        <v>7741.94</v>
      </c>
      <c r="I35" s="169">
        <f t="shared" si="8"/>
        <v>124870</v>
      </c>
      <c r="J35" s="207">
        <f t="shared" si="10"/>
        <v>1810.615</v>
      </c>
      <c r="K35" s="206">
        <f t="shared" si="9"/>
        <v>7000</v>
      </c>
      <c r="L35" s="207">
        <f t="shared" ref="L35:L36" si="11">K35*L$10</f>
        <v>42</v>
      </c>
      <c r="M35" s="206">
        <f>IF($E35&lt;M$10,$E35,M$10)</f>
        <v>11400</v>
      </c>
      <c r="N35" s="207">
        <f t="shared" ref="N35:N36" si="12">M35*N$10</f>
        <v>79.8</v>
      </c>
      <c r="O35" s="207">
        <f t="shared" ref="O35:O184" si="13">H35+J35+L35+N35</f>
        <v>9674.3549999999996</v>
      </c>
    </row>
    <row r="36" spans="1:15" s="2" customFormat="1">
      <c r="A36" s="1">
        <v>24</v>
      </c>
      <c r="C36" s="9">
        <v>1</v>
      </c>
      <c r="D36" s="1" t="s">
        <v>440</v>
      </c>
      <c r="E36" s="1" t="s">
        <v>225</v>
      </c>
      <c r="F36" s="127">
        <v>190000</v>
      </c>
      <c r="G36" s="206">
        <f t="shared" si="7"/>
        <v>176100</v>
      </c>
      <c r="H36" s="207">
        <f t="shared" si="10"/>
        <v>10918.2</v>
      </c>
      <c r="I36" s="169">
        <f t="shared" si="8"/>
        <v>190000</v>
      </c>
      <c r="J36" s="207">
        <f t="shared" si="10"/>
        <v>2755</v>
      </c>
      <c r="K36" s="206">
        <f t="shared" si="9"/>
        <v>7000</v>
      </c>
      <c r="L36" s="207">
        <f t="shared" si="11"/>
        <v>42</v>
      </c>
      <c r="M36" s="206">
        <f>IF($E36&lt;M$10,$E36,M$10)</f>
        <v>11400</v>
      </c>
      <c r="N36" s="207">
        <f t="shared" si="12"/>
        <v>79.8</v>
      </c>
      <c r="O36" s="207">
        <f t="shared" si="13"/>
        <v>13795</v>
      </c>
    </row>
    <row r="37" spans="1:15" s="2" customFormat="1">
      <c r="A37" s="1">
        <v>25</v>
      </c>
      <c r="C37" s="147">
        <f>SUM(C14:C36)</f>
        <v>23</v>
      </c>
      <c r="D37" s="4" t="s">
        <v>22</v>
      </c>
      <c r="E37" s="4"/>
      <c r="F37" s="208">
        <f>SUM(F14:F36)</f>
        <v>2908695</v>
      </c>
      <c r="G37" s="208">
        <f>SUM(G14:G36)</f>
        <v>2744995</v>
      </c>
      <c r="H37" s="208">
        <f>SUM(H14:H36)</f>
        <v>170189.69000000003</v>
      </c>
      <c r="I37" s="208">
        <f>SUM(I14:I36)</f>
        <v>2908695</v>
      </c>
      <c r="J37" s="208">
        <f>SUM(J14:J36)</f>
        <v>42176.077499999999</v>
      </c>
      <c r="K37" s="208">
        <f t="shared" ref="K37:L37" si="14">SUM(K14:K36)</f>
        <v>147000</v>
      </c>
      <c r="L37" s="208">
        <f t="shared" si="14"/>
        <v>882</v>
      </c>
      <c r="M37" s="208">
        <f>SUM(M14:M36)</f>
        <v>239400</v>
      </c>
      <c r="N37" s="208">
        <f>SUM(N14:N36)</f>
        <v>1675.7999999999995</v>
      </c>
      <c r="O37" s="208">
        <f>SUM(O14:O36)</f>
        <v>214923.5675</v>
      </c>
    </row>
    <row r="38" spans="1:15" s="2" customFormat="1">
      <c r="A38" s="1">
        <v>26</v>
      </c>
      <c r="C38" s="9"/>
      <c r="D38" s="1"/>
      <c r="E38" s="1"/>
      <c r="F38" s="125"/>
      <c r="G38" s="206"/>
      <c r="H38" s="207"/>
      <c r="I38" s="206"/>
      <c r="J38" s="207"/>
      <c r="K38" s="206"/>
      <c r="L38" s="207"/>
      <c r="M38" s="206"/>
      <c r="N38" s="207"/>
      <c r="O38" s="207"/>
    </row>
    <row r="39" spans="1:15" s="2" customFormat="1">
      <c r="A39" s="1">
        <v>27</v>
      </c>
      <c r="C39" s="351" t="s">
        <v>297</v>
      </c>
      <c r="D39" s="1"/>
      <c r="E39" s="99"/>
      <c r="F39" s="87"/>
      <c r="G39" s="206"/>
      <c r="H39" s="207"/>
      <c r="I39" s="206"/>
      <c r="J39" s="207"/>
      <c r="K39" s="206"/>
      <c r="L39" s="207"/>
      <c r="M39" s="206"/>
      <c r="N39" s="207"/>
      <c r="O39" s="207"/>
    </row>
    <row r="40" spans="1:15" s="2" customFormat="1">
      <c r="A40" s="1">
        <v>28</v>
      </c>
      <c r="C40" s="9">
        <v>1</v>
      </c>
      <c r="D40" s="1" t="s">
        <v>443</v>
      </c>
      <c r="E40" s="1" t="s">
        <v>123</v>
      </c>
      <c r="F40" s="127">
        <v>0</v>
      </c>
      <c r="G40" s="206">
        <f t="shared" ref="G40:G103" si="15">IF($F40&lt;G$10,$F40,G$10)</f>
        <v>0</v>
      </c>
      <c r="H40" s="207">
        <f t="shared" si="10"/>
        <v>0</v>
      </c>
      <c r="I40" s="206">
        <f t="shared" ref="I40:I103" si="16">F40</f>
        <v>0</v>
      </c>
      <c r="J40" s="207">
        <f t="shared" si="10"/>
        <v>0</v>
      </c>
      <c r="K40" s="206">
        <f>IF($F40&lt;K$10,$F40,K$10)</f>
        <v>0</v>
      </c>
      <c r="L40" s="207">
        <f t="shared" ref="L40:L103" si="17">K40*L$10</f>
        <v>0</v>
      </c>
      <c r="M40" s="206">
        <f t="shared" ref="M40:M154" si="18">IF($F40&lt;M$10,$F40,M$10)</f>
        <v>0</v>
      </c>
      <c r="N40" s="207">
        <f t="shared" ref="N40:N103" si="19">M40*N$10</f>
        <v>0</v>
      </c>
      <c r="O40" s="207">
        <f t="shared" si="13"/>
        <v>0</v>
      </c>
    </row>
    <row r="41" spans="1:15" s="2" customFormat="1">
      <c r="A41" s="1">
        <v>29</v>
      </c>
      <c r="C41" s="9">
        <v>1</v>
      </c>
      <c r="D41" s="1" t="s">
        <v>444</v>
      </c>
      <c r="E41" s="1" t="s">
        <v>124</v>
      </c>
      <c r="F41" s="127">
        <v>139280.13</v>
      </c>
      <c r="G41" s="206">
        <f t="shared" si="15"/>
        <v>139280.13</v>
      </c>
      <c r="H41" s="207">
        <f t="shared" si="10"/>
        <v>8635.3680600000007</v>
      </c>
      <c r="I41" s="206">
        <f>F41</f>
        <v>139280.13</v>
      </c>
      <c r="J41" s="207">
        <f>I41*J$10</f>
        <v>2019.5618850000001</v>
      </c>
      <c r="K41" s="206">
        <f t="shared" ref="K41:K154" si="20">IF($F41&lt;K$10,$F41,K$10)</f>
        <v>7000</v>
      </c>
      <c r="L41" s="207">
        <f>K41*L$10</f>
        <v>42</v>
      </c>
      <c r="M41" s="206">
        <f t="shared" si="18"/>
        <v>11400</v>
      </c>
      <c r="N41" s="207">
        <f>M41*N$10</f>
        <v>79.8</v>
      </c>
      <c r="O41" s="207">
        <f t="shared" si="13"/>
        <v>10776.729944999999</v>
      </c>
    </row>
    <row r="42" spans="1:15" s="2" customFormat="1">
      <c r="A42" s="1">
        <v>30</v>
      </c>
      <c r="C42" s="9">
        <v>1</v>
      </c>
      <c r="D42" s="1" t="s">
        <v>445</v>
      </c>
      <c r="E42" s="1" t="s">
        <v>123</v>
      </c>
      <c r="F42" s="127">
        <v>0</v>
      </c>
      <c r="G42" s="206">
        <f t="shared" si="15"/>
        <v>0</v>
      </c>
      <c r="H42" s="207">
        <f t="shared" si="10"/>
        <v>0</v>
      </c>
      <c r="I42" s="206">
        <f t="shared" si="16"/>
        <v>0</v>
      </c>
      <c r="J42" s="207">
        <f t="shared" si="10"/>
        <v>0</v>
      </c>
      <c r="K42" s="206">
        <f t="shared" si="20"/>
        <v>0</v>
      </c>
      <c r="L42" s="207">
        <f t="shared" si="17"/>
        <v>0</v>
      </c>
      <c r="M42" s="206">
        <f t="shared" si="18"/>
        <v>0</v>
      </c>
      <c r="N42" s="207">
        <f t="shared" si="19"/>
        <v>0</v>
      </c>
      <c r="O42" s="207">
        <f t="shared" si="13"/>
        <v>0</v>
      </c>
    </row>
    <row r="43" spans="1:15" s="2" customFormat="1">
      <c r="A43" s="1">
        <v>31</v>
      </c>
      <c r="C43" s="9">
        <v>1</v>
      </c>
      <c r="D43" s="1" t="s">
        <v>446</v>
      </c>
      <c r="E43" s="1" t="s">
        <v>123</v>
      </c>
      <c r="F43" s="127">
        <v>0</v>
      </c>
      <c r="G43" s="206">
        <f t="shared" si="15"/>
        <v>0</v>
      </c>
      <c r="H43" s="207">
        <f t="shared" si="10"/>
        <v>0</v>
      </c>
      <c r="I43" s="206">
        <f t="shared" si="16"/>
        <v>0</v>
      </c>
      <c r="J43" s="207">
        <f t="shared" si="10"/>
        <v>0</v>
      </c>
      <c r="K43" s="206">
        <f t="shared" si="20"/>
        <v>0</v>
      </c>
      <c r="L43" s="207">
        <f t="shared" si="17"/>
        <v>0</v>
      </c>
      <c r="M43" s="206">
        <f t="shared" si="18"/>
        <v>0</v>
      </c>
      <c r="N43" s="207">
        <f t="shared" si="19"/>
        <v>0</v>
      </c>
      <c r="O43" s="207">
        <f t="shared" si="13"/>
        <v>0</v>
      </c>
    </row>
    <row r="44" spans="1:15" s="2" customFormat="1">
      <c r="A44" s="1">
        <v>32</v>
      </c>
      <c r="C44" s="9">
        <v>1</v>
      </c>
      <c r="D44" s="1" t="s">
        <v>447</v>
      </c>
      <c r="E44" s="1"/>
      <c r="F44" s="127">
        <v>61568</v>
      </c>
      <c r="G44" s="206">
        <f t="shared" si="15"/>
        <v>61568</v>
      </c>
      <c r="H44" s="207">
        <f t="shared" si="10"/>
        <v>3817.2159999999999</v>
      </c>
      <c r="I44" s="206">
        <f t="shared" si="16"/>
        <v>61568</v>
      </c>
      <c r="J44" s="207">
        <f t="shared" si="10"/>
        <v>892.73599999999999</v>
      </c>
      <c r="K44" s="206">
        <f t="shared" si="20"/>
        <v>7000</v>
      </c>
      <c r="L44" s="207">
        <f t="shared" si="17"/>
        <v>42</v>
      </c>
      <c r="M44" s="206">
        <f t="shared" si="18"/>
        <v>11400</v>
      </c>
      <c r="N44" s="207">
        <f t="shared" si="19"/>
        <v>79.8</v>
      </c>
      <c r="O44" s="207">
        <f t="shared" si="13"/>
        <v>4831.7520000000004</v>
      </c>
    </row>
    <row r="45" spans="1:15" s="2" customFormat="1">
      <c r="A45" s="1">
        <v>33</v>
      </c>
      <c r="C45" s="9">
        <v>1</v>
      </c>
      <c r="D45" s="1" t="s">
        <v>448</v>
      </c>
      <c r="E45" s="1" t="s">
        <v>123</v>
      </c>
      <c r="F45" s="127">
        <v>0</v>
      </c>
      <c r="G45" s="206">
        <f t="shared" si="15"/>
        <v>0</v>
      </c>
      <c r="H45" s="207">
        <f t="shared" si="10"/>
        <v>0</v>
      </c>
      <c r="I45" s="206">
        <f t="shared" si="16"/>
        <v>0</v>
      </c>
      <c r="J45" s="207">
        <f t="shared" si="10"/>
        <v>0</v>
      </c>
      <c r="K45" s="206">
        <f t="shared" si="20"/>
        <v>0</v>
      </c>
      <c r="L45" s="207">
        <f t="shared" si="17"/>
        <v>0</v>
      </c>
      <c r="M45" s="206">
        <f t="shared" si="18"/>
        <v>0</v>
      </c>
      <c r="N45" s="207">
        <f t="shared" si="19"/>
        <v>0</v>
      </c>
      <c r="O45" s="207">
        <f t="shared" si="13"/>
        <v>0</v>
      </c>
    </row>
    <row r="46" spans="1:15" s="2" customFormat="1">
      <c r="A46" s="1">
        <v>34</v>
      </c>
      <c r="C46" s="9">
        <v>1</v>
      </c>
      <c r="D46" s="1" t="s">
        <v>449</v>
      </c>
      <c r="E46" s="1" t="s">
        <v>124</v>
      </c>
      <c r="F46" s="127">
        <v>108049.23000000001</v>
      </c>
      <c r="G46" s="206">
        <f t="shared" si="15"/>
        <v>108049.23000000001</v>
      </c>
      <c r="H46" s="207">
        <f t="shared" si="10"/>
        <v>6699.0522600000004</v>
      </c>
      <c r="I46" s="206">
        <f t="shared" si="16"/>
        <v>108049.23000000001</v>
      </c>
      <c r="J46" s="207">
        <f t="shared" si="10"/>
        <v>1566.7138350000002</v>
      </c>
      <c r="K46" s="206">
        <f t="shared" si="20"/>
        <v>7000</v>
      </c>
      <c r="L46" s="207">
        <f t="shared" si="17"/>
        <v>42</v>
      </c>
      <c r="M46" s="206">
        <f t="shared" si="18"/>
        <v>11400</v>
      </c>
      <c r="N46" s="207">
        <f t="shared" si="19"/>
        <v>79.8</v>
      </c>
      <c r="O46" s="207">
        <f t="shared" si="13"/>
        <v>8387.5660950000001</v>
      </c>
    </row>
    <row r="47" spans="1:15" s="2" customFormat="1">
      <c r="A47" s="1">
        <v>35</v>
      </c>
      <c r="C47" s="9">
        <v>1</v>
      </c>
      <c r="D47" s="1" t="s">
        <v>450</v>
      </c>
      <c r="E47" s="1"/>
      <c r="F47" s="127">
        <v>0</v>
      </c>
      <c r="G47" s="206">
        <f t="shared" si="15"/>
        <v>0</v>
      </c>
      <c r="H47" s="207">
        <f t="shared" si="10"/>
        <v>0</v>
      </c>
      <c r="I47" s="206">
        <f t="shared" si="16"/>
        <v>0</v>
      </c>
      <c r="J47" s="207">
        <f t="shared" si="10"/>
        <v>0</v>
      </c>
      <c r="K47" s="206">
        <f t="shared" si="20"/>
        <v>0</v>
      </c>
      <c r="L47" s="207">
        <f t="shared" si="17"/>
        <v>0</v>
      </c>
      <c r="M47" s="206">
        <f t="shared" si="18"/>
        <v>0</v>
      </c>
      <c r="N47" s="207">
        <f t="shared" si="19"/>
        <v>0</v>
      </c>
      <c r="O47" s="207">
        <f t="shared" si="13"/>
        <v>0</v>
      </c>
    </row>
    <row r="48" spans="1:15" s="2" customFormat="1">
      <c r="A48" s="1">
        <v>36</v>
      </c>
      <c r="C48" s="9">
        <v>1</v>
      </c>
      <c r="D48" s="1" t="s">
        <v>451</v>
      </c>
      <c r="E48" s="1"/>
      <c r="F48" s="127">
        <v>91748.800000000003</v>
      </c>
      <c r="G48" s="206">
        <f t="shared" si="15"/>
        <v>91748.800000000003</v>
      </c>
      <c r="H48" s="207">
        <f t="shared" si="10"/>
        <v>5688.4256000000005</v>
      </c>
      <c r="I48" s="206">
        <f t="shared" si="16"/>
        <v>91748.800000000003</v>
      </c>
      <c r="J48" s="207">
        <f t="shared" si="10"/>
        <v>1330.3576</v>
      </c>
      <c r="K48" s="206">
        <f t="shared" si="20"/>
        <v>7000</v>
      </c>
      <c r="L48" s="207">
        <f t="shared" si="17"/>
        <v>42</v>
      </c>
      <c r="M48" s="206">
        <f t="shared" si="18"/>
        <v>11400</v>
      </c>
      <c r="N48" s="207">
        <f t="shared" si="19"/>
        <v>79.8</v>
      </c>
      <c r="O48" s="207">
        <f t="shared" si="13"/>
        <v>7140.5832000000009</v>
      </c>
    </row>
    <row r="49" spans="1:15" s="2" customFormat="1">
      <c r="A49" s="1">
        <v>37</v>
      </c>
      <c r="C49" s="9">
        <v>1</v>
      </c>
      <c r="D49" s="1" t="s">
        <v>452</v>
      </c>
      <c r="E49" s="1" t="s">
        <v>124</v>
      </c>
      <c r="F49" s="127">
        <v>72869.61</v>
      </c>
      <c r="G49" s="206">
        <f t="shared" si="15"/>
        <v>72869.61</v>
      </c>
      <c r="H49" s="207">
        <f t="shared" si="10"/>
        <v>4517.9158200000002</v>
      </c>
      <c r="I49" s="206">
        <f t="shared" si="16"/>
        <v>72869.61</v>
      </c>
      <c r="J49" s="207">
        <f t="shared" si="10"/>
        <v>1056.6093450000001</v>
      </c>
      <c r="K49" s="206">
        <f t="shared" si="20"/>
        <v>7000</v>
      </c>
      <c r="L49" s="207">
        <f t="shared" si="17"/>
        <v>42</v>
      </c>
      <c r="M49" s="206">
        <f t="shared" si="18"/>
        <v>11400</v>
      </c>
      <c r="N49" s="207">
        <f t="shared" si="19"/>
        <v>79.8</v>
      </c>
      <c r="O49" s="207">
        <f t="shared" si="13"/>
        <v>5696.3251650000002</v>
      </c>
    </row>
    <row r="50" spans="1:15" s="2" customFormat="1">
      <c r="A50" s="1">
        <v>38</v>
      </c>
      <c r="C50" s="9">
        <v>1</v>
      </c>
      <c r="D50" s="1" t="s">
        <v>453</v>
      </c>
      <c r="E50" s="1"/>
      <c r="F50" s="127">
        <v>71489.599999999991</v>
      </c>
      <c r="G50" s="206">
        <f t="shared" si="15"/>
        <v>71489.599999999991</v>
      </c>
      <c r="H50" s="207">
        <f t="shared" si="10"/>
        <v>4432.3551999999991</v>
      </c>
      <c r="I50" s="206">
        <f t="shared" si="16"/>
        <v>71489.599999999991</v>
      </c>
      <c r="J50" s="207">
        <f t="shared" si="10"/>
        <v>1036.5991999999999</v>
      </c>
      <c r="K50" s="206">
        <f t="shared" si="20"/>
        <v>7000</v>
      </c>
      <c r="L50" s="207">
        <f t="shared" si="17"/>
        <v>42</v>
      </c>
      <c r="M50" s="206">
        <f t="shared" si="18"/>
        <v>11400</v>
      </c>
      <c r="N50" s="207">
        <f t="shared" si="19"/>
        <v>79.8</v>
      </c>
      <c r="O50" s="207">
        <f t="shared" si="13"/>
        <v>5590.7543999999989</v>
      </c>
    </row>
    <row r="51" spans="1:15" s="2" customFormat="1">
      <c r="A51" s="1">
        <v>39</v>
      </c>
      <c r="C51" s="9">
        <v>1</v>
      </c>
      <c r="D51" s="1" t="s">
        <v>454</v>
      </c>
      <c r="E51" s="1" t="s">
        <v>124</v>
      </c>
      <c r="F51" s="127">
        <v>118980.04500000001</v>
      </c>
      <c r="G51" s="206">
        <f t="shared" si="15"/>
        <v>118980.04500000001</v>
      </c>
      <c r="H51" s="207">
        <f t="shared" si="10"/>
        <v>7376.7627900000007</v>
      </c>
      <c r="I51" s="206">
        <f t="shared" si="16"/>
        <v>118980.04500000001</v>
      </c>
      <c r="J51" s="207">
        <f t="shared" si="10"/>
        <v>1725.2106525000004</v>
      </c>
      <c r="K51" s="206">
        <f t="shared" si="20"/>
        <v>7000</v>
      </c>
      <c r="L51" s="207">
        <f t="shared" si="17"/>
        <v>42</v>
      </c>
      <c r="M51" s="206">
        <f t="shared" si="18"/>
        <v>11400</v>
      </c>
      <c r="N51" s="207">
        <f t="shared" si="19"/>
        <v>79.8</v>
      </c>
      <c r="O51" s="207">
        <f t="shared" si="13"/>
        <v>9223.7734424999999</v>
      </c>
    </row>
    <row r="52" spans="1:15" s="2" customFormat="1">
      <c r="A52" s="1">
        <v>40</v>
      </c>
      <c r="C52" s="9">
        <v>1</v>
      </c>
      <c r="D52" s="1" t="s">
        <v>455</v>
      </c>
      <c r="E52" s="1" t="s">
        <v>124</v>
      </c>
      <c r="F52" s="127">
        <v>125114.08</v>
      </c>
      <c r="G52" s="206">
        <f t="shared" si="15"/>
        <v>125114.08</v>
      </c>
      <c r="H52" s="207">
        <f t="shared" si="10"/>
        <v>7757.0729600000004</v>
      </c>
      <c r="I52" s="206">
        <f t="shared" si="16"/>
        <v>125114.08</v>
      </c>
      <c r="J52" s="207">
        <f t="shared" si="10"/>
        <v>1814.15416</v>
      </c>
      <c r="K52" s="206">
        <f t="shared" si="20"/>
        <v>7000</v>
      </c>
      <c r="L52" s="207">
        <f t="shared" si="17"/>
        <v>42</v>
      </c>
      <c r="M52" s="206">
        <f t="shared" si="18"/>
        <v>11400</v>
      </c>
      <c r="N52" s="207">
        <f t="shared" si="19"/>
        <v>79.8</v>
      </c>
      <c r="O52" s="207">
        <f t="shared" si="13"/>
        <v>9693.0271199999988</v>
      </c>
    </row>
    <row r="53" spans="1:15" s="2" customFormat="1">
      <c r="A53" s="1">
        <v>41</v>
      </c>
      <c r="C53" s="9">
        <v>1</v>
      </c>
      <c r="D53" s="1" t="s">
        <v>456</v>
      </c>
      <c r="E53" s="1" t="s">
        <v>124</v>
      </c>
      <c r="F53" s="127">
        <v>85156.3</v>
      </c>
      <c r="G53" s="206">
        <f t="shared" si="15"/>
        <v>85156.3</v>
      </c>
      <c r="H53" s="207">
        <f t="shared" si="10"/>
        <v>5279.6905999999999</v>
      </c>
      <c r="I53" s="206">
        <f t="shared" si="16"/>
        <v>85156.3</v>
      </c>
      <c r="J53" s="207">
        <f t="shared" si="10"/>
        <v>1234.7663500000001</v>
      </c>
      <c r="K53" s="206">
        <f t="shared" si="20"/>
        <v>7000</v>
      </c>
      <c r="L53" s="207">
        <f t="shared" si="17"/>
        <v>42</v>
      </c>
      <c r="M53" s="206">
        <f t="shared" si="18"/>
        <v>11400</v>
      </c>
      <c r="N53" s="207">
        <f t="shared" si="19"/>
        <v>79.8</v>
      </c>
      <c r="O53" s="207">
        <f t="shared" si="13"/>
        <v>6636.25695</v>
      </c>
    </row>
    <row r="54" spans="1:15" s="2" customFormat="1">
      <c r="A54" s="1">
        <v>42</v>
      </c>
      <c r="C54" s="9">
        <v>1</v>
      </c>
      <c r="D54" s="1" t="s">
        <v>457</v>
      </c>
      <c r="E54" s="1" t="s">
        <v>124</v>
      </c>
      <c r="F54" s="127">
        <v>124767.05500000001</v>
      </c>
      <c r="G54" s="206">
        <f t="shared" si="15"/>
        <v>124767.05500000001</v>
      </c>
      <c r="H54" s="207">
        <f t="shared" si="10"/>
        <v>7735.5574100000003</v>
      </c>
      <c r="I54" s="206">
        <f t="shared" si="16"/>
        <v>124767.05500000001</v>
      </c>
      <c r="J54" s="207">
        <f t="shared" si="10"/>
        <v>1809.1222975000003</v>
      </c>
      <c r="K54" s="206">
        <f t="shared" si="20"/>
        <v>7000</v>
      </c>
      <c r="L54" s="207">
        <f t="shared" si="17"/>
        <v>42</v>
      </c>
      <c r="M54" s="206">
        <f t="shared" si="18"/>
        <v>11400</v>
      </c>
      <c r="N54" s="207">
        <f t="shared" si="19"/>
        <v>79.8</v>
      </c>
      <c r="O54" s="207">
        <f t="shared" si="13"/>
        <v>9666.4797075000006</v>
      </c>
    </row>
    <row r="55" spans="1:15" s="2" customFormat="1">
      <c r="A55" s="1">
        <v>43</v>
      </c>
      <c r="C55" s="9">
        <v>1</v>
      </c>
      <c r="D55" s="1" t="s">
        <v>458</v>
      </c>
      <c r="E55" s="1" t="s">
        <v>124</v>
      </c>
      <c r="F55" s="127">
        <v>124385.32750000001</v>
      </c>
      <c r="G55" s="206">
        <f t="shared" si="15"/>
        <v>124385.32750000001</v>
      </c>
      <c r="H55" s="207">
        <f t="shared" si="10"/>
        <v>7711.8903050000008</v>
      </c>
      <c r="I55" s="206">
        <f t="shared" si="16"/>
        <v>124385.32750000001</v>
      </c>
      <c r="J55" s="207">
        <f t="shared" si="10"/>
        <v>1803.5872487500003</v>
      </c>
      <c r="K55" s="206">
        <f t="shared" si="20"/>
        <v>7000</v>
      </c>
      <c r="L55" s="207">
        <f t="shared" si="17"/>
        <v>42</v>
      </c>
      <c r="M55" s="206">
        <f t="shared" si="18"/>
        <v>11400</v>
      </c>
      <c r="N55" s="207">
        <f t="shared" si="19"/>
        <v>79.8</v>
      </c>
      <c r="O55" s="207">
        <f t="shared" si="13"/>
        <v>9637.2775537500002</v>
      </c>
    </row>
    <row r="56" spans="1:15" s="2" customFormat="1">
      <c r="A56" s="1">
        <v>44</v>
      </c>
      <c r="C56" s="9">
        <v>1</v>
      </c>
      <c r="D56" s="1" t="s">
        <v>459</v>
      </c>
      <c r="E56" s="1" t="s">
        <v>124</v>
      </c>
      <c r="F56" s="127">
        <v>114946.24750000001</v>
      </c>
      <c r="G56" s="206">
        <f t="shared" si="15"/>
        <v>114946.24750000001</v>
      </c>
      <c r="H56" s="207">
        <f t="shared" si="10"/>
        <v>7126.6673450000008</v>
      </c>
      <c r="I56" s="206">
        <f t="shared" si="16"/>
        <v>114946.24750000001</v>
      </c>
      <c r="J56" s="207">
        <f t="shared" si="10"/>
        <v>1666.7205887500002</v>
      </c>
      <c r="K56" s="206">
        <f t="shared" si="20"/>
        <v>7000</v>
      </c>
      <c r="L56" s="207">
        <f t="shared" si="17"/>
        <v>42</v>
      </c>
      <c r="M56" s="206">
        <f t="shared" si="18"/>
        <v>11400</v>
      </c>
      <c r="N56" s="207">
        <f t="shared" si="19"/>
        <v>79.8</v>
      </c>
      <c r="O56" s="207">
        <f t="shared" si="13"/>
        <v>8915.1879337499995</v>
      </c>
    </row>
    <row r="57" spans="1:15" s="2" customFormat="1">
      <c r="A57" s="1">
        <v>45</v>
      </c>
      <c r="C57" s="9">
        <v>1</v>
      </c>
      <c r="D57" s="1" t="s">
        <v>460</v>
      </c>
      <c r="E57" s="1" t="s">
        <v>124</v>
      </c>
      <c r="F57" s="127">
        <v>131396.20000000001</v>
      </c>
      <c r="G57" s="206">
        <f t="shared" si="15"/>
        <v>131396.20000000001</v>
      </c>
      <c r="H57" s="207">
        <f t="shared" si="10"/>
        <v>8146.5644000000011</v>
      </c>
      <c r="I57" s="206">
        <f t="shared" si="16"/>
        <v>131396.20000000001</v>
      </c>
      <c r="J57" s="207">
        <f t="shared" si="10"/>
        <v>1905.2449000000004</v>
      </c>
      <c r="K57" s="206">
        <f t="shared" si="20"/>
        <v>7000</v>
      </c>
      <c r="L57" s="207">
        <f t="shared" si="17"/>
        <v>42</v>
      </c>
      <c r="M57" s="206">
        <f t="shared" si="18"/>
        <v>11400</v>
      </c>
      <c r="N57" s="207">
        <f t="shared" si="19"/>
        <v>79.8</v>
      </c>
      <c r="O57" s="207">
        <f t="shared" si="13"/>
        <v>10173.6093</v>
      </c>
    </row>
    <row r="58" spans="1:15" s="2" customFormat="1">
      <c r="A58" s="1">
        <v>46</v>
      </c>
      <c r="C58" s="9">
        <v>1</v>
      </c>
      <c r="D58" s="1" t="s">
        <v>461</v>
      </c>
      <c r="E58" s="1" t="s">
        <v>124</v>
      </c>
      <c r="F58" s="127">
        <v>123955.20000000001</v>
      </c>
      <c r="G58" s="206">
        <f t="shared" si="15"/>
        <v>123955.20000000001</v>
      </c>
      <c r="H58" s="207">
        <f t="shared" si="10"/>
        <v>7685.2224000000006</v>
      </c>
      <c r="I58" s="206">
        <f t="shared" si="16"/>
        <v>123955.20000000001</v>
      </c>
      <c r="J58" s="207">
        <f t="shared" si="10"/>
        <v>1797.3504000000003</v>
      </c>
      <c r="K58" s="206">
        <f t="shared" si="20"/>
        <v>7000</v>
      </c>
      <c r="L58" s="207">
        <f t="shared" si="17"/>
        <v>42</v>
      </c>
      <c r="M58" s="206">
        <f t="shared" si="18"/>
        <v>11400</v>
      </c>
      <c r="N58" s="207">
        <f t="shared" si="19"/>
        <v>79.8</v>
      </c>
      <c r="O58" s="207">
        <f t="shared" si="13"/>
        <v>9604.372800000001</v>
      </c>
    </row>
    <row r="59" spans="1:15" s="2" customFormat="1">
      <c r="A59" s="1">
        <v>47</v>
      </c>
      <c r="C59" s="9">
        <v>1</v>
      </c>
      <c r="D59" s="1" t="s">
        <v>462</v>
      </c>
      <c r="E59" s="1" t="s">
        <v>123</v>
      </c>
      <c r="F59" s="127">
        <v>0</v>
      </c>
      <c r="G59" s="206">
        <f t="shared" si="15"/>
        <v>0</v>
      </c>
      <c r="H59" s="207">
        <f t="shared" si="10"/>
        <v>0</v>
      </c>
      <c r="I59" s="206">
        <f t="shared" si="16"/>
        <v>0</v>
      </c>
      <c r="J59" s="207">
        <f t="shared" si="10"/>
        <v>0</v>
      </c>
      <c r="K59" s="206">
        <f t="shared" si="20"/>
        <v>0</v>
      </c>
      <c r="L59" s="207">
        <f t="shared" si="17"/>
        <v>0</v>
      </c>
      <c r="M59" s="206">
        <f t="shared" si="18"/>
        <v>0</v>
      </c>
      <c r="N59" s="207">
        <f t="shared" si="19"/>
        <v>0</v>
      </c>
      <c r="O59" s="207">
        <f t="shared" si="13"/>
        <v>0</v>
      </c>
    </row>
    <row r="60" spans="1:15" s="2" customFormat="1">
      <c r="A60" s="1">
        <v>48</v>
      </c>
      <c r="C60" s="9">
        <v>1</v>
      </c>
      <c r="D60" s="1" t="s">
        <v>463</v>
      </c>
      <c r="E60" s="1" t="s">
        <v>124</v>
      </c>
      <c r="F60" s="127">
        <v>86087.5</v>
      </c>
      <c r="G60" s="206">
        <f t="shared" si="15"/>
        <v>86087.5</v>
      </c>
      <c r="H60" s="207">
        <f t="shared" si="10"/>
        <v>5337.4250000000002</v>
      </c>
      <c r="I60" s="206">
        <f t="shared" si="16"/>
        <v>86087.5</v>
      </c>
      <c r="J60" s="207">
        <f t="shared" si="10"/>
        <v>1248.26875</v>
      </c>
      <c r="K60" s="206">
        <f t="shared" si="20"/>
        <v>7000</v>
      </c>
      <c r="L60" s="207">
        <f t="shared" si="17"/>
        <v>42</v>
      </c>
      <c r="M60" s="206">
        <f t="shared" si="18"/>
        <v>11400</v>
      </c>
      <c r="N60" s="207">
        <f t="shared" si="19"/>
        <v>79.8</v>
      </c>
      <c r="O60" s="207">
        <f t="shared" si="13"/>
        <v>6707.4937500000005</v>
      </c>
    </row>
    <row r="61" spans="1:15" s="2" customFormat="1">
      <c r="A61" s="1">
        <v>49</v>
      </c>
      <c r="C61" s="9">
        <v>1</v>
      </c>
      <c r="D61" s="1" t="s">
        <v>464</v>
      </c>
      <c r="E61" s="1" t="s">
        <v>123</v>
      </c>
      <c r="F61" s="127">
        <v>0</v>
      </c>
      <c r="G61" s="206">
        <f t="shared" si="15"/>
        <v>0</v>
      </c>
      <c r="H61" s="207">
        <f t="shared" si="10"/>
        <v>0</v>
      </c>
      <c r="I61" s="206">
        <f t="shared" si="16"/>
        <v>0</v>
      </c>
      <c r="J61" s="207">
        <f t="shared" si="10"/>
        <v>0</v>
      </c>
      <c r="K61" s="206">
        <f t="shared" si="20"/>
        <v>0</v>
      </c>
      <c r="L61" s="207">
        <f t="shared" si="17"/>
        <v>0</v>
      </c>
      <c r="M61" s="206">
        <f t="shared" si="18"/>
        <v>0</v>
      </c>
      <c r="N61" s="207">
        <f t="shared" si="19"/>
        <v>0</v>
      </c>
      <c r="O61" s="207">
        <f t="shared" si="13"/>
        <v>0</v>
      </c>
    </row>
    <row r="62" spans="1:15" s="2" customFormat="1">
      <c r="A62" s="1">
        <v>50</v>
      </c>
      <c r="C62" s="9">
        <v>1</v>
      </c>
      <c r="D62" s="1" t="s">
        <v>465</v>
      </c>
      <c r="E62" s="1" t="s">
        <v>124</v>
      </c>
      <c r="F62" s="127">
        <v>107624.02</v>
      </c>
      <c r="G62" s="206">
        <f t="shared" si="15"/>
        <v>107624.02</v>
      </c>
      <c r="H62" s="207">
        <f t="shared" si="10"/>
        <v>6672.6892400000006</v>
      </c>
      <c r="I62" s="206">
        <f t="shared" si="16"/>
        <v>107624.02</v>
      </c>
      <c r="J62" s="207">
        <f t="shared" si="10"/>
        <v>1560.5482900000002</v>
      </c>
      <c r="K62" s="206">
        <f t="shared" si="20"/>
        <v>7000</v>
      </c>
      <c r="L62" s="207">
        <f t="shared" si="17"/>
        <v>42</v>
      </c>
      <c r="M62" s="206">
        <f t="shared" si="18"/>
        <v>11400</v>
      </c>
      <c r="N62" s="207">
        <f t="shared" si="19"/>
        <v>79.8</v>
      </c>
      <c r="O62" s="207">
        <f t="shared" si="13"/>
        <v>8355.0375299999996</v>
      </c>
    </row>
    <row r="63" spans="1:15" s="2" customFormat="1">
      <c r="A63" s="1">
        <v>51</v>
      </c>
      <c r="C63" s="9">
        <v>1</v>
      </c>
      <c r="D63" s="1" t="s">
        <v>466</v>
      </c>
      <c r="E63" s="1" t="s">
        <v>124</v>
      </c>
      <c r="F63" s="127">
        <v>104300.22</v>
      </c>
      <c r="G63" s="206">
        <f t="shared" si="15"/>
        <v>104300.22</v>
      </c>
      <c r="H63" s="207">
        <f t="shared" si="10"/>
        <v>6466.6136399999996</v>
      </c>
      <c r="I63" s="206">
        <f t="shared" si="16"/>
        <v>104300.22</v>
      </c>
      <c r="J63" s="207">
        <f t="shared" si="10"/>
        <v>1512.35319</v>
      </c>
      <c r="K63" s="206">
        <f t="shared" si="20"/>
        <v>7000</v>
      </c>
      <c r="L63" s="207">
        <f t="shared" si="17"/>
        <v>42</v>
      </c>
      <c r="M63" s="206">
        <f t="shared" si="18"/>
        <v>11400</v>
      </c>
      <c r="N63" s="207">
        <f t="shared" si="19"/>
        <v>79.8</v>
      </c>
      <c r="O63" s="207">
        <f t="shared" si="13"/>
        <v>8100.7668299999996</v>
      </c>
    </row>
    <row r="64" spans="1:15" s="2" customFormat="1">
      <c r="A64" s="1">
        <v>52</v>
      </c>
      <c r="C64" s="9">
        <v>1</v>
      </c>
      <c r="D64" s="1" t="s">
        <v>467</v>
      </c>
      <c r="E64" s="1" t="s">
        <v>124</v>
      </c>
      <c r="F64" s="127">
        <v>115693.32500000001</v>
      </c>
      <c r="G64" s="206">
        <f t="shared" si="15"/>
        <v>115693.32500000001</v>
      </c>
      <c r="H64" s="207">
        <f t="shared" si="10"/>
        <v>7172.9861500000006</v>
      </c>
      <c r="I64" s="206">
        <f t="shared" si="16"/>
        <v>115693.32500000001</v>
      </c>
      <c r="J64" s="207">
        <f t="shared" si="10"/>
        <v>1677.5532125000002</v>
      </c>
      <c r="K64" s="206">
        <f t="shared" si="20"/>
        <v>7000</v>
      </c>
      <c r="L64" s="207">
        <f t="shared" si="17"/>
        <v>42</v>
      </c>
      <c r="M64" s="206">
        <f t="shared" si="18"/>
        <v>11400</v>
      </c>
      <c r="N64" s="207">
        <f t="shared" si="19"/>
        <v>79.8</v>
      </c>
      <c r="O64" s="207">
        <f t="shared" si="13"/>
        <v>8972.3393625000008</v>
      </c>
    </row>
    <row r="65" spans="1:15" s="2" customFormat="1">
      <c r="A65" s="1">
        <v>53</v>
      </c>
      <c r="C65" s="9">
        <v>1</v>
      </c>
      <c r="D65" s="1" t="s">
        <v>468</v>
      </c>
      <c r="E65" s="1" t="s">
        <v>124</v>
      </c>
      <c r="F65" s="127">
        <v>78604.9375</v>
      </c>
      <c r="G65" s="206">
        <f t="shared" si="15"/>
        <v>78604.9375</v>
      </c>
      <c r="H65" s="207">
        <f t="shared" si="10"/>
        <v>4873.5061249999999</v>
      </c>
      <c r="I65" s="206">
        <f t="shared" si="16"/>
        <v>78604.9375</v>
      </c>
      <c r="J65" s="207">
        <f t="shared" si="10"/>
        <v>1139.77159375</v>
      </c>
      <c r="K65" s="206">
        <f t="shared" si="20"/>
        <v>7000</v>
      </c>
      <c r="L65" s="207">
        <f t="shared" si="17"/>
        <v>42</v>
      </c>
      <c r="M65" s="206">
        <f t="shared" si="18"/>
        <v>11400</v>
      </c>
      <c r="N65" s="207">
        <f t="shared" si="19"/>
        <v>79.8</v>
      </c>
      <c r="O65" s="207">
        <f t="shared" si="13"/>
        <v>6135.0777187499998</v>
      </c>
    </row>
    <row r="66" spans="1:15" s="2" customFormat="1">
      <c r="A66" s="1">
        <v>54</v>
      </c>
      <c r="C66" s="9">
        <v>1</v>
      </c>
      <c r="D66" s="1" t="s">
        <v>469</v>
      </c>
      <c r="E66" s="1" t="s">
        <v>123</v>
      </c>
      <c r="F66" s="127">
        <v>0</v>
      </c>
      <c r="G66" s="206">
        <f t="shared" si="15"/>
        <v>0</v>
      </c>
      <c r="H66" s="207">
        <f t="shared" si="10"/>
        <v>0</v>
      </c>
      <c r="I66" s="206">
        <f t="shared" si="16"/>
        <v>0</v>
      </c>
      <c r="J66" s="207">
        <f t="shared" si="10"/>
        <v>0</v>
      </c>
      <c r="K66" s="206">
        <f t="shared" si="20"/>
        <v>0</v>
      </c>
      <c r="L66" s="207">
        <f t="shared" si="17"/>
        <v>0</v>
      </c>
      <c r="M66" s="206">
        <f t="shared" si="18"/>
        <v>0</v>
      </c>
      <c r="N66" s="207">
        <f t="shared" si="19"/>
        <v>0</v>
      </c>
      <c r="O66" s="207">
        <f t="shared" si="13"/>
        <v>0</v>
      </c>
    </row>
    <row r="67" spans="1:15" s="2" customFormat="1">
      <c r="A67" s="1">
        <v>55</v>
      </c>
      <c r="C67" s="9">
        <v>1</v>
      </c>
      <c r="D67" s="1" t="s">
        <v>470</v>
      </c>
      <c r="E67" s="1" t="s">
        <v>124</v>
      </c>
      <c r="F67" s="127">
        <v>87863.34</v>
      </c>
      <c r="G67" s="206">
        <f t="shared" si="15"/>
        <v>87863.34</v>
      </c>
      <c r="H67" s="207">
        <f t="shared" si="10"/>
        <v>5447.5270799999998</v>
      </c>
      <c r="I67" s="206">
        <f t="shared" si="16"/>
        <v>87863.34</v>
      </c>
      <c r="J67" s="207">
        <f t="shared" si="10"/>
        <v>1274.0184300000001</v>
      </c>
      <c r="K67" s="206">
        <f t="shared" si="20"/>
        <v>7000</v>
      </c>
      <c r="L67" s="207">
        <f t="shared" si="17"/>
        <v>42</v>
      </c>
      <c r="M67" s="206">
        <f t="shared" si="18"/>
        <v>11400</v>
      </c>
      <c r="N67" s="207">
        <f t="shared" si="19"/>
        <v>79.8</v>
      </c>
      <c r="O67" s="207">
        <f t="shared" si="13"/>
        <v>6843.3455100000001</v>
      </c>
    </row>
    <row r="68" spans="1:15" s="2" customFormat="1">
      <c r="A68" s="1">
        <v>56</v>
      </c>
      <c r="C68" s="9">
        <v>1</v>
      </c>
      <c r="D68" s="1" t="s">
        <v>471</v>
      </c>
      <c r="E68" s="1" t="s">
        <v>124</v>
      </c>
      <c r="F68" s="127">
        <v>131776.96000000002</v>
      </c>
      <c r="G68" s="206">
        <f t="shared" si="15"/>
        <v>131776.96000000002</v>
      </c>
      <c r="H68" s="207">
        <f t="shared" si="10"/>
        <v>8170.1715200000017</v>
      </c>
      <c r="I68" s="206">
        <f t="shared" si="16"/>
        <v>131776.96000000002</v>
      </c>
      <c r="J68" s="207">
        <f t="shared" si="10"/>
        <v>1910.7659200000005</v>
      </c>
      <c r="K68" s="206">
        <f t="shared" si="20"/>
        <v>7000</v>
      </c>
      <c r="L68" s="207">
        <f t="shared" si="17"/>
        <v>42</v>
      </c>
      <c r="M68" s="206">
        <f t="shared" si="18"/>
        <v>11400</v>
      </c>
      <c r="N68" s="207">
        <f t="shared" si="19"/>
        <v>79.8</v>
      </c>
      <c r="O68" s="207">
        <f t="shared" si="13"/>
        <v>10202.737440000001</v>
      </c>
    </row>
    <row r="69" spans="1:15" s="2" customFormat="1">
      <c r="A69" s="1">
        <v>57</v>
      </c>
      <c r="C69" s="9">
        <v>1</v>
      </c>
      <c r="D69" s="1" t="s">
        <v>472</v>
      </c>
      <c r="E69" s="1" t="s">
        <v>124</v>
      </c>
      <c r="F69" s="127">
        <v>84778</v>
      </c>
      <c r="G69" s="206">
        <f t="shared" si="15"/>
        <v>84778</v>
      </c>
      <c r="H69" s="207">
        <f t="shared" si="10"/>
        <v>5256.2359999999999</v>
      </c>
      <c r="I69" s="206">
        <f t="shared" si="16"/>
        <v>84778</v>
      </c>
      <c r="J69" s="207">
        <f t="shared" si="10"/>
        <v>1229.2809999999999</v>
      </c>
      <c r="K69" s="206">
        <f t="shared" si="20"/>
        <v>7000</v>
      </c>
      <c r="L69" s="207">
        <f t="shared" si="17"/>
        <v>42</v>
      </c>
      <c r="M69" s="206">
        <f t="shared" si="18"/>
        <v>11400</v>
      </c>
      <c r="N69" s="207">
        <f t="shared" si="19"/>
        <v>79.8</v>
      </c>
      <c r="O69" s="207">
        <f t="shared" si="13"/>
        <v>6607.317</v>
      </c>
    </row>
    <row r="70" spans="1:15" s="2" customFormat="1">
      <c r="A70" s="1">
        <v>58</v>
      </c>
      <c r="C70" s="9">
        <v>1</v>
      </c>
      <c r="D70" s="1" t="s">
        <v>473</v>
      </c>
      <c r="E70" s="1" t="s">
        <v>124</v>
      </c>
      <c r="F70" s="127">
        <v>70080.889999999985</v>
      </c>
      <c r="G70" s="206">
        <f t="shared" si="15"/>
        <v>70080.889999999985</v>
      </c>
      <c r="H70" s="207">
        <f t="shared" si="10"/>
        <v>4345.0151799999994</v>
      </c>
      <c r="I70" s="206">
        <f t="shared" si="16"/>
        <v>70080.889999999985</v>
      </c>
      <c r="J70" s="207">
        <f t="shared" si="10"/>
        <v>1016.1729049999998</v>
      </c>
      <c r="K70" s="206">
        <f t="shared" si="20"/>
        <v>7000</v>
      </c>
      <c r="L70" s="207">
        <f t="shared" si="17"/>
        <v>42</v>
      </c>
      <c r="M70" s="206">
        <f t="shared" si="18"/>
        <v>11400</v>
      </c>
      <c r="N70" s="207">
        <f t="shared" si="19"/>
        <v>79.8</v>
      </c>
      <c r="O70" s="207">
        <f t="shared" si="13"/>
        <v>5482.988084999999</v>
      </c>
    </row>
    <row r="71" spans="1:15" s="2" customFormat="1">
      <c r="A71" s="1">
        <v>59</v>
      </c>
      <c r="C71" s="9">
        <v>1</v>
      </c>
      <c r="D71" s="1" t="s">
        <v>474</v>
      </c>
      <c r="E71" s="1" t="s">
        <v>124</v>
      </c>
      <c r="F71" s="127">
        <v>130978.80250000001</v>
      </c>
      <c r="G71" s="206">
        <f t="shared" si="15"/>
        <v>130978.80250000001</v>
      </c>
      <c r="H71" s="207">
        <f t="shared" si="10"/>
        <v>8120.6857550000004</v>
      </c>
      <c r="I71" s="206">
        <f t="shared" si="16"/>
        <v>130978.80250000001</v>
      </c>
      <c r="J71" s="207">
        <f t="shared" si="10"/>
        <v>1899.1926362500001</v>
      </c>
      <c r="K71" s="206">
        <f t="shared" si="20"/>
        <v>7000</v>
      </c>
      <c r="L71" s="207">
        <f t="shared" si="17"/>
        <v>42</v>
      </c>
      <c r="M71" s="206">
        <f t="shared" si="18"/>
        <v>11400</v>
      </c>
      <c r="N71" s="207">
        <f t="shared" si="19"/>
        <v>79.8</v>
      </c>
      <c r="O71" s="207">
        <f t="shared" si="13"/>
        <v>10141.67839125</v>
      </c>
    </row>
    <row r="72" spans="1:15" s="2" customFormat="1">
      <c r="A72" s="1">
        <v>60</v>
      </c>
      <c r="C72" s="9">
        <v>1</v>
      </c>
      <c r="D72" s="1" t="s">
        <v>475</v>
      </c>
      <c r="E72" s="1" t="s">
        <v>124</v>
      </c>
      <c r="F72" s="127">
        <v>128676.15000000001</v>
      </c>
      <c r="G72" s="206">
        <f t="shared" si="15"/>
        <v>128676.15000000001</v>
      </c>
      <c r="H72" s="207">
        <f t="shared" si="10"/>
        <v>7977.9213000000009</v>
      </c>
      <c r="I72" s="206">
        <f t="shared" si="16"/>
        <v>128676.15000000001</v>
      </c>
      <c r="J72" s="207">
        <f t="shared" si="10"/>
        <v>1865.8041750000002</v>
      </c>
      <c r="K72" s="206">
        <f t="shared" si="20"/>
        <v>7000</v>
      </c>
      <c r="L72" s="207">
        <f t="shared" si="17"/>
        <v>42</v>
      </c>
      <c r="M72" s="206">
        <f t="shared" si="18"/>
        <v>11400</v>
      </c>
      <c r="N72" s="207">
        <f t="shared" si="19"/>
        <v>79.8</v>
      </c>
      <c r="O72" s="207">
        <f t="shared" si="13"/>
        <v>9965.5254750000004</v>
      </c>
    </row>
    <row r="73" spans="1:15" s="2" customFormat="1">
      <c r="A73" s="1">
        <v>61</v>
      </c>
      <c r="C73" s="9">
        <v>1</v>
      </c>
      <c r="D73" s="1" t="s">
        <v>476</v>
      </c>
      <c r="E73" s="1" t="s">
        <v>124</v>
      </c>
      <c r="F73" s="127">
        <v>54108.697499999995</v>
      </c>
      <c r="G73" s="206">
        <f t="shared" si="15"/>
        <v>54108.697499999995</v>
      </c>
      <c r="H73" s="207">
        <f t="shared" si="10"/>
        <v>3354.7392449999998</v>
      </c>
      <c r="I73" s="206">
        <f t="shared" si="16"/>
        <v>54108.697499999995</v>
      </c>
      <c r="J73" s="207">
        <f t="shared" si="10"/>
        <v>784.57611374999999</v>
      </c>
      <c r="K73" s="206">
        <f t="shared" si="20"/>
        <v>7000</v>
      </c>
      <c r="L73" s="207">
        <f t="shared" si="17"/>
        <v>42</v>
      </c>
      <c r="M73" s="206">
        <f t="shared" si="18"/>
        <v>11400</v>
      </c>
      <c r="N73" s="207">
        <f t="shared" si="19"/>
        <v>79.8</v>
      </c>
      <c r="O73" s="207">
        <f t="shared" si="13"/>
        <v>4261.1153587500003</v>
      </c>
    </row>
    <row r="74" spans="1:15" s="2" customFormat="1">
      <c r="A74" s="1">
        <v>62</v>
      </c>
      <c r="C74" s="9">
        <v>1</v>
      </c>
      <c r="D74" s="1" t="s">
        <v>477</v>
      </c>
      <c r="E74" s="1" t="s">
        <v>124</v>
      </c>
      <c r="F74" s="127">
        <v>61856.6</v>
      </c>
      <c r="G74" s="206">
        <f t="shared" si="15"/>
        <v>61856.6</v>
      </c>
      <c r="H74" s="207">
        <f t="shared" si="10"/>
        <v>3835.1091999999999</v>
      </c>
      <c r="I74" s="206">
        <f t="shared" si="16"/>
        <v>61856.6</v>
      </c>
      <c r="J74" s="207">
        <f t="shared" si="10"/>
        <v>896.92070000000001</v>
      </c>
      <c r="K74" s="206">
        <f t="shared" si="20"/>
        <v>7000</v>
      </c>
      <c r="L74" s="207">
        <f t="shared" si="17"/>
        <v>42</v>
      </c>
      <c r="M74" s="206">
        <f t="shared" si="18"/>
        <v>11400</v>
      </c>
      <c r="N74" s="207">
        <f t="shared" si="19"/>
        <v>79.8</v>
      </c>
      <c r="O74" s="207">
        <f t="shared" si="13"/>
        <v>4853.8298999999997</v>
      </c>
    </row>
    <row r="75" spans="1:15" s="2" customFormat="1">
      <c r="A75" s="1">
        <v>63</v>
      </c>
      <c r="C75" s="9">
        <v>1</v>
      </c>
      <c r="D75" s="1" t="s">
        <v>478</v>
      </c>
      <c r="E75" s="1" t="s">
        <v>124</v>
      </c>
      <c r="F75" s="127">
        <v>54021.824999999997</v>
      </c>
      <c r="G75" s="206">
        <f t="shared" si="15"/>
        <v>54021.824999999997</v>
      </c>
      <c r="H75" s="207">
        <f t="shared" si="10"/>
        <v>3349.3531499999999</v>
      </c>
      <c r="I75" s="206">
        <f t="shared" si="16"/>
        <v>54021.824999999997</v>
      </c>
      <c r="J75" s="207">
        <f t="shared" si="10"/>
        <v>783.31646249999994</v>
      </c>
      <c r="K75" s="206">
        <f t="shared" si="20"/>
        <v>7000</v>
      </c>
      <c r="L75" s="207">
        <f t="shared" si="17"/>
        <v>42</v>
      </c>
      <c r="M75" s="206">
        <f t="shared" si="18"/>
        <v>11400</v>
      </c>
      <c r="N75" s="207">
        <f t="shared" si="19"/>
        <v>79.8</v>
      </c>
      <c r="O75" s="207">
        <f t="shared" si="13"/>
        <v>4254.4696125</v>
      </c>
    </row>
    <row r="76" spans="1:15" s="2" customFormat="1">
      <c r="A76" s="1">
        <v>64</v>
      </c>
      <c r="C76" s="9">
        <v>1</v>
      </c>
      <c r="D76" s="1" t="s">
        <v>479</v>
      </c>
      <c r="E76" s="1" t="s">
        <v>124</v>
      </c>
      <c r="F76" s="127">
        <v>109636.76500000001</v>
      </c>
      <c r="G76" s="206">
        <f t="shared" si="15"/>
        <v>109636.76500000001</v>
      </c>
      <c r="H76" s="207">
        <f t="shared" si="10"/>
        <v>6797.4794300000012</v>
      </c>
      <c r="I76" s="206">
        <f t="shared" si="16"/>
        <v>109636.76500000001</v>
      </c>
      <c r="J76" s="207">
        <f t="shared" si="10"/>
        <v>1589.7330925000003</v>
      </c>
      <c r="K76" s="206">
        <f t="shared" si="20"/>
        <v>7000</v>
      </c>
      <c r="L76" s="207">
        <f t="shared" si="17"/>
        <v>42</v>
      </c>
      <c r="M76" s="206">
        <f t="shared" si="18"/>
        <v>11400</v>
      </c>
      <c r="N76" s="207">
        <f t="shared" si="19"/>
        <v>79.8</v>
      </c>
      <c r="O76" s="207">
        <f t="shared" si="13"/>
        <v>8509.0125225000011</v>
      </c>
    </row>
    <row r="77" spans="1:15" s="2" customFormat="1">
      <c r="A77" s="1">
        <v>65</v>
      </c>
      <c r="C77" s="9">
        <v>1</v>
      </c>
      <c r="D77" s="1" t="s">
        <v>480</v>
      </c>
      <c r="E77" s="1" t="s">
        <v>124</v>
      </c>
      <c r="F77" s="127">
        <v>158532.58750000002</v>
      </c>
      <c r="G77" s="206">
        <f t="shared" si="15"/>
        <v>158532.58750000002</v>
      </c>
      <c r="H77" s="207">
        <f t="shared" si="10"/>
        <v>9829.0204250000006</v>
      </c>
      <c r="I77" s="206">
        <f t="shared" si="16"/>
        <v>158532.58750000002</v>
      </c>
      <c r="J77" s="207">
        <f t="shared" si="10"/>
        <v>2298.7225187500003</v>
      </c>
      <c r="K77" s="206">
        <f t="shared" si="20"/>
        <v>7000</v>
      </c>
      <c r="L77" s="207">
        <f t="shared" si="17"/>
        <v>42</v>
      </c>
      <c r="M77" s="206">
        <f t="shared" si="18"/>
        <v>11400</v>
      </c>
      <c r="N77" s="207">
        <f t="shared" si="19"/>
        <v>79.8</v>
      </c>
      <c r="O77" s="207">
        <f t="shared" si="13"/>
        <v>12249.542943750001</v>
      </c>
    </row>
    <row r="78" spans="1:15" s="2" customFormat="1">
      <c r="A78" s="1">
        <v>66</v>
      </c>
      <c r="C78" s="9">
        <v>1</v>
      </c>
      <c r="D78" s="1" t="s">
        <v>481</v>
      </c>
      <c r="E78" s="1" t="s">
        <v>124</v>
      </c>
      <c r="F78" s="127">
        <v>84876.15625</v>
      </c>
      <c r="G78" s="206">
        <f t="shared" si="15"/>
        <v>84876.15625</v>
      </c>
      <c r="H78" s="207">
        <f t="shared" si="10"/>
        <v>5262.3216874999998</v>
      </c>
      <c r="I78" s="206">
        <f t="shared" si="16"/>
        <v>84876.15625</v>
      </c>
      <c r="J78" s="207">
        <f t="shared" si="10"/>
        <v>1230.7042656250001</v>
      </c>
      <c r="K78" s="206">
        <f t="shared" si="20"/>
        <v>7000</v>
      </c>
      <c r="L78" s="207">
        <f t="shared" si="17"/>
        <v>42</v>
      </c>
      <c r="M78" s="206">
        <f t="shared" si="18"/>
        <v>11400</v>
      </c>
      <c r="N78" s="207">
        <f t="shared" si="19"/>
        <v>79.8</v>
      </c>
      <c r="O78" s="207">
        <f t="shared" si="13"/>
        <v>6614.8259531249996</v>
      </c>
    </row>
    <row r="79" spans="1:15" s="2" customFormat="1">
      <c r="A79" s="1">
        <v>67</v>
      </c>
      <c r="C79" s="9">
        <v>1</v>
      </c>
      <c r="D79" s="1" t="s">
        <v>482</v>
      </c>
      <c r="E79" s="1"/>
      <c r="F79" s="127">
        <v>53539.199999999997</v>
      </c>
      <c r="G79" s="206">
        <f t="shared" si="15"/>
        <v>53539.199999999997</v>
      </c>
      <c r="H79" s="207">
        <f t="shared" si="10"/>
        <v>3319.4303999999997</v>
      </c>
      <c r="I79" s="206">
        <f t="shared" si="16"/>
        <v>53539.199999999997</v>
      </c>
      <c r="J79" s="207">
        <f t="shared" si="10"/>
        <v>776.3184</v>
      </c>
      <c r="K79" s="206">
        <f t="shared" si="20"/>
        <v>7000</v>
      </c>
      <c r="L79" s="207">
        <f t="shared" si="17"/>
        <v>42</v>
      </c>
      <c r="M79" s="206">
        <f t="shared" si="18"/>
        <v>11400</v>
      </c>
      <c r="N79" s="207">
        <f t="shared" si="19"/>
        <v>79.8</v>
      </c>
      <c r="O79" s="207">
        <f t="shared" si="13"/>
        <v>4217.5487999999996</v>
      </c>
    </row>
    <row r="80" spans="1:15" s="2" customFormat="1">
      <c r="A80" s="1">
        <v>68</v>
      </c>
      <c r="C80" s="9">
        <v>1</v>
      </c>
      <c r="D80" s="1" t="s">
        <v>483</v>
      </c>
      <c r="E80" s="1"/>
      <c r="F80" s="127">
        <v>78520</v>
      </c>
      <c r="G80" s="206">
        <f t="shared" si="15"/>
        <v>78520</v>
      </c>
      <c r="H80" s="207">
        <f t="shared" si="10"/>
        <v>4868.24</v>
      </c>
      <c r="I80" s="206">
        <f t="shared" si="16"/>
        <v>78520</v>
      </c>
      <c r="J80" s="207">
        <f t="shared" si="10"/>
        <v>1138.54</v>
      </c>
      <c r="K80" s="206">
        <f t="shared" si="20"/>
        <v>7000</v>
      </c>
      <c r="L80" s="207">
        <f t="shared" si="17"/>
        <v>42</v>
      </c>
      <c r="M80" s="206">
        <f t="shared" si="18"/>
        <v>11400</v>
      </c>
      <c r="N80" s="207">
        <f t="shared" si="19"/>
        <v>79.8</v>
      </c>
      <c r="O80" s="207">
        <f t="shared" si="13"/>
        <v>6128.58</v>
      </c>
    </row>
    <row r="81" spans="1:15" s="2" customFormat="1">
      <c r="A81" s="1">
        <v>69</v>
      </c>
      <c r="C81" s="9">
        <v>1</v>
      </c>
      <c r="D81" s="1" t="s">
        <v>484</v>
      </c>
      <c r="E81" s="1" t="s">
        <v>123</v>
      </c>
      <c r="F81" s="127">
        <v>0</v>
      </c>
      <c r="G81" s="206">
        <f t="shared" si="15"/>
        <v>0</v>
      </c>
      <c r="H81" s="207">
        <f t="shared" si="10"/>
        <v>0</v>
      </c>
      <c r="I81" s="206">
        <f t="shared" si="16"/>
        <v>0</v>
      </c>
      <c r="J81" s="207">
        <f t="shared" si="10"/>
        <v>0</v>
      </c>
      <c r="K81" s="206">
        <f t="shared" si="20"/>
        <v>0</v>
      </c>
      <c r="L81" s="207">
        <f t="shared" si="17"/>
        <v>0</v>
      </c>
      <c r="M81" s="206">
        <f t="shared" si="18"/>
        <v>0</v>
      </c>
      <c r="N81" s="207">
        <f t="shared" si="19"/>
        <v>0</v>
      </c>
      <c r="O81" s="207">
        <f t="shared" si="13"/>
        <v>0</v>
      </c>
    </row>
    <row r="82" spans="1:15" s="2" customFormat="1">
      <c r="A82" s="1">
        <v>70</v>
      </c>
      <c r="C82" s="9">
        <v>1</v>
      </c>
      <c r="D82" s="1" t="s">
        <v>485</v>
      </c>
      <c r="E82" s="1" t="s">
        <v>124</v>
      </c>
      <c r="F82" s="127">
        <v>161343.49</v>
      </c>
      <c r="G82" s="206">
        <f t="shared" si="15"/>
        <v>161343.49</v>
      </c>
      <c r="H82" s="207">
        <f t="shared" si="10"/>
        <v>10003.29638</v>
      </c>
      <c r="I82" s="206">
        <f t="shared" si="16"/>
        <v>161343.49</v>
      </c>
      <c r="J82" s="207">
        <f t="shared" si="10"/>
        <v>2339.4806050000002</v>
      </c>
      <c r="K82" s="206">
        <f t="shared" si="20"/>
        <v>7000</v>
      </c>
      <c r="L82" s="207">
        <f t="shared" si="17"/>
        <v>42</v>
      </c>
      <c r="M82" s="206">
        <f t="shared" si="18"/>
        <v>11400</v>
      </c>
      <c r="N82" s="207">
        <f t="shared" si="19"/>
        <v>79.8</v>
      </c>
      <c r="O82" s="207">
        <f t="shared" si="13"/>
        <v>12464.576985</v>
      </c>
    </row>
    <row r="83" spans="1:15" s="2" customFormat="1">
      <c r="A83" s="1">
        <v>71</v>
      </c>
      <c r="C83" s="9">
        <v>1</v>
      </c>
      <c r="D83" s="1" t="s">
        <v>486</v>
      </c>
      <c r="E83" s="1" t="s">
        <v>124</v>
      </c>
      <c r="F83" s="127">
        <v>78760.65625</v>
      </c>
      <c r="G83" s="206">
        <f t="shared" si="15"/>
        <v>78760.65625</v>
      </c>
      <c r="H83" s="207">
        <f t="shared" si="10"/>
        <v>4883.1606874999998</v>
      </c>
      <c r="I83" s="206">
        <f t="shared" si="16"/>
        <v>78760.65625</v>
      </c>
      <c r="J83" s="207">
        <f t="shared" si="10"/>
        <v>1142.0295156250002</v>
      </c>
      <c r="K83" s="206">
        <f t="shared" si="20"/>
        <v>7000</v>
      </c>
      <c r="L83" s="207">
        <f t="shared" si="17"/>
        <v>42</v>
      </c>
      <c r="M83" s="206">
        <f t="shared" si="18"/>
        <v>11400</v>
      </c>
      <c r="N83" s="207">
        <f t="shared" si="19"/>
        <v>79.8</v>
      </c>
      <c r="O83" s="207">
        <f t="shared" si="13"/>
        <v>6146.9902031250003</v>
      </c>
    </row>
    <row r="84" spans="1:15" s="2" customFormat="1">
      <c r="A84" s="1">
        <v>72</v>
      </c>
      <c r="C84" s="9">
        <v>1</v>
      </c>
      <c r="D84" s="1" t="s">
        <v>487</v>
      </c>
      <c r="E84" s="1"/>
      <c r="F84" s="127">
        <v>59009.599999999999</v>
      </c>
      <c r="G84" s="206">
        <f t="shared" si="15"/>
        <v>59009.599999999999</v>
      </c>
      <c r="H84" s="207">
        <f t="shared" si="10"/>
        <v>3658.5951999999997</v>
      </c>
      <c r="I84" s="206">
        <f t="shared" si="16"/>
        <v>59009.599999999999</v>
      </c>
      <c r="J84" s="207">
        <f t="shared" si="10"/>
        <v>855.63920000000007</v>
      </c>
      <c r="K84" s="206">
        <f t="shared" si="20"/>
        <v>7000</v>
      </c>
      <c r="L84" s="207">
        <f t="shared" si="17"/>
        <v>42</v>
      </c>
      <c r="M84" s="206">
        <f t="shared" si="18"/>
        <v>11400</v>
      </c>
      <c r="N84" s="207">
        <f t="shared" si="19"/>
        <v>79.8</v>
      </c>
      <c r="O84" s="207">
        <f t="shared" si="13"/>
        <v>4636.0343999999996</v>
      </c>
    </row>
    <row r="85" spans="1:15" s="2" customFormat="1">
      <c r="A85" s="1">
        <v>73</v>
      </c>
      <c r="C85" s="9">
        <v>1</v>
      </c>
      <c r="D85" s="1" t="s">
        <v>488</v>
      </c>
      <c r="E85" s="1" t="s">
        <v>123</v>
      </c>
      <c r="F85" s="127">
        <v>0</v>
      </c>
      <c r="G85" s="206">
        <f t="shared" si="15"/>
        <v>0</v>
      </c>
      <c r="H85" s="207">
        <f t="shared" si="10"/>
        <v>0</v>
      </c>
      <c r="I85" s="206">
        <f t="shared" si="16"/>
        <v>0</v>
      </c>
      <c r="J85" s="207">
        <f t="shared" si="10"/>
        <v>0</v>
      </c>
      <c r="K85" s="206">
        <f t="shared" si="20"/>
        <v>0</v>
      </c>
      <c r="L85" s="207">
        <f t="shared" si="17"/>
        <v>0</v>
      </c>
      <c r="M85" s="206">
        <f t="shared" si="18"/>
        <v>0</v>
      </c>
      <c r="N85" s="207">
        <f t="shared" si="19"/>
        <v>0</v>
      </c>
      <c r="O85" s="207">
        <f t="shared" si="13"/>
        <v>0</v>
      </c>
    </row>
    <row r="86" spans="1:15" s="2" customFormat="1">
      <c r="A86" s="1">
        <v>74</v>
      </c>
      <c r="C86" s="9">
        <v>1</v>
      </c>
      <c r="D86" s="1" t="s">
        <v>489</v>
      </c>
      <c r="E86" s="1"/>
      <c r="F86" s="127">
        <v>73403.199999999997</v>
      </c>
      <c r="G86" s="206">
        <f t="shared" si="15"/>
        <v>73403.199999999997</v>
      </c>
      <c r="H86" s="207">
        <f t="shared" si="10"/>
        <v>4550.9983999999995</v>
      </c>
      <c r="I86" s="206">
        <f t="shared" si="16"/>
        <v>73403.199999999997</v>
      </c>
      <c r="J86" s="207">
        <f t="shared" si="10"/>
        <v>1064.3463999999999</v>
      </c>
      <c r="K86" s="206">
        <f t="shared" si="20"/>
        <v>7000</v>
      </c>
      <c r="L86" s="207">
        <f t="shared" si="17"/>
        <v>42</v>
      </c>
      <c r="M86" s="206">
        <f t="shared" si="18"/>
        <v>11400</v>
      </c>
      <c r="N86" s="207">
        <f t="shared" si="19"/>
        <v>79.8</v>
      </c>
      <c r="O86" s="207">
        <f t="shared" si="13"/>
        <v>5737.1447999999991</v>
      </c>
    </row>
    <row r="87" spans="1:15" s="2" customFormat="1">
      <c r="A87" s="1">
        <v>75</v>
      </c>
      <c r="C87" s="9">
        <v>1</v>
      </c>
      <c r="D87" s="1" t="s">
        <v>490</v>
      </c>
      <c r="E87" s="1" t="s">
        <v>124</v>
      </c>
      <c r="F87" s="127">
        <v>79171.1875</v>
      </c>
      <c r="G87" s="206">
        <f t="shared" si="15"/>
        <v>79171.1875</v>
      </c>
      <c r="H87" s="207">
        <f t="shared" si="10"/>
        <v>4908.613625</v>
      </c>
      <c r="I87" s="206">
        <f t="shared" si="16"/>
        <v>79171.1875</v>
      </c>
      <c r="J87" s="207">
        <f t="shared" si="10"/>
        <v>1147.9822187500001</v>
      </c>
      <c r="K87" s="206">
        <f t="shared" si="20"/>
        <v>7000</v>
      </c>
      <c r="L87" s="207">
        <f t="shared" si="17"/>
        <v>42</v>
      </c>
      <c r="M87" s="206">
        <f t="shared" si="18"/>
        <v>11400</v>
      </c>
      <c r="N87" s="207">
        <f t="shared" si="19"/>
        <v>79.8</v>
      </c>
      <c r="O87" s="207">
        <f t="shared" si="13"/>
        <v>6178.3958437500005</v>
      </c>
    </row>
    <row r="88" spans="1:15" s="2" customFormat="1">
      <c r="A88" s="1">
        <v>76</v>
      </c>
      <c r="C88" s="9">
        <v>1</v>
      </c>
      <c r="D88" s="1" t="s">
        <v>491</v>
      </c>
      <c r="E88" s="1" t="s">
        <v>124</v>
      </c>
      <c r="F88" s="127">
        <v>54060.434999999998</v>
      </c>
      <c r="G88" s="206">
        <f t="shared" si="15"/>
        <v>54060.434999999998</v>
      </c>
      <c r="H88" s="207">
        <f t="shared" si="10"/>
        <v>3351.7469699999997</v>
      </c>
      <c r="I88" s="206">
        <f t="shared" si="16"/>
        <v>54060.434999999998</v>
      </c>
      <c r="J88" s="207">
        <f t="shared" si="10"/>
        <v>783.87630750000005</v>
      </c>
      <c r="K88" s="206">
        <f t="shared" si="20"/>
        <v>7000</v>
      </c>
      <c r="L88" s="207">
        <f t="shared" si="17"/>
        <v>42</v>
      </c>
      <c r="M88" s="206">
        <f t="shared" si="18"/>
        <v>11400</v>
      </c>
      <c r="N88" s="207">
        <f t="shared" si="19"/>
        <v>79.8</v>
      </c>
      <c r="O88" s="207">
        <f t="shared" si="13"/>
        <v>4257.4232775</v>
      </c>
    </row>
    <row r="89" spans="1:15" s="2" customFormat="1">
      <c r="A89" s="1">
        <v>77</v>
      </c>
      <c r="C89" s="9">
        <v>1</v>
      </c>
      <c r="D89" s="1" t="s">
        <v>492</v>
      </c>
      <c r="E89" s="1" t="s">
        <v>124</v>
      </c>
      <c r="F89" s="127">
        <v>124100.46</v>
      </c>
      <c r="G89" s="206">
        <f t="shared" si="15"/>
        <v>124100.46</v>
      </c>
      <c r="H89" s="207">
        <f t="shared" si="10"/>
        <v>7694.2285200000006</v>
      </c>
      <c r="I89" s="206">
        <f t="shared" si="16"/>
        <v>124100.46</v>
      </c>
      <c r="J89" s="207">
        <f t="shared" si="10"/>
        <v>1799.4566700000003</v>
      </c>
      <c r="K89" s="206">
        <f t="shared" si="20"/>
        <v>7000</v>
      </c>
      <c r="L89" s="207">
        <f t="shared" si="17"/>
        <v>42</v>
      </c>
      <c r="M89" s="206">
        <f t="shared" si="18"/>
        <v>11400</v>
      </c>
      <c r="N89" s="207">
        <f t="shared" si="19"/>
        <v>79.8</v>
      </c>
      <c r="O89" s="207">
        <f t="shared" si="13"/>
        <v>9615.4851899999994</v>
      </c>
    </row>
    <row r="90" spans="1:15" s="2" customFormat="1">
      <c r="A90" s="1">
        <v>78</v>
      </c>
      <c r="C90" s="9">
        <v>1</v>
      </c>
      <c r="D90" s="1" t="s">
        <v>493</v>
      </c>
      <c r="E90" s="1" t="s">
        <v>124</v>
      </c>
      <c r="F90" s="127">
        <v>124038.30250000001</v>
      </c>
      <c r="G90" s="206">
        <f t="shared" si="15"/>
        <v>124038.30250000001</v>
      </c>
      <c r="H90" s="207">
        <f t="shared" si="10"/>
        <v>7690.3747549999998</v>
      </c>
      <c r="I90" s="206">
        <f t="shared" si="16"/>
        <v>124038.30250000001</v>
      </c>
      <c r="J90" s="207">
        <f t="shared" si="10"/>
        <v>1798.5553862500001</v>
      </c>
      <c r="K90" s="206">
        <f t="shared" si="20"/>
        <v>7000</v>
      </c>
      <c r="L90" s="207">
        <f t="shared" si="17"/>
        <v>42</v>
      </c>
      <c r="M90" s="206">
        <f t="shared" si="18"/>
        <v>11400</v>
      </c>
      <c r="N90" s="207">
        <f t="shared" si="19"/>
        <v>79.8</v>
      </c>
      <c r="O90" s="207">
        <f t="shared" si="13"/>
        <v>9610.7301412499983</v>
      </c>
    </row>
    <row r="91" spans="1:15" s="2" customFormat="1">
      <c r="A91" s="1">
        <v>79</v>
      </c>
      <c r="C91" s="9">
        <v>1</v>
      </c>
      <c r="D91" s="1" t="s">
        <v>494</v>
      </c>
      <c r="E91" s="1" t="s">
        <v>124</v>
      </c>
      <c r="F91" s="127">
        <v>100519.51000000001</v>
      </c>
      <c r="G91" s="206">
        <f t="shared" si="15"/>
        <v>100519.51000000001</v>
      </c>
      <c r="H91" s="207">
        <f t="shared" si="10"/>
        <v>6232.2096200000005</v>
      </c>
      <c r="I91" s="206">
        <f t="shared" si="16"/>
        <v>100519.51000000001</v>
      </c>
      <c r="J91" s="207">
        <f t="shared" si="10"/>
        <v>1457.5328950000003</v>
      </c>
      <c r="K91" s="206">
        <f t="shared" si="20"/>
        <v>7000</v>
      </c>
      <c r="L91" s="207">
        <f t="shared" si="17"/>
        <v>42</v>
      </c>
      <c r="M91" s="206">
        <f t="shared" si="18"/>
        <v>11400</v>
      </c>
      <c r="N91" s="207">
        <f t="shared" si="19"/>
        <v>79.8</v>
      </c>
      <c r="O91" s="207">
        <f t="shared" si="13"/>
        <v>7811.542515000001</v>
      </c>
    </row>
    <row r="92" spans="1:15" s="2" customFormat="1">
      <c r="A92" s="1">
        <v>80</v>
      </c>
      <c r="C92" s="9">
        <v>1</v>
      </c>
      <c r="D92" s="1" t="s">
        <v>495</v>
      </c>
      <c r="E92" s="1" t="s">
        <v>124</v>
      </c>
      <c r="F92" s="127">
        <v>53828.774999999994</v>
      </c>
      <c r="G92" s="206">
        <f t="shared" si="15"/>
        <v>53828.774999999994</v>
      </c>
      <c r="H92" s="207">
        <f t="shared" si="10"/>
        <v>3337.3840499999997</v>
      </c>
      <c r="I92" s="206">
        <f t="shared" si="16"/>
        <v>53828.774999999994</v>
      </c>
      <c r="J92" s="207">
        <f t="shared" si="10"/>
        <v>780.51723749999996</v>
      </c>
      <c r="K92" s="206">
        <f t="shared" si="20"/>
        <v>7000</v>
      </c>
      <c r="L92" s="207">
        <f t="shared" si="17"/>
        <v>42</v>
      </c>
      <c r="M92" s="206">
        <f t="shared" si="18"/>
        <v>11400</v>
      </c>
      <c r="N92" s="207">
        <f t="shared" si="19"/>
        <v>79.8</v>
      </c>
      <c r="O92" s="207">
        <f t="shared" si="13"/>
        <v>4239.7012875</v>
      </c>
    </row>
    <row r="93" spans="1:15" s="2" customFormat="1">
      <c r="A93" s="1">
        <v>81</v>
      </c>
      <c r="C93" s="9">
        <v>1</v>
      </c>
      <c r="D93" s="1" t="s">
        <v>496</v>
      </c>
      <c r="E93" s="1" t="s">
        <v>124</v>
      </c>
      <c r="F93" s="127">
        <v>78619.09375</v>
      </c>
      <c r="G93" s="206">
        <f t="shared" si="15"/>
        <v>78619.09375</v>
      </c>
      <c r="H93" s="207">
        <f t="shared" si="10"/>
        <v>4874.3838125000002</v>
      </c>
      <c r="I93" s="206">
        <f t="shared" si="16"/>
        <v>78619.09375</v>
      </c>
      <c r="J93" s="207">
        <f t="shared" si="10"/>
        <v>1139.976859375</v>
      </c>
      <c r="K93" s="206">
        <f t="shared" si="20"/>
        <v>7000</v>
      </c>
      <c r="L93" s="207">
        <f t="shared" si="17"/>
        <v>42</v>
      </c>
      <c r="M93" s="206">
        <f t="shared" si="18"/>
        <v>11400</v>
      </c>
      <c r="N93" s="207">
        <f t="shared" si="19"/>
        <v>79.8</v>
      </c>
      <c r="O93" s="207">
        <f t="shared" si="13"/>
        <v>6136.1606718749999</v>
      </c>
    </row>
    <row r="94" spans="1:15" s="2" customFormat="1">
      <c r="A94" s="1">
        <v>82</v>
      </c>
      <c r="C94" s="9">
        <v>1</v>
      </c>
      <c r="D94" s="1" t="s">
        <v>497</v>
      </c>
      <c r="E94" s="1" t="s">
        <v>124</v>
      </c>
      <c r="F94" s="127">
        <v>56242.672500000001</v>
      </c>
      <c r="G94" s="206">
        <f t="shared" si="15"/>
        <v>56242.672500000001</v>
      </c>
      <c r="H94" s="207">
        <f t="shared" si="10"/>
        <v>3487.0456949999998</v>
      </c>
      <c r="I94" s="206">
        <f t="shared" si="16"/>
        <v>56242.672500000001</v>
      </c>
      <c r="J94" s="207">
        <f t="shared" si="10"/>
        <v>815.51875125000004</v>
      </c>
      <c r="K94" s="206">
        <f t="shared" si="20"/>
        <v>7000</v>
      </c>
      <c r="L94" s="207">
        <f t="shared" si="17"/>
        <v>42</v>
      </c>
      <c r="M94" s="206">
        <f t="shared" si="18"/>
        <v>11400</v>
      </c>
      <c r="N94" s="207">
        <f t="shared" si="19"/>
        <v>79.8</v>
      </c>
      <c r="O94" s="207">
        <f t="shared" si="13"/>
        <v>4424.3644462499997</v>
      </c>
    </row>
    <row r="95" spans="1:15" s="2" customFormat="1">
      <c r="A95" s="1">
        <v>83</v>
      </c>
      <c r="C95" s="9">
        <v>1</v>
      </c>
      <c r="D95" s="1" t="s">
        <v>498</v>
      </c>
      <c r="E95" s="1"/>
      <c r="F95" s="127">
        <v>53539.199999999997</v>
      </c>
      <c r="G95" s="206">
        <f t="shared" si="15"/>
        <v>53539.199999999997</v>
      </c>
      <c r="H95" s="207">
        <f t="shared" si="10"/>
        <v>3319.4303999999997</v>
      </c>
      <c r="I95" s="206">
        <f t="shared" si="16"/>
        <v>53539.199999999997</v>
      </c>
      <c r="J95" s="207">
        <f t="shared" si="10"/>
        <v>776.3184</v>
      </c>
      <c r="K95" s="206">
        <f t="shared" si="20"/>
        <v>7000</v>
      </c>
      <c r="L95" s="207">
        <f t="shared" si="17"/>
        <v>42</v>
      </c>
      <c r="M95" s="206">
        <f t="shared" si="18"/>
        <v>11400</v>
      </c>
      <c r="N95" s="207">
        <f t="shared" si="19"/>
        <v>79.8</v>
      </c>
      <c r="O95" s="207">
        <f t="shared" si="13"/>
        <v>4217.5487999999996</v>
      </c>
    </row>
    <row r="96" spans="1:15" s="2" customFormat="1">
      <c r="A96" s="1">
        <v>84</v>
      </c>
      <c r="C96" s="9">
        <v>1</v>
      </c>
      <c r="D96" s="1" t="s">
        <v>499</v>
      </c>
      <c r="E96" s="1" t="s">
        <v>124</v>
      </c>
      <c r="F96" s="127">
        <v>99095.2</v>
      </c>
      <c r="G96" s="206">
        <f t="shared" si="15"/>
        <v>99095.2</v>
      </c>
      <c r="H96" s="207">
        <f t="shared" si="10"/>
        <v>6143.9023999999999</v>
      </c>
      <c r="I96" s="206">
        <f t="shared" si="16"/>
        <v>99095.2</v>
      </c>
      <c r="J96" s="207">
        <f t="shared" si="10"/>
        <v>1436.8804</v>
      </c>
      <c r="K96" s="206">
        <f t="shared" si="20"/>
        <v>7000</v>
      </c>
      <c r="L96" s="207">
        <f t="shared" si="17"/>
        <v>42</v>
      </c>
      <c r="M96" s="206">
        <f t="shared" si="18"/>
        <v>11400</v>
      </c>
      <c r="N96" s="207">
        <f t="shared" si="19"/>
        <v>79.8</v>
      </c>
      <c r="O96" s="207">
        <f t="shared" si="13"/>
        <v>7702.5828000000001</v>
      </c>
    </row>
    <row r="97" spans="1:15" s="2" customFormat="1">
      <c r="A97" s="1">
        <v>85</v>
      </c>
      <c r="C97" s="9">
        <v>1</v>
      </c>
      <c r="D97" s="1" t="s">
        <v>500</v>
      </c>
      <c r="E97" s="1" t="s">
        <v>123</v>
      </c>
      <c r="F97" s="127">
        <v>0</v>
      </c>
      <c r="G97" s="206">
        <f t="shared" si="15"/>
        <v>0</v>
      </c>
      <c r="H97" s="207">
        <f t="shared" si="10"/>
        <v>0</v>
      </c>
      <c r="I97" s="206">
        <f t="shared" si="16"/>
        <v>0</v>
      </c>
      <c r="J97" s="207">
        <f t="shared" si="10"/>
        <v>0</v>
      </c>
      <c r="K97" s="206">
        <f t="shared" si="20"/>
        <v>0</v>
      </c>
      <c r="L97" s="207">
        <f t="shared" si="17"/>
        <v>0</v>
      </c>
      <c r="M97" s="206">
        <f t="shared" si="18"/>
        <v>0</v>
      </c>
      <c r="N97" s="207">
        <f t="shared" si="19"/>
        <v>0</v>
      </c>
      <c r="O97" s="207">
        <f t="shared" si="13"/>
        <v>0</v>
      </c>
    </row>
    <row r="98" spans="1:15" s="2" customFormat="1">
      <c r="A98" s="1">
        <v>86</v>
      </c>
      <c r="C98" s="9">
        <v>1</v>
      </c>
      <c r="D98" s="1" t="s">
        <v>501</v>
      </c>
      <c r="E98" s="1" t="s">
        <v>124</v>
      </c>
      <c r="F98" s="127">
        <v>78982.994999999995</v>
      </c>
      <c r="G98" s="206">
        <f t="shared" si="15"/>
        <v>78982.994999999995</v>
      </c>
      <c r="H98" s="207">
        <f t="shared" si="10"/>
        <v>4896.9456899999996</v>
      </c>
      <c r="I98" s="206">
        <f t="shared" si="16"/>
        <v>78982.994999999995</v>
      </c>
      <c r="J98" s="207">
        <f t="shared" si="10"/>
        <v>1145.2534275</v>
      </c>
      <c r="K98" s="206">
        <f t="shared" si="20"/>
        <v>7000</v>
      </c>
      <c r="L98" s="207">
        <f t="shared" si="17"/>
        <v>42</v>
      </c>
      <c r="M98" s="206">
        <f t="shared" si="18"/>
        <v>11400</v>
      </c>
      <c r="N98" s="207">
        <f t="shared" si="19"/>
        <v>79.8</v>
      </c>
      <c r="O98" s="207">
        <f t="shared" si="13"/>
        <v>6163.9991174999996</v>
      </c>
    </row>
    <row r="99" spans="1:15" s="2" customFormat="1">
      <c r="A99" s="1">
        <v>87</v>
      </c>
      <c r="C99" s="9">
        <v>1</v>
      </c>
      <c r="D99" s="1" t="s">
        <v>502</v>
      </c>
      <c r="E99" s="1" t="s">
        <v>124</v>
      </c>
      <c r="F99" s="127">
        <v>125153.595</v>
      </c>
      <c r="G99" s="206">
        <f t="shared" si="15"/>
        <v>125153.595</v>
      </c>
      <c r="H99" s="207">
        <f t="shared" si="10"/>
        <v>7759.5228900000002</v>
      </c>
      <c r="I99" s="206">
        <f t="shared" si="16"/>
        <v>125153.595</v>
      </c>
      <c r="J99" s="207">
        <f t="shared" si="10"/>
        <v>1814.7271275000001</v>
      </c>
      <c r="K99" s="206">
        <f t="shared" si="20"/>
        <v>7000</v>
      </c>
      <c r="L99" s="207">
        <f t="shared" si="17"/>
        <v>42</v>
      </c>
      <c r="M99" s="206">
        <f t="shared" si="18"/>
        <v>11400</v>
      </c>
      <c r="N99" s="207">
        <f t="shared" si="19"/>
        <v>79.8</v>
      </c>
      <c r="O99" s="207">
        <f t="shared" si="13"/>
        <v>9696.0500174999997</v>
      </c>
    </row>
    <row r="100" spans="1:15" s="2" customFormat="1">
      <c r="A100" s="1">
        <v>88</v>
      </c>
      <c r="C100" s="9">
        <v>1</v>
      </c>
      <c r="D100" s="1" t="s">
        <v>503</v>
      </c>
      <c r="E100" s="1" t="s">
        <v>124</v>
      </c>
      <c r="F100" s="127">
        <v>119561.68000000001</v>
      </c>
      <c r="G100" s="206">
        <f t="shared" si="15"/>
        <v>119561.68000000001</v>
      </c>
      <c r="H100" s="207">
        <f t="shared" si="10"/>
        <v>7412.8241600000001</v>
      </c>
      <c r="I100" s="206">
        <f t="shared" si="16"/>
        <v>119561.68000000001</v>
      </c>
      <c r="J100" s="207">
        <f t="shared" si="10"/>
        <v>1733.6443600000002</v>
      </c>
      <c r="K100" s="206">
        <f t="shared" si="20"/>
        <v>7000</v>
      </c>
      <c r="L100" s="207">
        <f t="shared" si="17"/>
        <v>42</v>
      </c>
      <c r="M100" s="206">
        <f t="shared" si="18"/>
        <v>11400</v>
      </c>
      <c r="N100" s="207">
        <f t="shared" si="19"/>
        <v>79.8</v>
      </c>
      <c r="O100" s="207">
        <f t="shared" si="13"/>
        <v>9268.2685199999996</v>
      </c>
    </row>
    <row r="101" spans="1:15" s="2" customFormat="1">
      <c r="A101" s="1">
        <v>89</v>
      </c>
      <c r="C101" s="9">
        <v>1</v>
      </c>
      <c r="D101" s="1" t="s">
        <v>504</v>
      </c>
      <c r="E101" s="1" t="s">
        <v>124</v>
      </c>
      <c r="F101" s="127">
        <v>77007.603749999995</v>
      </c>
      <c r="G101" s="206">
        <f t="shared" si="15"/>
        <v>77007.603749999995</v>
      </c>
      <c r="H101" s="207">
        <f t="shared" si="10"/>
        <v>4774.4714324999995</v>
      </c>
      <c r="I101" s="206">
        <f t="shared" si="16"/>
        <v>77007.603749999995</v>
      </c>
      <c r="J101" s="207">
        <f t="shared" si="10"/>
        <v>1116.6102543750001</v>
      </c>
      <c r="K101" s="206">
        <f t="shared" si="20"/>
        <v>7000</v>
      </c>
      <c r="L101" s="207">
        <f t="shared" si="17"/>
        <v>42</v>
      </c>
      <c r="M101" s="206">
        <f t="shared" si="18"/>
        <v>11400</v>
      </c>
      <c r="N101" s="207">
        <f t="shared" si="19"/>
        <v>79.8</v>
      </c>
      <c r="O101" s="207">
        <f t="shared" si="13"/>
        <v>6012.881686875</v>
      </c>
    </row>
    <row r="102" spans="1:15" s="2" customFormat="1">
      <c r="A102" s="1">
        <v>90</v>
      </c>
      <c r="C102" s="9">
        <v>1</v>
      </c>
      <c r="D102" s="1" t="s">
        <v>505</v>
      </c>
      <c r="E102" s="1" t="s">
        <v>124</v>
      </c>
      <c r="F102" s="127">
        <v>125480.43000000001</v>
      </c>
      <c r="G102" s="206">
        <f t="shared" si="15"/>
        <v>125480.43000000001</v>
      </c>
      <c r="H102" s="207">
        <f t="shared" si="10"/>
        <v>7779.7866600000007</v>
      </c>
      <c r="I102" s="206">
        <f t="shared" si="16"/>
        <v>125480.43000000001</v>
      </c>
      <c r="J102" s="207">
        <f t="shared" si="10"/>
        <v>1819.4662350000001</v>
      </c>
      <c r="K102" s="206">
        <f t="shared" si="20"/>
        <v>7000</v>
      </c>
      <c r="L102" s="207">
        <f t="shared" si="17"/>
        <v>42</v>
      </c>
      <c r="M102" s="206">
        <f t="shared" si="18"/>
        <v>11400</v>
      </c>
      <c r="N102" s="207">
        <f t="shared" si="19"/>
        <v>79.8</v>
      </c>
      <c r="O102" s="207">
        <f t="shared" si="13"/>
        <v>9721.0528950000007</v>
      </c>
    </row>
    <row r="103" spans="1:15" s="2" customFormat="1">
      <c r="A103" s="1">
        <v>91</v>
      </c>
      <c r="C103" s="9">
        <v>1</v>
      </c>
      <c r="D103" s="1" t="s">
        <v>506</v>
      </c>
      <c r="E103" s="1" t="s">
        <v>123</v>
      </c>
      <c r="F103" s="127">
        <v>0</v>
      </c>
      <c r="G103" s="206">
        <f t="shared" si="15"/>
        <v>0</v>
      </c>
      <c r="H103" s="207">
        <f t="shared" si="10"/>
        <v>0</v>
      </c>
      <c r="I103" s="206">
        <f t="shared" si="16"/>
        <v>0</v>
      </c>
      <c r="J103" s="207">
        <f t="shared" si="10"/>
        <v>0</v>
      </c>
      <c r="K103" s="206">
        <f t="shared" si="20"/>
        <v>0</v>
      </c>
      <c r="L103" s="207">
        <f t="shared" si="17"/>
        <v>0</v>
      </c>
      <c r="M103" s="206">
        <f t="shared" si="18"/>
        <v>0</v>
      </c>
      <c r="N103" s="207">
        <f t="shared" si="19"/>
        <v>0</v>
      </c>
      <c r="O103" s="207">
        <f t="shared" si="13"/>
        <v>0</v>
      </c>
    </row>
    <row r="104" spans="1:15" s="2" customFormat="1">
      <c r="A104" s="1">
        <v>92</v>
      </c>
      <c r="C104" s="9">
        <v>1</v>
      </c>
      <c r="D104" s="1" t="s">
        <v>507</v>
      </c>
      <c r="E104" s="1" t="s">
        <v>124</v>
      </c>
      <c r="F104" s="127">
        <v>131499.34</v>
      </c>
      <c r="G104" s="206">
        <f t="shared" ref="G104:G167" si="21">IF($F104&lt;G$10,$F104,G$10)</f>
        <v>131499.34</v>
      </c>
      <c r="H104" s="207">
        <f t="shared" si="10"/>
        <v>8152.9590799999996</v>
      </c>
      <c r="I104" s="206">
        <f t="shared" ref="I104:I167" si="22">F104</f>
        <v>131499.34</v>
      </c>
      <c r="J104" s="207">
        <f t="shared" si="10"/>
        <v>1906.7404300000001</v>
      </c>
      <c r="K104" s="206">
        <f t="shared" si="20"/>
        <v>7000</v>
      </c>
      <c r="L104" s="207">
        <f t="shared" ref="L104:L167" si="23">K104*L$10</f>
        <v>42</v>
      </c>
      <c r="M104" s="206">
        <f t="shared" si="18"/>
        <v>11400</v>
      </c>
      <c r="N104" s="207">
        <f t="shared" ref="N104:N167" si="24">M104*N$10</f>
        <v>79.8</v>
      </c>
      <c r="O104" s="207">
        <f t="shared" si="13"/>
        <v>10181.49951</v>
      </c>
    </row>
    <row r="105" spans="1:15" s="2" customFormat="1">
      <c r="A105" s="1">
        <v>93</v>
      </c>
      <c r="C105" s="9">
        <v>1</v>
      </c>
      <c r="D105" s="1" t="s">
        <v>508</v>
      </c>
      <c r="E105" s="1" t="s">
        <v>124</v>
      </c>
      <c r="F105" s="127">
        <v>126051.04750000002</v>
      </c>
      <c r="G105" s="206">
        <f t="shared" si="21"/>
        <v>126051.04750000002</v>
      </c>
      <c r="H105" s="207">
        <f t="shared" si="10"/>
        <v>7815.1649450000004</v>
      </c>
      <c r="I105" s="206">
        <f t="shared" si="22"/>
        <v>126051.04750000002</v>
      </c>
      <c r="J105" s="207">
        <f t="shared" si="10"/>
        <v>1827.7401887500002</v>
      </c>
      <c r="K105" s="206">
        <f t="shared" si="20"/>
        <v>7000</v>
      </c>
      <c r="L105" s="207">
        <f t="shared" si="23"/>
        <v>42</v>
      </c>
      <c r="M105" s="206">
        <f t="shared" si="18"/>
        <v>11400</v>
      </c>
      <c r="N105" s="207">
        <f t="shared" si="24"/>
        <v>79.8</v>
      </c>
      <c r="O105" s="207">
        <f t="shared" si="13"/>
        <v>9764.7051337499997</v>
      </c>
    </row>
    <row r="106" spans="1:15" s="2" customFormat="1">
      <c r="A106" s="1">
        <v>94</v>
      </c>
      <c r="C106" s="9">
        <v>1</v>
      </c>
      <c r="D106" s="1" t="s">
        <v>509</v>
      </c>
      <c r="E106" s="1" t="s">
        <v>124</v>
      </c>
      <c r="F106" s="127">
        <v>133869.19500000001</v>
      </c>
      <c r="G106" s="206">
        <f t="shared" si="21"/>
        <v>133869.19500000001</v>
      </c>
      <c r="H106" s="207">
        <f t="shared" si="10"/>
        <v>8299.8900900000008</v>
      </c>
      <c r="I106" s="206">
        <f t="shared" si="22"/>
        <v>133869.19500000001</v>
      </c>
      <c r="J106" s="207">
        <f t="shared" si="10"/>
        <v>1941.1033275000002</v>
      </c>
      <c r="K106" s="206">
        <f t="shared" si="20"/>
        <v>7000</v>
      </c>
      <c r="L106" s="207">
        <f t="shared" si="23"/>
        <v>42</v>
      </c>
      <c r="M106" s="206">
        <f t="shared" si="18"/>
        <v>11400</v>
      </c>
      <c r="N106" s="207">
        <f t="shared" si="24"/>
        <v>79.8</v>
      </c>
      <c r="O106" s="207">
        <f t="shared" si="13"/>
        <v>10362.793417500001</v>
      </c>
    </row>
    <row r="107" spans="1:15" s="2" customFormat="1">
      <c r="A107" s="1">
        <v>95</v>
      </c>
      <c r="C107" s="9">
        <v>1</v>
      </c>
      <c r="D107" s="1" t="s">
        <v>510</v>
      </c>
      <c r="E107" s="1" t="s">
        <v>124</v>
      </c>
      <c r="F107" s="127">
        <v>148177.30499999999</v>
      </c>
      <c r="G107" s="206">
        <f t="shared" si="21"/>
        <v>148177.30499999999</v>
      </c>
      <c r="H107" s="207">
        <f t="shared" si="10"/>
        <v>9186.992909999999</v>
      </c>
      <c r="I107" s="206">
        <f t="shared" si="22"/>
        <v>148177.30499999999</v>
      </c>
      <c r="J107" s="207">
        <f t="shared" si="10"/>
        <v>2148.5709225000001</v>
      </c>
      <c r="K107" s="206">
        <f t="shared" si="20"/>
        <v>7000</v>
      </c>
      <c r="L107" s="207">
        <f t="shared" si="23"/>
        <v>42</v>
      </c>
      <c r="M107" s="206">
        <f t="shared" si="18"/>
        <v>11400</v>
      </c>
      <c r="N107" s="207">
        <f t="shared" si="24"/>
        <v>79.8</v>
      </c>
      <c r="O107" s="207">
        <f t="shared" si="13"/>
        <v>11457.363832499999</v>
      </c>
    </row>
    <row r="108" spans="1:15" s="2" customFormat="1">
      <c r="A108" s="1">
        <v>96</v>
      </c>
      <c r="C108" s="9">
        <v>1</v>
      </c>
      <c r="D108" s="1" t="s">
        <v>511</v>
      </c>
      <c r="E108" s="1" t="s">
        <v>124</v>
      </c>
      <c r="F108" s="127">
        <v>79887.462499999994</v>
      </c>
      <c r="G108" s="206">
        <f t="shared" si="21"/>
        <v>79887.462499999994</v>
      </c>
      <c r="H108" s="207">
        <f t="shared" si="10"/>
        <v>4953.0226749999993</v>
      </c>
      <c r="I108" s="206">
        <f t="shared" si="22"/>
        <v>79887.462499999994</v>
      </c>
      <c r="J108" s="207">
        <f t="shared" si="10"/>
        <v>1158.36820625</v>
      </c>
      <c r="K108" s="206">
        <f t="shared" si="20"/>
        <v>7000</v>
      </c>
      <c r="L108" s="207">
        <f t="shared" si="23"/>
        <v>42</v>
      </c>
      <c r="M108" s="206">
        <f t="shared" si="18"/>
        <v>11400</v>
      </c>
      <c r="N108" s="207">
        <f t="shared" si="24"/>
        <v>79.8</v>
      </c>
      <c r="O108" s="207">
        <f t="shared" si="13"/>
        <v>6233.1908812499996</v>
      </c>
    </row>
    <row r="109" spans="1:15" s="2" customFormat="1">
      <c r="A109" s="1">
        <v>97</v>
      </c>
      <c r="C109" s="9">
        <v>1</v>
      </c>
      <c r="D109" s="1" t="s">
        <v>512</v>
      </c>
      <c r="E109" s="1" t="s">
        <v>124</v>
      </c>
      <c r="F109" s="127">
        <v>54311.399999999994</v>
      </c>
      <c r="G109" s="206">
        <f t="shared" si="21"/>
        <v>54311.399999999994</v>
      </c>
      <c r="H109" s="207">
        <f t="shared" si="10"/>
        <v>3367.3067999999998</v>
      </c>
      <c r="I109" s="206">
        <f t="shared" si="22"/>
        <v>54311.399999999994</v>
      </c>
      <c r="J109" s="207">
        <f t="shared" si="10"/>
        <v>787.51529999999991</v>
      </c>
      <c r="K109" s="206">
        <f t="shared" si="20"/>
        <v>7000</v>
      </c>
      <c r="L109" s="207">
        <f t="shared" si="23"/>
        <v>42</v>
      </c>
      <c r="M109" s="206">
        <f t="shared" si="18"/>
        <v>11400</v>
      </c>
      <c r="N109" s="207">
        <f t="shared" si="24"/>
        <v>79.8</v>
      </c>
      <c r="O109" s="207">
        <f t="shared" si="13"/>
        <v>4276.6220999999996</v>
      </c>
    </row>
    <row r="110" spans="1:15" s="2" customFormat="1">
      <c r="A110" s="1">
        <v>98</v>
      </c>
      <c r="C110" s="9">
        <v>1</v>
      </c>
      <c r="D110" s="1" t="s">
        <v>513</v>
      </c>
      <c r="E110" s="1" t="s">
        <v>124</v>
      </c>
      <c r="F110" s="127">
        <v>115183.1</v>
      </c>
      <c r="G110" s="206">
        <f t="shared" si="21"/>
        <v>115183.1</v>
      </c>
      <c r="H110" s="207">
        <f t="shared" si="10"/>
        <v>7141.3522000000003</v>
      </c>
      <c r="I110" s="206">
        <f t="shared" si="22"/>
        <v>115183.1</v>
      </c>
      <c r="J110" s="207">
        <f t="shared" si="10"/>
        <v>1670.1549500000001</v>
      </c>
      <c r="K110" s="206">
        <f t="shared" si="20"/>
        <v>7000</v>
      </c>
      <c r="L110" s="207">
        <f t="shared" si="23"/>
        <v>42</v>
      </c>
      <c r="M110" s="206">
        <f t="shared" si="18"/>
        <v>11400</v>
      </c>
      <c r="N110" s="207">
        <f t="shared" si="24"/>
        <v>79.8</v>
      </c>
      <c r="O110" s="207">
        <f t="shared" si="13"/>
        <v>8933.3071500000005</v>
      </c>
    </row>
    <row r="111" spans="1:15" s="2" customFormat="1">
      <c r="A111" s="1">
        <v>99</v>
      </c>
      <c r="C111" s="9">
        <v>1</v>
      </c>
      <c r="D111" s="1" t="s">
        <v>514</v>
      </c>
      <c r="E111" s="1" t="s">
        <v>124</v>
      </c>
      <c r="F111" s="127">
        <v>121990.85500000001</v>
      </c>
      <c r="G111" s="206">
        <f t="shared" si="21"/>
        <v>121990.85500000001</v>
      </c>
      <c r="H111" s="207">
        <f t="shared" si="10"/>
        <v>7563.4330100000006</v>
      </c>
      <c r="I111" s="206">
        <f t="shared" si="22"/>
        <v>121990.85500000001</v>
      </c>
      <c r="J111" s="207">
        <f t="shared" si="10"/>
        <v>1768.8673975000002</v>
      </c>
      <c r="K111" s="206">
        <f t="shared" si="20"/>
        <v>7000</v>
      </c>
      <c r="L111" s="207">
        <f t="shared" si="23"/>
        <v>42</v>
      </c>
      <c r="M111" s="206">
        <f t="shared" si="18"/>
        <v>11400</v>
      </c>
      <c r="N111" s="207">
        <f t="shared" si="24"/>
        <v>79.8</v>
      </c>
      <c r="O111" s="207">
        <f t="shared" si="13"/>
        <v>9454.1004075000001</v>
      </c>
    </row>
    <row r="112" spans="1:15" s="2" customFormat="1">
      <c r="A112" s="1">
        <v>100</v>
      </c>
      <c r="C112" s="9">
        <v>1</v>
      </c>
      <c r="D112" s="1" t="s">
        <v>515</v>
      </c>
      <c r="E112" s="1" t="s">
        <v>124</v>
      </c>
      <c r="F112" s="127">
        <v>124732.35250000001</v>
      </c>
      <c r="G112" s="206">
        <f t="shared" si="21"/>
        <v>124732.35250000001</v>
      </c>
      <c r="H112" s="207">
        <f t="shared" si="10"/>
        <v>7733.4058550000009</v>
      </c>
      <c r="I112" s="206">
        <f t="shared" si="22"/>
        <v>124732.35250000001</v>
      </c>
      <c r="J112" s="207">
        <f t="shared" si="10"/>
        <v>1808.6191112500003</v>
      </c>
      <c r="K112" s="206">
        <f t="shared" si="20"/>
        <v>7000</v>
      </c>
      <c r="L112" s="207">
        <f t="shared" si="23"/>
        <v>42</v>
      </c>
      <c r="M112" s="206">
        <f t="shared" si="18"/>
        <v>11400</v>
      </c>
      <c r="N112" s="207">
        <f t="shared" si="24"/>
        <v>79.8</v>
      </c>
      <c r="O112" s="207">
        <f t="shared" si="13"/>
        <v>9663.8249662500002</v>
      </c>
    </row>
    <row r="113" spans="1:15" s="2" customFormat="1">
      <c r="A113" s="1">
        <v>101</v>
      </c>
      <c r="C113" s="9">
        <v>1</v>
      </c>
      <c r="D113" s="1" t="s">
        <v>516</v>
      </c>
      <c r="E113" s="1" t="s">
        <v>124</v>
      </c>
      <c r="F113" s="127">
        <v>140514.84</v>
      </c>
      <c r="G113" s="206">
        <f t="shared" si="21"/>
        <v>140514.84</v>
      </c>
      <c r="H113" s="207">
        <f t="shared" si="10"/>
        <v>8711.9200799999999</v>
      </c>
      <c r="I113" s="206">
        <f t="shared" si="22"/>
        <v>140514.84</v>
      </c>
      <c r="J113" s="207">
        <f t="shared" si="10"/>
        <v>2037.4651800000001</v>
      </c>
      <c r="K113" s="206">
        <f t="shared" si="20"/>
        <v>7000</v>
      </c>
      <c r="L113" s="207">
        <f t="shared" si="23"/>
        <v>42</v>
      </c>
      <c r="M113" s="206">
        <f t="shared" si="18"/>
        <v>11400</v>
      </c>
      <c r="N113" s="207">
        <f t="shared" si="24"/>
        <v>79.8</v>
      </c>
      <c r="O113" s="207">
        <f t="shared" si="13"/>
        <v>10871.185259999998</v>
      </c>
    </row>
    <row r="114" spans="1:15" s="2" customFormat="1">
      <c r="A114" s="1">
        <v>102</v>
      </c>
      <c r="C114" s="9">
        <v>1</v>
      </c>
      <c r="D114" s="1" t="s">
        <v>517</v>
      </c>
      <c r="E114" s="1" t="s">
        <v>124</v>
      </c>
      <c r="F114" s="127">
        <v>53568.157499999994</v>
      </c>
      <c r="G114" s="206">
        <f t="shared" si="21"/>
        <v>53568.157499999994</v>
      </c>
      <c r="H114" s="207">
        <f t="shared" si="10"/>
        <v>3321.2257649999997</v>
      </c>
      <c r="I114" s="206">
        <f t="shared" si="22"/>
        <v>53568.157499999994</v>
      </c>
      <c r="J114" s="207">
        <f t="shared" si="10"/>
        <v>776.73828374999994</v>
      </c>
      <c r="K114" s="206">
        <f t="shared" si="20"/>
        <v>7000</v>
      </c>
      <c r="L114" s="207">
        <f t="shared" si="23"/>
        <v>42</v>
      </c>
      <c r="M114" s="206">
        <f t="shared" si="18"/>
        <v>11400</v>
      </c>
      <c r="N114" s="207">
        <f t="shared" si="24"/>
        <v>79.8</v>
      </c>
      <c r="O114" s="207">
        <f t="shared" si="13"/>
        <v>4219.7640487500003</v>
      </c>
    </row>
    <row r="115" spans="1:15" s="2" customFormat="1">
      <c r="A115" s="1">
        <v>103</v>
      </c>
      <c r="C115" s="9">
        <v>1</v>
      </c>
      <c r="D115" s="1" t="s">
        <v>518</v>
      </c>
      <c r="E115" s="1" t="s">
        <v>123</v>
      </c>
      <c r="F115" s="127">
        <v>0</v>
      </c>
      <c r="G115" s="206">
        <f t="shared" si="21"/>
        <v>0</v>
      </c>
      <c r="H115" s="207">
        <f t="shared" si="10"/>
        <v>0</v>
      </c>
      <c r="I115" s="206">
        <f t="shared" si="22"/>
        <v>0</v>
      </c>
      <c r="J115" s="207">
        <f t="shared" si="10"/>
        <v>0</v>
      </c>
      <c r="K115" s="206">
        <f t="shared" si="20"/>
        <v>0</v>
      </c>
      <c r="L115" s="207">
        <f t="shared" si="23"/>
        <v>0</v>
      </c>
      <c r="M115" s="206">
        <f t="shared" si="18"/>
        <v>0</v>
      </c>
      <c r="N115" s="207">
        <f t="shared" si="24"/>
        <v>0</v>
      </c>
      <c r="O115" s="207">
        <f t="shared" si="13"/>
        <v>0</v>
      </c>
    </row>
    <row r="116" spans="1:15" s="2" customFormat="1">
      <c r="A116" s="1">
        <v>104</v>
      </c>
      <c r="C116" s="9">
        <v>1</v>
      </c>
      <c r="D116" s="1" t="s">
        <v>519</v>
      </c>
      <c r="E116" s="1" t="s">
        <v>124</v>
      </c>
      <c r="F116" s="127">
        <v>53606.767499999994</v>
      </c>
      <c r="G116" s="206">
        <f t="shared" si="21"/>
        <v>53606.767499999994</v>
      </c>
      <c r="H116" s="207">
        <f t="shared" si="10"/>
        <v>3323.6195849999995</v>
      </c>
      <c r="I116" s="206">
        <f t="shared" si="22"/>
        <v>53606.767499999994</v>
      </c>
      <c r="J116" s="207">
        <f t="shared" si="10"/>
        <v>777.29812874999993</v>
      </c>
      <c r="K116" s="206">
        <f t="shared" si="20"/>
        <v>7000</v>
      </c>
      <c r="L116" s="207">
        <f t="shared" si="23"/>
        <v>42</v>
      </c>
      <c r="M116" s="206">
        <f t="shared" si="18"/>
        <v>11400</v>
      </c>
      <c r="N116" s="207">
        <f t="shared" si="24"/>
        <v>79.8</v>
      </c>
      <c r="O116" s="207">
        <f t="shared" si="13"/>
        <v>4222.7177137499993</v>
      </c>
    </row>
    <row r="117" spans="1:15" s="2" customFormat="1">
      <c r="A117" s="1">
        <v>105</v>
      </c>
      <c r="C117" s="9">
        <v>1</v>
      </c>
      <c r="D117" s="1" t="s">
        <v>520</v>
      </c>
      <c r="E117" s="1" t="s">
        <v>124</v>
      </c>
      <c r="F117" s="127">
        <v>77829.89</v>
      </c>
      <c r="G117" s="206">
        <f t="shared" si="21"/>
        <v>77829.89</v>
      </c>
      <c r="H117" s="207">
        <f t="shared" si="10"/>
        <v>4825.4531799999995</v>
      </c>
      <c r="I117" s="206">
        <f t="shared" si="22"/>
        <v>77829.89</v>
      </c>
      <c r="J117" s="207">
        <f t="shared" si="10"/>
        <v>1128.5334050000001</v>
      </c>
      <c r="K117" s="206">
        <f t="shared" si="20"/>
        <v>7000</v>
      </c>
      <c r="L117" s="207">
        <f t="shared" si="23"/>
        <v>42</v>
      </c>
      <c r="M117" s="206">
        <f t="shared" si="18"/>
        <v>11400</v>
      </c>
      <c r="N117" s="207">
        <f t="shared" si="24"/>
        <v>79.8</v>
      </c>
      <c r="O117" s="207">
        <f t="shared" si="13"/>
        <v>6075.7865849999998</v>
      </c>
    </row>
    <row r="118" spans="1:15" s="2" customFormat="1">
      <c r="A118" s="1">
        <v>106</v>
      </c>
      <c r="C118" s="9">
        <v>1</v>
      </c>
      <c r="D118" s="1" t="s">
        <v>521</v>
      </c>
      <c r="E118" s="1" t="s">
        <v>123</v>
      </c>
      <c r="F118" s="127">
        <v>0</v>
      </c>
      <c r="G118" s="206">
        <f t="shared" si="21"/>
        <v>0</v>
      </c>
      <c r="H118" s="207">
        <f t="shared" si="10"/>
        <v>0</v>
      </c>
      <c r="I118" s="206">
        <f t="shared" si="22"/>
        <v>0</v>
      </c>
      <c r="J118" s="207">
        <f t="shared" si="10"/>
        <v>0</v>
      </c>
      <c r="K118" s="206">
        <f t="shared" si="20"/>
        <v>0</v>
      </c>
      <c r="L118" s="207">
        <f t="shared" si="23"/>
        <v>0</v>
      </c>
      <c r="M118" s="206">
        <f t="shared" si="18"/>
        <v>0</v>
      </c>
      <c r="N118" s="207">
        <f t="shared" si="24"/>
        <v>0</v>
      </c>
      <c r="O118" s="207">
        <f t="shared" si="13"/>
        <v>0</v>
      </c>
    </row>
    <row r="119" spans="1:15" s="2" customFormat="1">
      <c r="A119" s="1">
        <v>107</v>
      </c>
      <c r="C119" s="9">
        <v>1</v>
      </c>
      <c r="D119" s="1" t="s">
        <v>522</v>
      </c>
      <c r="E119" s="1" t="s">
        <v>123</v>
      </c>
      <c r="F119" s="127">
        <v>0</v>
      </c>
      <c r="G119" s="206">
        <f t="shared" si="21"/>
        <v>0</v>
      </c>
      <c r="H119" s="207">
        <f t="shared" si="10"/>
        <v>0</v>
      </c>
      <c r="I119" s="206">
        <f t="shared" si="22"/>
        <v>0</v>
      </c>
      <c r="J119" s="207">
        <f t="shared" si="10"/>
        <v>0</v>
      </c>
      <c r="K119" s="206">
        <f t="shared" si="20"/>
        <v>0</v>
      </c>
      <c r="L119" s="207">
        <f t="shared" si="23"/>
        <v>0</v>
      </c>
      <c r="M119" s="206">
        <f t="shared" si="18"/>
        <v>0</v>
      </c>
      <c r="N119" s="207">
        <f t="shared" si="24"/>
        <v>0</v>
      </c>
      <c r="O119" s="207">
        <f t="shared" si="13"/>
        <v>0</v>
      </c>
    </row>
    <row r="120" spans="1:15" s="2" customFormat="1">
      <c r="A120" s="1">
        <v>108</v>
      </c>
      <c r="C120" s="9">
        <v>1</v>
      </c>
      <c r="D120" s="1" t="s">
        <v>523</v>
      </c>
      <c r="E120" s="1" t="s">
        <v>124</v>
      </c>
      <c r="F120" s="127">
        <v>80953.775000000009</v>
      </c>
      <c r="G120" s="206">
        <f t="shared" si="21"/>
        <v>80953.775000000009</v>
      </c>
      <c r="H120" s="207">
        <f t="shared" si="10"/>
        <v>5019.1340500000006</v>
      </c>
      <c r="I120" s="206">
        <f t="shared" si="22"/>
        <v>80953.775000000009</v>
      </c>
      <c r="J120" s="207">
        <f t="shared" si="10"/>
        <v>1173.8297375000002</v>
      </c>
      <c r="K120" s="206">
        <f t="shared" si="20"/>
        <v>7000</v>
      </c>
      <c r="L120" s="207">
        <f t="shared" si="23"/>
        <v>42</v>
      </c>
      <c r="M120" s="206">
        <f t="shared" si="18"/>
        <v>11400</v>
      </c>
      <c r="N120" s="207">
        <f t="shared" si="24"/>
        <v>79.8</v>
      </c>
      <c r="O120" s="207">
        <f t="shared" si="13"/>
        <v>6314.7637875000009</v>
      </c>
    </row>
    <row r="121" spans="1:15" s="2" customFormat="1">
      <c r="A121" s="1">
        <v>109</v>
      </c>
      <c r="C121" s="9">
        <v>1</v>
      </c>
      <c r="D121" s="1" t="s">
        <v>524</v>
      </c>
      <c r="E121" s="1" t="s">
        <v>124</v>
      </c>
      <c r="F121" s="127">
        <v>106867.5025</v>
      </c>
      <c r="G121" s="206">
        <f t="shared" si="21"/>
        <v>106867.5025</v>
      </c>
      <c r="H121" s="207">
        <f t="shared" si="10"/>
        <v>6625.7851550000005</v>
      </c>
      <c r="I121" s="206">
        <f t="shared" si="22"/>
        <v>106867.5025</v>
      </c>
      <c r="J121" s="207">
        <f t="shared" si="10"/>
        <v>1549.5787862500001</v>
      </c>
      <c r="K121" s="206">
        <f t="shared" si="20"/>
        <v>7000</v>
      </c>
      <c r="L121" s="207">
        <f t="shared" si="23"/>
        <v>42</v>
      </c>
      <c r="M121" s="206">
        <f t="shared" si="18"/>
        <v>11400</v>
      </c>
      <c r="N121" s="207">
        <f t="shared" si="24"/>
        <v>79.8</v>
      </c>
      <c r="O121" s="207">
        <f t="shared" si="13"/>
        <v>8297.1639412500008</v>
      </c>
    </row>
    <row r="122" spans="1:15" s="2" customFormat="1">
      <c r="A122" s="1">
        <v>110</v>
      </c>
      <c r="C122" s="9">
        <v>1</v>
      </c>
      <c r="D122" s="1" t="s">
        <v>525</v>
      </c>
      <c r="E122" s="1" t="s">
        <v>124</v>
      </c>
      <c r="F122" s="127">
        <v>125669.32</v>
      </c>
      <c r="G122" s="206">
        <f t="shared" si="21"/>
        <v>125669.32</v>
      </c>
      <c r="H122" s="207">
        <f t="shared" si="10"/>
        <v>7791.49784</v>
      </c>
      <c r="I122" s="206">
        <f t="shared" si="22"/>
        <v>125669.32</v>
      </c>
      <c r="J122" s="207">
        <f t="shared" si="10"/>
        <v>1822.2051400000003</v>
      </c>
      <c r="K122" s="206">
        <f t="shared" si="20"/>
        <v>7000</v>
      </c>
      <c r="L122" s="207">
        <f t="shared" si="23"/>
        <v>42</v>
      </c>
      <c r="M122" s="206">
        <f t="shared" si="18"/>
        <v>11400</v>
      </c>
      <c r="N122" s="207">
        <f t="shared" si="24"/>
        <v>79.8</v>
      </c>
      <c r="O122" s="207">
        <f t="shared" si="13"/>
        <v>9735.5029799999993</v>
      </c>
    </row>
    <row r="123" spans="1:15" s="2" customFormat="1">
      <c r="A123" s="1">
        <v>111</v>
      </c>
      <c r="C123" s="9">
        <v>1</v>
      </c>
      <c r="D123" s="1" t="s">
        <v>526</v>
      </c>
      <c r="E123" s="1" t="s">
        <v>124</v>
      </c>
      <c r="F123" s="127">
        <v>53558.504999999997</v>
      </c>
      <c r="G123" s="206">
        <f t="shared" si="21"/>
        <v>53558.504999999997</v>
      </c>
      <c r="H123" s="207">
        <f t="shared" si="10"/>
        <v>3320.6273099999999</v>
      </c>
      <c r="I123" s="206">
        <f t="shared" si="22"/>
        <v>53558.504999999997</v>
      </c>
      <c r="J123" s="207">
        <f t="shared" si="10"/>
        <v>776.59832249999999</v>
      </c>
      <c r="K123" s="206">
        <f t="shared" si="20"/>
        <v>7000</v>
      </c>
      <c r="L123" s="207">
        <f t="shared" si="23"/>
        <v>42</v>
      </c>
      <c r="M123" s="206">
        <f t="shared" si="18"/>
        <v>11400</v>
      </c>
      <c r="N123" s="207">
        <f t="shared" si="24"/>
        <v>79.8</v>
      </c>
      <c r="O123" s="207">
        <f t="shared" si="13"/>
        <v>4219.0256325</v>
      </c>
    </row>
    <row r="124" spans="1:15" s="2" customFormat="1">
      <c r="A124" s="1">
        <v>112</v>
      </c>
      <c r="C124" s="9">
        <v>1</v>
      </c>
      <c r="D124" s="1" t="s">
        <v>527</v>
      </c>
      <c r="E124" s="1" t="s">
        <v>123</v>
      </c>
      <c r="F124" s="127">
        <v>0</v>
      </c>
      <c r="G124" s="206">
        <f t="shared" si="21"/>
        <v>0</v>
      </c>
      <c r="H124" s="207">
        <f t="shared" si="10"/>
        <v>0</v>
      </c>
      <c r="I124" s="206">
        <f t="shared" si="22"/>
        <v>0</v>
      </c>
      <c r="J124" s="207">
        <f t="shared" si="10"/>
        <v>0</v>
      </c>
      <c r="K124" s="206">
        <f t="shared" si="20"/>
        <v>0</v>
      </c>
      <c r="L124" s="207">
        <f t="shared" si="23"/>
        <v>0</v>
      </c>
      <c r="M124" s="206">
        <f t="shared" si="18"/>
        <v>0</v>
      </c>
      <c r="N124" s="207">
        <f t="shared" si="24"/>
        <v>0</v>
      </c>
      <c r="O124" s="207">
        <f t="shared" si="13"/>
        <v>0</v>
      </c>
    </row>
    <row r="125" spans="1:15" s="2" customFormat="1">
      <c r="A125" s="1">
        <v>113</v>
      </c>
      <c r="C125" s="9">
        <v>1</v>
      </c>
      <c r="D125" s="1" t="s">
        <v>528</v>
      </c>
      <c r="E125" s="1" t="s">
        <v>124</v>
      </c>
      <c r="F125" s="127">
        <v>115605.595</v>
      </c>
      <c r="G125" s="206">
        <f t="shared" si="21"/>
        <v>115605.595</v>
      </c>
      <c r="H125" s="207">
        <f t="shared" si="10"/>
        <v>7167.5468899999996</v>
      </c>
      <c r="I125" s="206">
        <f t="shared" si="22"/>
        <v>115605.595</v>
      </c>
      <c r="J125" s="207">
        <f t="shared" si="10"/>
        <v>1676.2811275000001</v>
      </c>
      <c r="K125" s="206">
        <f t="shared" si="20"/>
        <v>7000</v>
      </c>
      <c r="L125" s="207">
        <f t="shared" si="23"/>
        <v>42</v>
      </c>
      <c r="M125" s="206">
        <f t="shared" si="18"/>
        <v>11400</v>
      </c>
      <c r="N125" s="207">
        <f t="shared" si="24"/>
        <v>79.8</v>
      </c>
      <c r="O125" s="207">
        <f t="shared" si="13"/>
        <v>8965.6280174999993</v>
      </c>
    </row>
    <row r="126" spans="1:15" s="2" customFormat="1">
      <c r="A126" s="1">
        <v>114</v>
      </c>
      <c r="C126" s="9">
        <v>1</v>
      </c>
      <c r="D126" s="1" t="s">
        <v>529</v>
      </c>
      <c r="E126" s="1" t="s">
        <v>123</v>
      </c>
      <c r="F126" s="127">
        <v>0</v>
      </c>
      <c r="G126" s="206">
        <f t="shared" si="21"/>
        <v>0</v>
      </c>
      <c r="H126" s="207">
        <f t="shared" si="10"/>
        <v>0</v>
      </c>
      <c r="I126" s="206">
        <f t="shared" si="22"/>
        <v>0</v>
      </c>
      <c r="J126" s="207">
        <f t="shared" si="10"/>
        <v>0</v>
      </c>
      <c r="K126" s="206">
        <f t="shared" si="20"/>
        <v>0</v>
      </c>
      <c r="L126" s="207">
        <f t="shared" si="23"/>
        <v>0</v>
      </c>
      <c r="M126" s="206">
        <f t="shared" si="18"/>
        <v>0</v>
      </c>
      <c r="N126" s="207">
        <f t="shared" si="24"/>
        <v>0</v>
      </c>
      <c r="O126" s="207">
        <f t="shared" si="13"/>
        <v>0</v>
      </c>
    </row>
    <row r="127" spans="1:15" s="2" customFormat="1">
      <c r="A127" s="1">
        <v>115</v>
      </c>
      <c r="C127" s="9">
        <v>1</v>
      </c>
      <c r="D127" s="1" t="s">
        <v>530</v>
      </c>
      <c r="E127" s="1" t="s">
        <v>124</v>
      </c>
      <c r="F127" s="127">
        <v>122152.755</v>
      </c>
      <c r="G127" s="206">
        <f t="shared" si="21"/>
        <v>122152.755</v>
      </c>
      <c r="H127" s="207">
        <f t="shared" si="10"/>
        <v>7573.4708099999998</v>
      </c>
      <c r="I127" s="206">
        <f t="shared" si="22"/>
        <v>122152.755</v>
      </c>
      <c r="J127" s="207">
        <f t="shared" si="10"/>
        <v>1771.2149475000001</v>
      </c>
      <c r="K127" s="206">
        <f t="shared" si="20"/>
        <v>7000</v>
      </c>
      <c r="L127" s="207">
        <f t="shared" si="23"/>
        <v>42</v>
      </c>
      <c r="M127" s="206">
        <f t="shared" si="18"/>
        <v>11400</v>
      </c>
      <c r="N127" s="207">
        <f t="shared" si="24"/>
        <v>79.8</v>
      </c>
      <c r="O127" s="207">
        <f t="shared" si="13"/>
        <v>9466.4857574999987</v>
      </c>
    </row>
    <row r="128" spans="1:15" s="2" customFormat="1">
      <c r="A128" s="1">
        <v>116</v>
      </c>
      <c r="C128" s="9">
        <v>1</v>
      </c>
      <c r="D128" s="1" t="s">
        <v>531</v>
      </c>
      <c r="E128" s="1" t="s">
        <v>124</v>
      </c>
      <c r="F128" s="127">
        <v>93005.175000000003</v>
      </c>
      <c r="G128" s="206">
        <f t="shared" si="21"/>
        <v>93005.175000000003</v>
      </c>
      <c r="H128" s="207">
        <f t="shared" si="10"/>
        <v>5766.3208500000001</v>
      </c>
      <c r="I128" s="206">
        <f t="shared" si="22"/>
        <v>93005.175000000003</v>
      </c>
      <c r="J128" s="207">
        <f t="shared" si="10"/>
        <v>1348.5750375</v>
      </c>
      <c r="K128" s="206">
        <f t="shared" si="20"/>
        <v>7000</v>
      </c>
      <c r="L128" s="207">
        <f t="shared" si="23"/>
        <v>42</v>
      </c>
      <c r="M128" s="206">
        <f t="shared" si="18"/>
        <v>11400</v>
      </c>
      <c r="N128" s="207">
        <f t="shared" si="24"/>
        <v>79.8</v>
      </c>
      <c r="O128" s="207">
        <f t="shared" si="13"/>
        <v>7236.6958875</v>
      </c>
    </row>
    <row r="129" spans="1:15" s="2" customFormat="1">
      <c r="A129" s="1">
        <v>117</v>
      </c>
      <c r="C129" s="9">
        <v>1</v>
      </c>
      <c r="D129" s="1" t="s">
        <v>532</v>
      </c>
      <c r="E129" s="1" t="s">
        <v>123</v>
      </c>
      <c r="F129" s="127">
        <v>0</v>
      </c>
      <c r="G129" s="206">
        <f t="shared" si="21"/>
        <v>0</v>
      </c>
      <c r="H129" s="207">
        <f t="shared" si="10"/>
        <v>0</v>
      </c>
      <c r="I129" s="206">
        <f t="shared" si="22"/>
        <v>0</v>
      </c>
      <c r="J129" s="207">
        <f t="shared" si="10"/>
        <v>0</v>
      </c>
      <c r="K129" s="206">
        <f t="shared" si="20"/>
        <v>0</v>
      </c>
      <c r="L129" s="207">
        <f t="shared" si="23"/>
        <v>0</v>
      </c>
      <c r="M129" s="206">
        <f t="shared" si="18"/>
        <v>0</v>
      </c>
      <c r="N129" s="207">
        <f t="shared" si="24"/>
        <v>0</v>
      </c>
      <c r="O129" s="207">
        <f t="shared" si="13"/>
        <v>0</v>
      </c>
    </row>
    <row r="130" spans="1:15" s="2" customFormat="1">
      <c r="A130" s="1">
        <v>118</v>
      </c>
      <c r="C130" s="9">
        <v>1</v>
      </c>
      <c r="D130" s="1" t="s">
        <v>533</v>
      </c>
      <c r="E130" s="1" t="s">
        <v>124</v>
      </c>
      <c r="F130" s="127">
        <v>78958.84375</v>
      </c>
      <c r="G130" s="206">
        <f t="shared" si="21"/>
        <v>78958.84375</v>
      </c>
      <c r="H130" s="207">
        <f t="shared" si="10"/>
        <v>4895.4483124999997</v>
      </c>
      <c r="I130" s="206">
        <f t="shared" si="22"/>
        <v>78958.84375</v>
      </c>
      <c r="J130" s="207">
        <f t="shared" si="10"/>
        <v>1144.903234375</v>
      </c>
      <c r="K130" s="206">
        <f t="shared" si="20"/>
        <v>7000</v>
      </c>
      <c r="L130" s="207">
        <f t="shared" si="23"/>
        <v>42</v>
      </c>
      <c r="M130" s="206">
        <f t="shared" si="18"/>
        <v>11400</v>
      </c>
      <c r="N130" s="207">
        <f t="shared" si="24"/>
        <v>79.8</v>
      </c>
      <c r="O130" s="207">
        <f t="shared" si="13"/>
        <v>6162.1515468749994</v>
      </c>
    </row>
    <row r="131" spans="1:15" s="2" customFormat="1">
      <c r="A131" s="1">
        <v>119</v>
      </c>
      <c r="C131" s="9">
        <v>1</v>
      </c>
      <c r="D131" s="1" t="s">
        <v>534</v>
      </c>
      <c r="E131" s="1" t="s">
        <v>124</v>
      </c>
      <c r="F131" s="127">
        <v>128063.79250000001</v>
      </c>
      <c r="G131" s="206">
        <f t="shared" si="21"/>
        <v>128063.79250000001</v>
      </c>
      <c r="H131" s="207">
        <f t="shared" si="10"/>
        <v>7939.9551350000002</v>
      </c>
      <c r="I131" s="206">
        <f t="shared" si="22"/>
        <v>128063.79250000001</v>
      </c>
      <c r="J131" s="207">
        <f t="shared" si="10"/>
        <v>1856.9249912500002</v>
      </c>
      <c r="K131" s="206">
        <f t="shared" si="20"/>
        <v>7000</v>
      </c>
      <c r="L131" s="207">
        <f t="shared" si="23"/>
        <v>42</v>
      </c>
      <c r="M131" s="206">
        <f t="shared" si="18"/>
        <v>11400</v>
      </c>
      <c r="N131" s="207">
        <f t="shared" si="24"/>
        <v>79.8</v>
      </c>
      <c r="O131" s="207">
        <f t="shared" si="13"/>
        <v>9918.6801262499994</v>
      </c>
    </row>
    <row r="132" spans="1:15" s="2" customFormat="1">
      <c r="A132" s="1">
        <v>120</v>
      </c>
      <c r="C132" s="9">
        <v>1</v>
      </c>
      <c r="D132" s="1" t="s">
        <v>535</v>
      </c>
      <c r="E132" s="1" t="s">
        <v>124</v>
      </c>
      <c r="F132" s="127">
        <v>124628.24500000001</v>
      </c>
      <c r="G132" s="206">
        <f t="shared" si="21"/>
        <v>124628.24500000001</v>
      </c>
      <c r="H132" s="207">
        <f t="shared" si="10"/>
        <v>7726.9511900000007</v>
      </c>
      <c r="I132" s="206">
        <f t="shared" si="22"/>
        <v>124628.24500000001</v>
      </c>
      <c r="J132" s="207">
        <f t="shared" si="10"/>
        <v>1807.1095525000003</v>
      </c>
      <c r="K132" s="206">
        <f t="shared" si="20"/>
        <v>7000</v>
      </c>
      <c r="L132" s="207">
        <f t="shared" si="23"/>
        <v>42</v>
      </c>
      <c r="M132" s="206">
        <f t="shared" si="18"/>
        <v>11400</v>
      </c>
      <c r="N132" s="207">
        <f t="shared" si="24"/>
        <v>79.8</v>
      </c>
      <c r="O132" s="207">
        <f t="shared" si="13"/>
        <v>9655.8607425000009</v>
      </c>
    </row>
    <row r="133" spans="1:15" s="2" customFormat="1">
      <c r="A133" s="1">
        <v>121</v>
      </c>
      <c r="C133" s="9">
        <v>1</v>
      </c>
      <c r="D133" s="1" t="s">
        <v>536</v>
      </c>
      <c r="E133" s="1" t="s">
        <v>124</v>
      </c>
      <c r="F133" s="127">
        <v>79155.235000000001</v>
      </c>
      <c r="G133" s="206">
        <f t="shared" si="21"/>
        <v>79155.235000000001</v>
      </c>
      <c r="H133" s="207">
        <f t="shared" si="10"/>
        <v>4907.6245699999999</v>
      </c>
      <c r="I133" s="206">
        <f t="shared" si="22"/>
        <v>79155.235000000001</v>
      </c>
      <c r="J133" s="207">
        <f t="shared" si="10"/>
        <v>1147.7509075</v>
      </c>
      <c r="K133" s="206">
        <f t="shared" si="20"/>
        <v>7000</v>
      </c>
      <c r="L133" s="207">
        <f t="shared" si="23"/>
        <v>42</v>
      </c>
      <c r="M133" s="206">
        <f t="shared" si="18"/>
        <v>11400</v>
      </c>
      <c r="N133" s="207">
        <f t="shared" si="24"/>
        <v>79.8</v>
      </c>
      <c r="O133" s="207">
        <f t="shared" si="13"/>
        <v>6177.1754774999999</v>
      </c>
    </row>
    <row r="134" spans="1:15" s="2" customFormat="1">
      <c r="A134" s="1">
        <v>122</v>
      </c>
      <c r="C134" s="9">
        <v>1</v>
      </c>
      <c r="D134" s="1" t="s">
        <v>537</v>
      </c>
      <c r="E134" s="1" t="s">
        <v>123</v>
      </c>
      <c r="F134" s="127">
        <v>0</v>
      </c>
      <c r="G134" s="206">
        <f t="shared" si="21"/>
        <v>0</v>
      </c>
      <c r="H134" s="207">
        <f t="shared" si="10"/>
        <v>0</v>
      </c>
      <c r="I134" s="206">
        <f t="shared" si="22"/>
        <v>0</v>
      </c>
      <c r="J134" s="207">
        <f t="shared" si="10"/>
        <v>0</v>
      </c>
      <c r="K134" s="206">
        <f t="shared" si="20"/>
        <v>0</v>
      </c>
      <c r="L134" s="207">
        <f t="shared" si="23"/>
        <v>0</v>
      </c>
      <c r="M134" s="206">
        <f t="shared" si="18"/>
        <v>0</v>
      </c>
      <c r="N134" s="207">
        <f t="shared" si="24"/>
        <v>0</v>
      </c>
      <c r="O134" s="207">
        <f t="shared" si="13"/>
        <v>0</v>
      </c>
    </row>
    <row r="135" spans="1:15" s="2" customFormat="1">
      <c r="A135" s="1">
        <v>123</v>
      </c>
      <c r="C135" s="9">
        <v>1</v>
      </c>
      <c r="D135" s="1" t="s">
        <v>538</v>
      </c>
      <c r="E135" s="1" t="s">
        <v>123</v>
      </c>
      <c r="F135" s="127">
        <v>0</v>
      </c>
      <c r="G135" s="206">
        <f t="shared" si="21"/>
        <v>0</v>
      </c>
      <c r="H135" s="207">
        <f t="shared" si="10"/>
        <v>0</v>
      </c>
      <c r="I135" s="206">
        <f t="shared" si="22"/>
        <v>0</v>
      </c>
      <c r="J135" s="207">
        <f t="shared" si="10"/>
        <v>0</v>
      </c>
      <c r="K135" s="206">
        <f t="shared" si="20"/>
        <v>0</v>
      </c>
      <c r="L135" s="207">
        <f t="shared" si="23"/>
        <v>0</v>
      </c>
      <c r="M135" s="206">
        <f t="shared" si="18"/>
        <v>0</v>
      </c>
      <c r="N135" s="207">
        <f t="shared" si="24"/>
        <v>0</v>
      </c>
      <c r="O135" s="207">
        <f t="shared" si="13"/>
        <v>0</v>
      </c>
    </row>
    <row r="136" spans="1:15" s="2" customFormat="1">
      <c r="A136" s="1">
        <v>124</v>
      </c>
      <c r="C136" s="9">
        <v>1</v>
      </c>
      <c r="D136" s="1" t="s">
        <v>539</v>
      </c>
      <c r="E136" s="1" t="s">
        <v>124</v>
      </c>
      <c r="F136" s="127">
        <v>56093.895000000004</v>
      </c>
      <c r="G136" s="206">
        <f t="shared" si="21"/>
        <v>56093.895000000004</v>
      </c>
      <c r="H136" s="207">
        <f t="shared" si="10"/>
        <v>3477.8214900000003</v>
      </c>
      <c r="I136" s="206">
        <f t="shared" si="22"/>
        <v>56093.895000000004</v>
      </c>
      <c r="J136" s="207">
        <f t="shared" si="10"/>
        <v>813.36147750000009</v>
      </c>
      <c r="K136" s="206">
        <f t="shared" si="20"/>
        <v>7000</v>
      </c>
      <c r="L136" s="207">
        <f t="shared" si="23"/>
        <v>42</v>
      </c>
      <c r="M136" s="206">
        <f t="shared" si="18"/>
        <v>11400</v>
      </c>
      <c r="N136" s="207">
        <f t="shared" si="24"/>
        <v>79.8</v>
      </c>
      <c r="O136" s="207">
        <f t="shared" si="13"/>
        <v>4412.982967500001</v>
      </c>
    </row>
    <row r="137" spans="1:15" s="2" customFormat="1">
      <c r="A137" s="1">
        <v>125</v>
      </c>
      <c r="C137" s="9">
        <v>1</v>
      </c>
      <c r="D137" s="1" t="s">
        <v>540</v>
      </c>
      <c r="E137" s="1" t="s">
        <v>124</v>
      </c>
      <c r="F137" s="127">
        <v>56471.095000000001</v>
      </c>
      <c r="G137" s="206">
        <f t="shared" si="21"/>
        <v>56471.095000000001</v>
      </c>
      <c r="H137" s="207">
        <f t="shared" si="10"/>
        <v>3501.2078900000001</v>
      </c>
      <c r="I137" s="206">
        <f t="shared" si="22"/>
        <v>56471.095000000001</v>
      </c>
      <c r="J137" s="207">
        <f t="shared" si="10"/>
        <v>818.83087750000004</v>
      </c>
      <c r="K137" s="206">
        <f t="shared" si="20"/>
        <v>7000</v>
      </c>
      <c r="L137" s="207">
        <f t="shared" si="23"/>
        <v>42</v>
      </c>
      <c r="M137" s="206">
        <f t="shared" si="18"/>
        <v>11400</v>
      </c>
      <c r="N137" s="207">
        <f t="shared" si="24"/>
        <v>79.8</v>
      </c>
      <c r="O137" s="207">
        <f t="shared" si="13"/>
        <v>4441.8387675000004</v>
      </c>
    </row>
    <row r="138" spans="1:15" s="2" customFormat="1">
      <c r="A138" s="1">
        <v>126</v>
      </c>
      <c r="C138" s="9">
        <v>1</v>
      </c>
      <c r="D138" s="1" t="s">
        <v>541</v>
      </c>
      <c r="E138" s="1" t="s">
        <v>124</v>
      </c>
      <c r="F138" s="127">
        <v>53587.462499999994</v>
      </c>
      <c r="G138" s="206">
        <f t="shared" si="21"/>
        <v>53587.462499999994</v>
      </c>
      <c r="H138" s="207">
        <f t="shared" si="10"/>
        <v>3322.4226749999998</v>
      </c>
      <c r="I138" s="206">
        <f t="shared" si="22"/>
        <v>53587.462499999994</v>
      </c>
      <c r="J138" s="207">
        <f t="shared" si="10"/>
        <v>777.01820624999993</v>
      </c>
      <c r="K138" s="206">
        <f t="shared" si="20"/>
        <v>7000</v>
      </c>
      <c r="L138" s="207">
        <f t="shared" si="23"/>
        <v>42</v>
      </c>
      <c r="M138" s="206">
        <f t="shared" si="18"/>
        <v>11400</v>
      </c>
      <c r="N138" s="207">
        <f t="shared" si="24"/>
        <v>79.8</v>
      </c>
      <c r="O138" s="207">
        <f t="shared" si="13"/>
        <v>4221.2408812499998</v>
      </c>
    </row>
    <row r="139" spans="1:15" s="2" customFormat="1">
      <c r="A139" s="1">
        <v>127</v>
      </c>
      <c r="C139" s="9">
        <v>1</v>
      </c>
      <c r="D139" s="1" t="s">
        <v>542</v>
      </c>
      <c r="E139" s="1" t="s">
        <v>123</v>
      </c>
      <c r="F139" s="127">
        <v>0</v>
      </c>
      <c r="G139" s="206">
        <f t="shared" si="21"/>
        <v>0</v>
      </c>
      <c r="H139" s="207">
        <f t="shared" si="10"/>
        <v>0</v>
      </c>
      <c r="I139" s="206">
        <f t="shared" si="22"/>
        <v>0</v>
      </c>
      <c r="J139" s="207">
        <f t="shared" si="10"/>
        <v>0</v>
      </c>
      <c r="K139" s="206">
        <f t="shared" si="20"/>
        <v>0</v>
      </c>
      <c r="L139" s="207">
        <f t="shared" si="23"/>
        <v>0</v>
      </c>
      <c r="M139" s="206">
        <f t="shared" si="18"/>
        <v>0</v>
      </c>
      <c r="N139" s="207">
        <f t="shared" si="24"/>
        <v>0</v>
      </c>
      <c r="O139" s="207">
        <f t="shared" si="13"/>
        <v>0</v>
      </c>
    </row>
    <row r="140" spans="1:15" s="2" customFormat="1">
      <c r="A140" s="1">
        <v>128</v>
      </c>
      <c r="C140" s="9">
        <v>1</v>
      </c>
      <c r="D140" s="1" t="s">
        <v>543</v>
      </c>
      <c r="E140" s="1" t="s">
        <v>124</v>
      </c>
      <c r="F140" s="127">
        <v>53568.157499999994</v>
      </c>
      <c r="G140" s="206">
        <f t="shared" si="21"/>
        <v>53568.157499999994</v>
      </c>
      <c r="H140" s="207">
        <f t="shared" si="10"/>
        <v>3321.2257649999997</v>
      </c>
      <c r="I140" s="206">
        <f t="shared" si="22"/>
        <v>53568.157499999994</v>
      </c>
      <c r="J140" s="207">
        <f t="shared" si="10"/>
        <v>776.73828374999994</v>
      </c>
      <c r="K140" s="206">
        <f t="shared" si="20"/>
        <v>7000</v>
      </c>
      <c r="L140" s="207">
        <f t="shared" si="23"/>
        <v>42</v>
      </c>
      <c r="M140" s="206">
        <f t="shared" si="18"/>
        <v>11400</v>
      </c>
      <c r="N140" s="207">
        <f t="shared" si="24"/>
        <v>79.8</v>
      </c>
      <c r="O140" s="207">
        <f t="shared" si="13"/>
        <v>4219.7640487500003</v>
      </c>
    </row>
    <row r="141" spans="1:15" s="2" customFormat="1">
      <c r="A141" s="1">
        <v>129</v>
      </c>
      <c r="C141" s="9">
        <v>1</v>
      </c>
      <c r="D141" s="1" t="s">
        <v>544</v>
      </c>
      <c r="E141" s="1" t="s">
        <v>123</v>
      </c>
      <c r="F141" s="127">
        <v>0</v>
      </c>
      <c r="G141" s="206">
        <f t="shared" si="21"/>
        <v>0</v>
      </c>
      <c r="H141" s="207">
        <f t="shared" si="10"/>
        <v>0</v>
      </c>
      <c r="I141" s="206">
        <f t="shared" si="22"/>
        <v>0</v>
      </c>
      <c r="J141" s="207">
        <f t="shared" si="10"/>
        <v>0</v>
      </c>
      <c r="K141" s="206">
        <f t="shared" si="20"/>
        <v>0</v>
      </c>
      <c r="L141" s="207">
        <f t="shared" si="23"/>
        <v>0</v>
      </c>
      <c r="M141" s="206">
        <f t="shared" si="18"/>
        <v>0</v>
      </c>
      <c r="N141" s="207">
        <f t="shared" si="24"/>
        <v>0</v>
      </c>
      <c r="O141" s="207">
        <f t="shared" si="13"/>
        <v>0</v>
      </c>
    </row>
    <row r="142" spans="1:15" s="2" customFormat="1">
      <c r="A142" s="1">
        <v>130</v>
      </c>
      <c r="C142" s="9">
        <v>1</v>
      </c>
      <c r="D142" s="1" t="s">
        <v>545</v>
      </c>
      <c r="E142" s="1" t="s">
        <v>124</v>
      </c>
      <c r="F142" s="127">
        <v>106711.47750000001</v>
      </c>
      <c r="G142" s="206">
        <f t="shared" si="21"/>
        <v>106711.47750000001</v>
      </c>
      <c r="H142" s="207">
        <f t="shared" si="10"/>
        <v>6616.1116050000001</v>
      </c>
      <c r="I142" s="206">
        <f t="shared" si="22"/>
        <v>106711.47750000001</v>
      </c>
      <c r="J142" s="207">
        <f t="shared" si="10"/>
        <v>1547.3164237500002</v>
      </c>
      <c r="K142" s="206">
        <f t="shared" si="20"/>
        <v>7000</v>
      </c>
      <c r="L142" s="207">
        <f t="shared" si="23"/>
        <v>42</v>
      </c>
      <c r="M142" s="206">
        <f t="shared" si="18"/>
        <v>11400</v>
      </c>
      <c r="N142" s="207">
        <f t="shared" si="24"/>
        <v>79.8</v>
      </c>
      <c r="O142" s="207">
        <f t="shared" si="13"/>
        <v>8285.2280287499998</v>
      </c>
    </row>
    <row r="143" spans="1:15" s="2" customFormat="1">
      <c r="A143" s="1">
        <v>131</v>
      </c>
      <c r="C143" s="9">
        <v>1</v>
      </c>
      <c r="D143" s="1" t="s">
        <v>546</v>
      </c>
      <c r="E143" s="1"/>
      <c r="F143" s="127">
        <v>53539.199999999997</v>
      </c>
      <c r="G143" s="206">
        <f t="shared" si="21"/>
        <v>53539.199999999997</v>
      </c>
      <c r="H143" s="207">
        <f t="shared" si="10"/>
        <v>3319.4303999999997</v>
      </c>
      <c r="I143" s="206">
        <f t="shared" si="22"/>
        <v>53539.199999999997</v>
      </c>
      <c r="J143" s="207">
        <f t="shared" si="10"/>
        <v>776.3184</v>
      </c>
      <c r="K143" s="206">
        <f t="shared" si="20"/>
        <v>7000</v>
      </c>
      <c r="L143" s="207">
        <f t="shared" si="23"/>
        <v>42</v>
      </c>
      <c r="M143" s="206">
        <f t="shared" si="18"/>
        <v>11400</v>
      </c>
      <c r="N143" s="207">
        <f t="shared" si="24"/>
        <v>79.8</v>
      </c>
      <c r="O143" s="207">
        <f t="shared" si="13"/>
        <v>4217.5487999999996</v>
      </c>
    </row>
    <row r="144" spans="1:15" s="2" customFormat="1">
      <c r="A144" s="1">
        <v>132</v>
      </c>
      <c r="C144" s="9">
        <v>1</v>
      </c>
      <c r="D144" s="1" t="s">
        <v>547</v>
      </c>
      <c r="E144" s="1" t="s">
        <v>124</v>
      </c>
      <c r="F144" s="127">
        <v>120525.35</v>
      </c>
      <c r="G144" s="206">
        <f t="shared" si="21"/>
        <v>120525.35</v>
      </c>
      <c r="H144" s="207">
        <f t="shared" si="10"/>
        <v>7472.5717000000004</v>
      </c>
      <c r="I144" s="206">
        <f t="shared" si="22"/>
        <v>120525.35</v>
      </c>
      <c r="J144" s="207">
        <f t="shared" si="10"/>
        <v>1747.6175750000002</v>
      </c>
      <c r="K144" s="206">
        <f t="shared" si="20"/>
        <v>7000</v>
      </c>
      <c r="L144" s="207">
        <f t="shared" si="23"/>
        <v>42</v>
      </c>
      <c r="M144" s="206">
        <f t="shared" si="18"/>
        <v>11400</v>
      </c>
      <c r="N144" s="207">
        <f t="shared" si="24"/>
        <v>79.8</v>
      </c>
      <c r="O144" s="207">
        <f t="shared" si="13"/>
        <v>9341.9892749999999</v>
      </c>
    </row>
    <row r="145" spans="1:15" s="2" customFormat="1">
      <c r="A145" s="1">
        <v>133</v>
      </c>
      <c r="C145" s="9">
        <v>1</v>
      </c>
      <c r="D145" s="1" t="s">
        <v>548</v>
      </c>
      <c r="E145" s="1" t="s">
        <v>124</v>
      </c>
      <c r="F145" s="127">
        <v>124378.5</v>
      </c>
      <c r="G145" s="206">
        <f t="shared" si="21"/>
        <v>124378.5</v>
      </c>
      <c r="H145" s="207">
        <f t="shared" si="10"/>
        <v>7711.4669999999996</v>
      </c>
      <c r="I145" s="206">
        <f t="shared" si="22"/>
        <v>124378.5</v>
      </c>
      <c r="J145" s="207">
        <f t="shared" si="10"/>
        <v>1803.4882500000001</v>
      </c>
      <c r="K145" s="206">
        <f t="shared" si="20"/>
        <v>7000</v>
      </c>
      <c r="L145" s="207">
        <f t="shared" si="23"/>
        <v>42</v>
      </c>
      <c r="M145" s="206">
        <f t="shared" si="18"/>
        <v>11400</v>
      </c>
      <c r="N145" s="207">
        <f t="shared" si="24"/>
        <v>79.8</v>
      </c>
      <c r="O145" s="207">
        <f t="shared" si="13"/>
        <v>9636.7552499999983</v>
      </c>
    </row>
    <row r="146" spans="1:15" s="2" customFormat="1">
      <c r="A146" s="1">
        <v>134</v>
      </c>
      <c r="C146" s="9">
        <v>1</v>
      </c>
      <c r="D146" s="1" t="s">
        <v>549</v>
      </c>
      <c r="E146" s="1" t="s">
        <v>124</v>
      </c>
      <c r="F146" s="127">
        <v>113486.15</v>
      </c>
      <c r="G146" s="206">
        <f t="shared" si="21"/>
        <v>113486.15</v>
      </c>
      <c r="H146" s="207">
        <f t="shared" si="10"/>
        <v>7036.1412999999993</v>
      </c>
      <c r="I146" s="206">
        <f t="shared" si="22"/>
        <v>113486.15</v>
      </c>
      <c r="J146" s="207">
        <f t="shared" si="10"/>
        <v>1645.5491750000001</v>
      </c>
      <c r="K146" s="206">
        <f t="shared" si="20"/>
        <v>7000</v>
      </c>
      <c r="L146" s="207">
        <f t="shared" si="23"/>
        <v>42</v>
      </c>
      <c r="M146" s="206">
        <f t="shared" si="18"/>
        <v>11400</v>
      </c>
      <c r="N146" s="207">
        <f t="shared" si="24"/>
        <v>79.8</v>
      </c>
      <c r="O146" s="207">
        <f t="shared" si="13"/>
        <v>8803.4904749999987</v>
      </c>
    </row>
    <row r="147" spans="1:15" s="2" customFormat="1">
      <c r="A147" s="1">
        <v>135</v>
      </c>
      <c r="C147" s="9">
        <v>1</v>
      </c>
      <c r="D147" s="1" t="s">
        <v>550</v>
      </c>
      <c r="E147" s="1" t="s">
        <v>124</v>
      </c>
      <c r="F147" s="127">
        <v>89310.584999999992</v>
      </c>
      <c r="G147" s="206">
        <f t="shared" si="21"/>
        <v>89310.584999999992</v>
      </c>
      <c r="H147" s="207">
        <f t="shared" si="10"/>
        <v>5537.2562699999999</v>
      </c>
      <c r="I147" s="206">
        <f t="shared" si="22"/>
        <v>89310.584999999992</v>
      </c>
      <c r="J147" s="207">
        <f t="shared" si="10"/>
        <v>1295.0034825</v>
      </c>
      <c r="K147" s="206">
        <f t="shared" si="20"/>
        <v>7000</v>
      </c>
      <c r="L147" s="207">
        <f t="shared" si="23"/>
        <v>42</v>
      </c>
      <c r="M147" s="206">
        <f t="shared" si="18"/>
        <v>11400</v>
      </c>
      <c r="N147" s="207">
        <f t="shared" si="24"/>
        <v>79.8</v>
      </c>
      <c r="O147" s="207">
        <f t="shared" si="13"/>
        <v>6954.0597525000003</v>
      </c>
    </row>
    <row r="148" spans="1:15" s="2" customFormat="1">
      <c r="A148" s="1">
        <v>136</v>
      </c>
      <c r="C148" s="9">
        <v>1</v>
      </c>
      <c r="D148" s="1" t="s">
        <v>551</v>
      </c>
      <c r="E148" s="1" t="s">
        <v>124</v>
      </c>
      <c r="F148" s="127">
        <v>121405.25</v>
      </c>
      <c r="G148" s="206">
        <f t="shared" si="21"/>
        <v>121405.25</v>
      </c>
      <c r="H148" s="207">
        <f t="shared" si="10"/>
        <v>7527.1255000000001</v>
      </c>
      <c r="I148" s="206">
        <f t="shared" si="22"/>
        <v>121405.25</v>
      </c>
      <c r="J148" s="207">
        <f t="shared" si="10"/>
        <v>1760.376125</v>
      </c>
      <c r="K148" s="206">
        <f t="shared" si="20"/>
        <v>7000</v>
      </c>
      <c r="L148" s="207">
        <f t="shared" si="23"/>
        <v>42</v>
      </c>
      <c r="M148" s="206">
        <f t="shared" si="18"/>
        <v>11400</v>
      </c>
      <c r="N148" s="207">
        <f t="shared" si="24"/>
        <v>79.8</v>
      </c>
      <c r="O148" s="207">
        <f t="shared" si="13"/>
        <v>9409.3016250000001</v>
      </c>
    </row>
    <row r="149" spans="1:15" s="2" customFormat="1">
      <c r="A149" s="1">
        <v>137</v>
      </c>
      <c r="C149" s="9">
        <v>1</v>
      </c>
      <c r="D149" s="1" t="s">
        <v>552</v>
      </c>
      <c r="E149" s="1" t="s">
        <v>124</v>
      </c>
      <c r="F149" s="127">
        <v>65891.044999999998</v>
      </c>
      <c r="G149" s="206">
        <f t="shared" si="21"/>
        <v>65891.044999999998</v>
      </c>
      <c r="H149" s="207">
        <f t="shared" si="10"/>
        <v>4085.2447899999997</v>
      </c>
      <c r="I149" s="206">
        <f t="shared" si="22"/>
        <v>65891.044999999998</v>
      </c>
      <c r="J149" s="207">
        <f t="shared" si="10"/>
        <v>955.42015249999997</v>
      </c>
      <c r="K149" s="206">
        <f t="shared" si="20"/>
        <v>7000</v>
      </c>
      <c r="L149" s="207">
        <f t="shared" si="23"/>
        <v>42</v>
      </c>
      <c r="M149" s="206">
        <f t="shared" si="18"/>
        <v>11400</v>
      </c>
      <c r="N149" s="207">
        <f t="shared" si="24"/>
        <v>79.8</v>
      </c>
      <c r="O149" s="207">
        <f t="shared" si="13"/>
        <v>5162.4649424999998</v>
      </c>
    </row>
    <row r="150" spans="1:15" s="2" customFormat="1">
      <c r="A150" s="1">
        <v>138</v>
      </c>
      <c r="C150" s="9">
        <v>1</v>
      </c>
      <c r="D150" s="1" t="s">
        <v>553</v>
      </c>
      <c r="E150" s="1" t="s">
        <v>124</v>
      </c>
      <c r="F150" s="127">
        <v>111789.2</v>
      </c>
      <c r="G150" s="206">
        <f t="shared" si="21"/>
        <v>111789.2</v>
      </c>
      <c r="H150" s="207">
        <f t="shared" si="10"/>
        <v>6930.9304000000002</v>
      </c>
      <c r="I150" s="206">
        <f t="shared" si="22"/>
        <v>111789.2</v>
      </c>
      <c r="J150" s="207">
        <f t="shared" si="10"/>
        <v>1620.9434000000001</v>
      </c>
      <c r="K150" s="206">
        <f t="shared" si="20"/>
        <v>7000</v>
      </c>
      <c r="L150" s="207">
        <f t="shared" si="23"/>
        <v>42</v>
      </c>
      <c r="M150" s="206">
        <f t="shared" si="18"/>
        <v>11400</v>
      </c>
      <c r="N150" s="207">
        <f t="shared" si="24"/>
        <v>79.8</v>
      </c>
      <c r="O150" s="207">
        <f t="shared" si="13"/>
        <v>8673.6738000000005</v>
      </c>
    </row>
    <row r="151" spans="1:15" s="2" customFormat="1">
      <c r="A151" s="1">
        <v>139</v>
      </c>
      <c r="C151" s="9">
        <v>1</v>
      </c>
      <c r="D151" s="1" t="s">
        <v>554</v>
      </c>
      <c r="E151" s="1" t="s">
        <v>124</v>
      </c>
      <c r="F151" s="127">
        <v>91956.485000000001</v>
      </c>
      <c r="G151" s="206">
        <f t="shared" si="21"/>
        <v>91956.485000000001</v>
      </c>
      <c r="H151" s="207">
        <f t="shared" si="10"/>
        <v>5701.3020699999997</v>
      </c>
      <c r="I151" s="206">
        <f t="shared" si="22"/>
        <v>91956.485000000001</v>
      </c>
      <c r="J151" s="207">
        <f t="shared" si="10"/>
        <v>1333.3690325</v>
      </c>
      <c r="K151" s="206">
        <f t="shared" si="20"/>
        <v>7000</v>
      </c>
      <c r="L151" s="207">
        <f t="shared" si="23"/>
        <v>42</v>
      </c>
      <c r="M151" s="206">
        <f t="shared" si="18"/>
        <v>11400</v>
      </c>
      <c r="N151" s="207">
        <f t="shared" si="24"/>
        <v>79.8</v>
      </c>
      <c r="O151" s="207">
        <f t="shared" si="13"/>
        <v>7156.4711024999997</v>
      </c>
    </row>
    <row r="152" spans="1:15" s="2" customFormat="1">
      <c r="A152" s="1">
        <v>140</v>
      </c>
      <c r="C152" s="9">
        <v>1</v>
      </c>
      <c r="D152" s="1" t="s">
        <v>555</v>
      </c>
      <c r="E152" s="1" t="s">
        <v>556</v>
      </c>
      <c r="F152" s="127">
        <v>77792.198749999996</v>
      </c>
      <c r="G152" s="206">
        <f t="shared" si="21"/>
        <v>77792.198749999996</v>
      </c>
      <c r="H152" s="207">
        <f t="shared" si="10"/>
        <v>4823.1163225</v>
      </c>
      <c r="I152" s="206">
        <f t="shared" si="22"/>
        <v>77792.198749999996</v>
      </c>
      <c r="J152" s="207">
        <f t="shared" si="10"/>
        <v>1127.9868818750001</v>
      </c>
      <c r="K152" s="206">
        <f t="shared" si="20"/>
        <v>7000</v>
      </c>
      <c r="L152" s="207">
        <f t="shared" si="23"/>
        <v>42</v>
      </c>
      <c r="M152" s="206">
        <f t="shared" si="18"/>
        <v>11400</v>
      </c>
      <c r="N152" s="207">
        <f t="shared" si="24"/>
        <v>79.8</v>
      </c>
      <c r="O152" s="207">
        <f t="shared" si="13"/>
        <v>6072.9032043750003</v>
      </c>
    </row>
    <row r="153" spans="1:15" s="2" customFormat="1">
      <c r="A153" s="1">
        <v>141</v>
      </c>
      <c r="C153" s="9">
        <v>1</v>
      </c>
      <c r="D153" s="1" t="s">
        <v>557</v>
      </c>
      <c r="E153" s="1" t="s">
        <v>556</v>
      </c>
      <c r="F153" s="127">
        <v>82238.81749999999</v>
      </c>
      <c r="G153" s="206">
        <f t="shared" si="21"/>
        <v>82238.81749999999</v>
      </c>
      <c r="H153" s="207">
        <f t="shared" si="10"/>
        <v>5098.8066849999996</v>
      </c>
      <c r="I153" s="206">
        <f t="shared" si="22"/>
        <v>82238.81749999999</v>
      </c>
      <c r="J153" s="207">
        <f t="shared" si="10"/>
        <v>1192.46285375</v>
      </c>
      <c r="K153" s="206">
        <f t="shared" si="20"/>
        <v>7000</v>
      </c>
      <c r="L153" s="207">
        <f t="shared" si="23"/>
        <v>42</v>
      </c>
      <c r="M153" s="206">
        <f t="shared" si="18"/>
        <v>11400</v>
      </c>
      <c r="N153" s="207">
        <f t="shared" si="24"/>
        <v>79.8</v>
      </c>
      <c r="O153" s="207">
        <f t="shared" si="13"/>
        <v>6413.06953875</v>
      </c>
    </row>
    <row r="154" spans="1:15" s="2" customFormat="1">
      <c r="A154" s="1">
        <v>142</v>
      </c>
      <c r="C154" s="9">
        <v>1</v>
      </c>
      <c r="D154" s="1" t="s">
        <v>558</v>
      </c>
      <c r="E154" s="1" t="s">
        <v>123</v>
      </c>
      <c r="F154" s="127">
        <v>0</v>
      </c>
      <c r="G154" s="206">
        <f t="shared" si="21"/>
        <v>0</v>
      </c>
      <c r="H154" s="207">
        <f t="shared" si="10"/>
        <v>0</v>
      </c>
      <c r="I154" s="206">
        <f t="shared" si="22"/>
        <v>0</v>
      </c>
      <c r="J154" s="207">
        <f t="shared" si="10"/>
        <v>0</v>
      </c>
      <c r="K154" s="206">
        <f t="shared" si="20"/>
        <v>0</v>
      </c>
      <c r="L154" s="207">
        <f t="shared" si="23"/>
        <v>0</v>
      </c>
      <c r="M154" s="206">
        <f t="shared" si="18"/>
        <v>0</v>
      </c>
      <c r="N154" s="207">
        <f t="shared" si="24"/>
        <v>0</v>
      </c>
      <c r="O154" s="207">
        <f t="shared" si="13"/>
        <v>0</v>
      </c>
    </row>
    <row r="155" spans="1:15" s="2" customFormat="1">
      <c r="A155" s="1">
        <v>143</v>
      </c>
      <c r="C155" s="9">
        <v>1</v>
      </c>
      <c r="D155" s="1" t="s">
        <v>559</v>
      </c>
      <c r="E155" s="1" t="s">
        <v>123</v>
      </c>
      <c r="F155" s="127">
        <v>0</v>
      </c>
      <c r="G155" s="206">
        <f t="shared" si="21"/>
        <v>0</v>
      </c>
      <c r="H155" s="207">
        <f t="shared" ref="H155:H181" si="25">G155*H$10</f>
        <v>0</v>
      </c>
      <c r="I155" s="206">
        <f t="shared" si="22"/>
        <v>0</v>
      </c>
      <c r="J155" s="207">
        <f t="shared" ref="J155:J181" si="26">I155*J$10</f>
        <v>0</v>
      </c>
      <c r="K155" s="206">
        <f t="shared" ref="K155:K181" si="27">IF($F155&lt;K$10,$F155,K$10)</f>
        <v>0</v>
      </c>
      <c r="L155" s="207">
        <f t="shared" si="23"/>
        <v>0</v>
      </c>
      <c r="M155" s="206">
        <f t="shared" ref="M155:M181" si="28">IF($F155&lt;M$10,$F155,M$10)</f>
        <v>0</v>
      </c>
      <c r="N155" s="207">
        <f t="shared" si="24"/>
        <v>0</v>
      </c>
      <c r="O155" s="207">
        <f t="shared" si="13"/>
        <v>0</v>
      </c>
    </row>
    <row r="156" spans="1:15" s="2" customFormat="1">
      <c r="A156" s="1">
        <v>144</v>
      </c>
      <c r="C156" s="9">
        <v>1</v>
      </c>
      <c r="D156" s="1" t="s">
        <v>560</v>
      </c>
      <c r="E156" s="1" t="s">
        <v>123</v>
      </c>
      <c r="F156" s="127">
        <v>0</v>
      </c>
      <c r="G156" s="206">
        <f t="shared" si="21"/>
        <v>0</v>
      </c>
      <c r="H156" s="207">
        <f t="shared" si="25"/>
        <v>0</v>
      </c>
      <c r="I156" s="206">
        <f t="shared" si="22"/>
        <v>0</v>
      </c>
      <c r="J156" s="207">
        <f t="shared" si="26"/>
        <v>0</v>
      </c>
      <c r="K156" s="206">
        <f t="shared" si="27"/>
        <v>0</v>
      </c>
      <c r="L156" s="207">
        <f t="shared" si="23"/>
        <v>0</v>
      </c>
      <c r="M156" s="206">
        <f t="shared" si="28"/>
        <v>0</v>
      </c>
      <c r="N156" s="207">
        <f t="shared" si="24"/>
        <v>0</v>
      </c>
      <c r="O156" s="207">
        <f t="shared" si="13"/>
        <v>0</v>
      </c>
    </row>
    <row r="157" spans="1:15" s="2" customFormat="1">
      <c r="A157" s="1">
        <v>145</v>
      </c>
      <c r="C157" s="9">
        <v>1</v>
      </c>
      <c r="D157" s="1" t="s">
        <v>561</v>
      </c>
      <c r="E157" s="1" t="s">
        <v>556</v>
      </c>
      <c r="F157" s="127">
        <v>62872.04</v>
      </c>
      <c r="G157" s="206">
        <f t="shared" si="21"/>
        <v>62872.04</v>
      </c>
      <c r="H157" s="207">
        <f t="shared" si="25"/>
        <v>3898.06648</v>
      </c>
      <c r="I157" s="206">
        <f t="shared" si="22"/>
        <v>62872.04</v>
      </c>
      <c r="J157" s="207">
        <f t="shared" si="26"/>
        <v>911.64458000000002</v>
      </c>
      <c r="K157" s="206">
        <f t="shared" si="27"/>
        <v>7000</v>
      </c>
      <c r="L157" s="207">
        <f t="shared" si="23"/>
        <v>42</v>
      </c>
      <c r="M157" s="206">
        <f t="shared" si="28"/>
        <v>11400</v>
      </c>
      <c r="N157" s="207">
        <f t="shared" si="24"/>
        <v>79.8</v>
      </c>
      <c r="O157" s="207">
        <f t="shared" si="13"/>
        <v>4931.5110599999998</v>
      </c>
    </row>
    <row r="158" spans="1:15" s="2" customFormat="1">
      <c r="A158" s="1">
        <v>146</v>
      </c>
      <c r="C158" s="9">
        <v>1</v>
      </c>
      <c r="D158" s="1" t="s">
        <v>562</v>
      </c>
      <c r="E158" s="1" t="s">
        <v>556</v>
      </c>
      <c r="F158" s="127">
        <v>70855.7</v>
      </c>
      <c r="G158" s="206">
        <f t="shared" si="21"/>
        <v>70855.7</v>
      </c>
      <c r="H158" s="207">
        <f t="shared" si="25"/>
        <v>4393.0533999999998</v>
      </c>
      <c r="I158" s="206">
        <f t="shared" si="22"/>
        <v>70855.7</v>
      </c>
      <c r="J158" s="207">
        <f t="shared" si="26"/>
        <v>1027.4076500000001</v>
      </c>
      <c r="K158" s="206">
        <f t="shared" si="27"/>
        <v>7000</v>
      </c>
      <c r="L158" s="207">
        <f t="shared" si="23"/>
        <v>42</v>
      </c>
      <c r="M158" s="206">
        <f t="shared" si="28"/>
        <v>11400</v>
      </c>
      <c r="N158" s="207">
        <f t="shared" si="24"/>
        <v>79.8</v>
      </c>
      <c r="O158" s="207">
        <f t="shared" si="13"/>
        <v>5542.2610500000001</v>
      </c>
    </row>
    <row r="159" spans="1:15" s="2" customFormat="1">
      <c r="A159" s="1">
        <v>147</v>
      </c>
      <c r="C159" s="9">
        <v>1</v>
      </c>
      <c r="D159" s="1" t="s">
        <v>563</v>
      </c>
      <c r="E159" s="1" t="s">
        <v>556</v>
      </c>
      <c r="F159" s="127">
        <v>102173.15</v>
      </c>
      <c r="G159" s="206">
        <f t="shared" si="21"/>
        <v>102173.15</v>
      </c>
      <c r="H159" s="207">
        <f t="shared" si="25"/>
        <v>6334.7352999999994</v>
      </c>
      <c r="I159" s="206">
        <f t="shared" si="22"/>
        <v>102173.15</v>
      </c>
      <c r="J159" s="207">
        <f t="shared" si="26"/>
        <v>1481.510675</v>
      </c>
      <c r="K159" s="206">
        <f t="shared" si="27"/>
        <v>7000</v>
      </c>
      <c r="L159" s="207">
        <f t="shared" si="23"/>
        <v>42</v>
      </c>
      <c r="M159" s="206">
        <f t="shared" si="28"/>
        <v>11400</v>
      </c>
      <c r="N159" s="207">
        <f t="shared" si="24"/>
        <v>79.8</v>
      </c>
      <c r="O159" s="207">
        <f t="shared" si="13"/>
        <v>7938.045975</v>
      </c>
    </row>
    <row r="160" spans="1:15" s="2" customFormat="1">
      <c r="A160" s="1">
        <v>148</v>
      </c>
      <c r="C160" s="9">
        <v>1</v>
      </c>
      <c r="D160" s="1" t="s">
        <v>564</v>
      </c>
      <c r="E160" s="1" t="s">
        <v>556</v>
      </c>
      <c r="F160" s="127">
        <v>82496.505000000005</v>
      </c>
      <c r="G160" s="206">
        <f t="shared" si="21"/>
        <v>82496.505000000005</v>
      </c>
      <c r="H160" s="207">
        <f t="shared" si="25"/>
        <v>5114.7833099999998</v>
      </c>
      <c r="I160" s="206">
        <f t="shared" si="22"/>
        <v>82496.505000000005</v>
      </c>
      <c r="J160" s="207">
        <f t="shared" si="26"/>
        <v>1196.1993225000001</v>
      </c>
      <c r="K160" s="206">
        <f t="shared" si="27"/>
        <v>7000</v>
      </c>
      <c r="L160" s="207">
        <f t="shared" si="23"/>
        <v>42</v>
      </c>
      <c r="M160" s="206">
        <f t="shared" si="28"/>
        <v>11400</v>
      </c>
      <c r="N160" s="207">
        <f t="shared" si="24"/>
        <v>79.8</v>
      </c>
      <c r="O160" s="207">
        <f t="shared" si="13"/>
        <v>6432.7826324999996</v>
      </c>
    </row>
    <row r="161" spans="1:15" s="2" customFormat="1">
      <c r="A161" s="1">
        <v>149</v>
      </c>
      <c r="C161" s="9">
        <v>1</v>
      </c>
      <c r="D161" s="1" t="s">
        <v>565</v>
      </c>
      <c r="E161" s="1" t="s">
        <v>556</v>
      </c>
      <c r="F161" s="127">
        <v>87181.184999999998</v>
      </c>
      <c r="G161" s="206">
        <f t="shared" si="21"/>
        <v>87181.184999999998</v>
      </c>
      <c r="H161" s="207">
        <f t="shared" si="25"/>
        <v>5405.2334700000001</v>
      </c>
      <c r="I161" s="206">
        <f t="shared" si="22"/>
        <v>87181.184999999998</v>
      </c>
      <c r="J161" s="207">
        <f t="shared" si="26"/>
        <v>1264.1271825000001</v>
      </c>
      <c r="K161" s="206">
        <f t="shared" si="27"/>
        <v>7000</v>
      </c>
      <c r="L161" s="207">
        <f t="shared" si="23"/>
        <v>42</v>
      </c>
      <c r="M161" s="206">
        <f t="shared" si="28"/>
        <v>11400</v>
      </c>
      <c r="N161" s="207">
        <f t="shared" si="24"/>
        <v>79.8</v>
      </c>
      <c r="O161" s="207">
        <f t="shared" si="13"/>
        <v>6791.1606525000007</v>
      </c>
    </row>
    <row r="162" spans="1:15" s="2" customFormat="1">
      <c r="A162" s="1">
        <v>150</v>
      </c>
      <c r="C162" s="9">
        <v>1</v>
      </c>
      <c r="D162" s="1" t="s">
        <v>566</v>
      </c>
      <c r="E162" s="1" t="s">
        <v>556</v>
      </c>
      <c r="F162" s="127">
        <v>77276.990000000005</v>
      </c>
      <c r="G162" s="206">
        <f t="shared" si="21"/>
        <v>77276.990000000005</v>
      </c>
      <c r="H162" s="207">
        <f t="shared" si="25"/>
        <v>4791.1733800000002</v>
      </c>
      <c r="I162" s="206">
        <f t="shared" si="22"/>
        <v>77276.990000000005</v>
      </c>
      <c r="J162" s="207">
        <f t="shared" si="26"/>
        <v>1120.5163550000002</v>
      </c>
      <c r="K162" s="206">
        <f t="shared" si="27"/>
        <v>7000</v>
      </c>
      <c r="L162" s="207">
        <f t="shared" si="23"/>
        <v>42</v>
      </c>
      <c r="M162" s="206">
        <f t="shared" si="28"/>
        <v>11400</v>
      </c>
      <c r="N162" s="207">
        <f t="shared" si="24"/>
        <v>79.8</v>
      </c>
      <c r="O162" s="207">
        <f t="shared" si="13"/>
        <v>6033.4897350000001</v>
      </c>
    </row>
    <row r="163" spans="1:15" s="2" customFormat="1">
      <c r="A163" s="1">
        <v>151</v>
      </c>
      <c r="C163" s="9">
        <v>1</v>
      </c>
      <c r="D163" s="1" t="s">
        <v>567</v>
      </c>
      <c r="E163" s="1" t="s">
        <v>225</v>
      </c>
      <c r="F163" s="127">
        <v>48692.800000000003</v>
      </c>
      <c r="G163" s="206">
        <f t="shared" si="21"/>
        <v>48692.800000000003</v>
      </c>
      <c r="H163" s="207">
        <f t="shared" si="25"/>
        <v>3018.9536000000003</v>
      </c>
      <c r="I163" s="206">
        <f t="shared" si="22"/>
        <v>48692.800000000003</v>
      </c>
      <c r="J163" s="207">
        <f t="shared" si="26"/>
        <v>706.04560000000004</v>
      </c>
      <c r="K163" s="206">
        <f t="shared" si="27"/>
        <v>7000</v>
      </c>
      <c r="L163" s="207">
        <f t="shared" si="23"/>
        <v>42</v>
      </c>
      <c r="M163" s="206">
        <f t="shared" si="28"/>
        <v>11400</v>
      </c>
      <c r="N163" s="207">
        <f t="shared" si="24"/>
        <v>79.8</v>
      </c>
      <c r="O163" s="207">
        <f t="shared" si="13"/>
        <v>3846.7992000000004</v>
      </c>
    </row>
    <row r="164" spans="1:15" s="2" customFormat="1">
      <c r="A164" s="1">
        <v>152</v>
      </c>
      <c r="C164" s="9">
        <v>1</v>
      </c>
      <c r="D164" s="1" t="s">
        <v>568</v>
      </c>
      <c r="E164" s="1" t="s">
        <v>556</v>
      </c>
      <c r="F164" s="127">
        <v>72108.259999999995</v>
      </c>
      <c r="G164" s="206">
        <f t="shared" si="21"/>
        <v>72108.259999999995</v>
      </c>
      <c r="H164" s="207">
        <f t="shared" si="25"/>
        <v>4470.7121199999992</v>
      </c>
      <c r="I164" s="206">
        <f t="shared" si="22"/>
        <v>72108.259999999995</v>
      </c>
      <c r="J164" s="207">
        <f t="shared" si="26"/>
        <v>1045.5697700000001</v>
      </c>
      <c r="K164" s="206">
        <f t="shared" si="27"/>
        <v>7000</v>
      </c>
      <c r="L164" s="207">
        <f t="shared" si="23"/>
        <v>42</v>
      </c>
      <c r="M164" s="206">
        <f t="shared" si="28"/>
        <v>11400</v>
      </c>
      <c r="N164" s="207">
        <f t="shared" si="24"/>
        <v>79.8</v>
      </c>
      <c r="O164" s="207">
        <f t="shared" si="13"/>
        <v>5638.0818899999995</v>
      </c>
    </row>
    <row r="165" spans="1:15" s="2" customFormat="1">
      <c r="A165" s="1">
        <v>153</v>
      </c>
      <c r="C165" s="9">
        <v>1</v>
      </c>
      <c r="D165" s="1" t="s">
        <v>569</v>
      </c>
      <c r="E165" s="1" t="s">
        <v>225</v>
      </c>
      <c r="F165" s="127">
        <v>48692.800000000003</v>
      </c>
      <c r="G165" s="206">
        <f t="shared" si="21"/>
        <v>48692.800000000003</v>
      </c>
      <c r="H165" s="207">
        <f t="shared" si="25"/>
        <v>3018.9536000000003</v>
      </c>
      <c r="I165" s="206">
        <f t="shared" si="22"/>
        <v>48692.800000000003</v>
      </c>
      <c r="J165" s="207">
        <f t="shared" si="26"/>
        <v>706.04560000000004</v>
      </c>
      <c r="K165" s="206">
        <f t="shared" si="27"/>
        <v>7000</v>
      </c>
      <c r="L165" s="207">
        <f t="shared" si="23"/>
        <v>42</v>
      </c>
      <c r="M165" s="206">
        <f t="shared" si="28"/>
        <v>11400</v>
      </c>
      <c r="N165" s="207">
        <f t="shared" si="24"/>
        <v>79.8</v>
      </c>
      <c r="O165" s="207">
        <f t="shared" si="13"/>
        <v>3846.7992000000004</v>
      </c>
    </row>
    <row r="166" spans="1:15" s="2" customFormat="1">
      <c r="A166" s="1">
        <v>154</v>
      </c>
      <c r="C166" s="9">
        <v>1</v>
      </c>
      <c r="D166" s="1" t="s">
        <v>570</v>
      </c>
      <c r="E166" s="1" t="s">
        <v>123</v>
      </c>
      <c r="F166" s="127">
        <v>0</v>
      </c>
      <c r="G166" s="206">
        <f t="shared" si="21"/>
        <v>0</v>
      </c>
      <c r="H166" s="207">
        <f t="shared" si="25"/>
        <v>0</v>
      </c>
      <c r="I166" s="206">
        <f t="shared" si="22"/>
        <v>0</v>
      </c>
      <c r="J166" s="207">
        <f t="shared" si="26"/>
        <v>0</v>
      </c>
      <c r="K166" s="206">
        <f t="shared" si="27"/>
        <v>0</v>
      </c>
      <c r="L166" s="207">
        <f t="shared" si="23"/>
        <v>0</v>
      </c>
      <c r="M166" s="206">
        <f t="shared" si="28"/>
        <v>0</v>
      </c>
      <c r="N166" s="207">
        <f t="shared" si="24"/>
        <v>0</v>
      </c>
      <c r="O166" s="207">
        <f t="shared" si="13"/>
        <v>0</v>
      </c>
    </row>
    <row r="167" spans="1:15" s="2" customFormat="1">
      <c r="A167" s="1">
        <v>155</v>
      </c>
      <c r="C167" s="9">
        <v>1</v>
      </c>
      <c r="D167" s="1" t="s">
        <v>571</v>
      </c>
      <c r="E167" s="1" t="s">
        <v>225</v>
      </c>
      <c r="F167" s="127">
        <v>46280</v>
      </c>
      <c r="G167" s="206">
        <f t="shared" si="21"/>
        <v>46280</v>
      </c>
      <c r="H167" s="207">
        <f t="shared" si="25"/>
        <v>2869.36</v>
      </c>
      <c r="I167" s="206">
        <f t="shared" si="22"/>
        <v>46280</v>
      </c>
      <c r="J167" s="207">
        <f t="shared" si="26"/>
        <v>671.06000000000006</v>
      </c>
      <c r="K167" s="206">
        <f t="shared" si="27"/>
        <v>7000</v>
      </c>
      <c r="L167" s="207">
        <f t="shared" si="23"/>
        <v>42</v>
      </c>
      <c r="M167" s="206">
        <f t="shared" si="28"/>
        <v>11400</v>
      </c>
      <c r="N167" s="207">
        <f t="shared" si="24"/>
        <v>79.8</v>
      </c>
      <c r="O167" s="207">
        <f t="shared" si="13"/>
        <v>3662.2200000000003</v>
      </c>
    </row>
    <row r="168" spans="1:15" s="2" customFormat="1">
      <c r="A168" s="1">
        <v>156</v>
      </c>
      <c r="C168" s="9">
        <v>1</v>
      </c>
      <c r="D168" s="1" t="s">
        <v>572</v>
      </c>
      <c r="E168" s="1" t="s">
        <v>556</v>
      </c>
      <c r="F168" s="127">
        <v>57429.82</v>
      </c>
      <c r="G168" s="206">
        <f t="shared" ref="G168:G181" si="29">IF($F168&lt;G$10,$F168,G$10)</f>
        <v>57429.82</v>
      </c>
      <c r="H168" s="207">
        <f t="shared" si="25"/>
        <v>3560.6488399999998</v>
      </c>
      <c r="I168" s="206">
        <f t="shared" ref="I168:I181" si="30">F168</f>
        <v>57429.82</v>
      </c>
      <c r="J168" s="207">
        <f t="shared" si="26"/>
        <v>832.73239000000001</v>
      </c>
      <c r="K168" s="206">
        <f t="shared" si="27"/>
        <v>7000</v>
      </c>
      <c r="L168" s="207">
        <f t="shared" ref="L168:L181" si="31">K168*L$10</f>
        <v>42</v>
      </c>
      <c r="M168" s="206">
        <f t="shared" si="28"/>
        <v>11400</v>
      </c>
      <c r="N168" s="207">
        <f t="shared" ref="N168:N181" si="32">M168*N$10</f>
        <v>79.8</v>
      </c>
      <c r="O168" s="207">
        <f t="shared" si="13"/>
        <v>4515.1812300000001</v>
      </c>
    </row>
    <row r="169" spans="1:15" s="2" customFormat="1">
      <c r="A169" s="1">
        <v>157</v>
      </c>
      <c r="C169" s="9">
        <v>1</v>
      </c>
      <c r="D169" s="1" t="s">
        <v>573</v>
      </c>
      <c r="E169" s="1" t="s">
        <v>556</v>
      </c>
      <c r="F169" s="127">
        <v>67356.595000000001</v>
      </c>
      <c r="G169" s="206">
        <f t="shared" si="29"/>
        <v>67356.595000000001</v>
      </c>
      <c r="H169" s="207">
        <f t="shared" si="25"/>
        <v>4176.1088900000004</v>
      </c>
      <c r="I169" s="206">
        <f t="shared" si="30"/>
        <v>67356.595000000001</v>
      </c>
      <c r="J169" s="207">
        <f t="shared" si="26"/>
        <v>976.67062750000002</v>
      </c>
      <c r="K169" s="206">
        <f t="shared" si="27"/>
        <v>7000</v>
      </c>
      <c r="L169" s="207">
        <f t="shared" si="31"/>
        <v>42</v>
      </c>
      <c r="M169" s="206">
        <f t="shared" si="28"/>
        <v>11400</v>
      </c>
      <c r="N169" s="207">
        <f t="shared" si="32"/>
        <v>79.8</v>
      </c>
      <c r="O169" s="207">
        <f t="shared" si="13"/>
        <v>5274.5795175000003</v>
      </c>
    </row>
    <row r="170" spans="1:15" s="2" customFormat="1">
      <c r="A170" s="1">
        <v>158</v>
      </c>
      <c r="C170" s="9">
        <v>1</v>
      </c>
      <c r="D170" s="1" t="s">
        <v>574</v>
      </c>
      <c r="E170" s="1" t="s">
        <v>556</v>
      </c>
      <c r="F170" s="127">
        <v>85719.16</v>
      </c>
      <c r="G170" s="206">
        <f t="shared" si="29"/>
        <v>85719.16</v>
      </c>
      <c r="H170" s="207">
        <f t="shared" si="25"/>
        <v>5314.5879199999999</v>
      </c>
      <c r="I170" s="206">
        <f t="shared" si="30"/>
        <v>85719.16</v>
      </c>
      <c r="J170" s="207">
        <f t="shared" si="26"/>
        <v>1242.9278200000001</v>
      </c>
      <c r="K170" s="206">
        <f t="shared" si="27"/>
        <v>7000</v>
      </c>
      <c r="L170" s="207">
        <f t="shared" si="31"/>
        <v>42</v>
      </c>
      <c r="M170" s="206">
        <f t="shared" si="28"/>
        <v>11400</v>
      </c>
      <c r="N170" s="207">
        <f t="shared" si="32"/>
        <v>79.8</v>
      </c>
      <c r="O170" s="207">
        <f t="shared" si="13"/>
        <v>6679.31574</v>
      </c>
    </row>
    <row r="171" spans="1:15" s="2" customFormat="1">
      <c r="A171" s="1">
        <v>159</v>
      </c>
      <c r="C171" s="9">
        <v>1</v>
      </c>
      <c r="D171" s="1" t="s">
        <v>575</v>
      </c>
      <c r="E171" s="1" t="s">
        <v>123</v>
      </c>
      <c r="F171" s="127">
        <v>0</v>
      </c>
      <c r="G171" s="206">
        <f t="shared" si="29"/>
        <v>0</v>
      </c>
      <c r="H171" s="207">
        <f t="shared" si="25"/>
        <v>0</v>
      </c>
      <c r="I171" s="206">
        <f t="shared" si="30"/>
        <v>0</v>
      </c>
      <c r="J171" s="207">
        <f t="shared" si="26"/>
        <v>0</v>
      </c>
      <c r="K171" s="206">
        <f t="shared" si="27"/>
        <v>0</v>
      </c>
      <c r="L171" s="207">
        <f t="shared" si="31"/>
        <v>0</v>
      </c>
      <c r="M171" s="206">
        <f t="shared" si="28"/>
        <v>0</v>
      </c>
      <c r="N171" s="207">
        <f t="shared" si="32"/>
        <v>0</v>
      </c>
      <c r="O171" s="207">
        <f t="shared" si="13"/>
        <v>0</v>
      </c>
    </row>
    <row r="172" spans="1:15" s="2" customFormat="1">
      <c r="A172" s="1">
        <v>160</v>
      </c>
      <c r="C172" s="9">
        <v>1</v>
      </c>
      <c r="D172" s="1" t="s">
        <v>576</v>
      </c>
      <c r="E172" s="1" t="s">
        <v>556</v>
      </c>
      <c r="F172" s="127">
        <v>84362.5</v>
      </c>
      <c r="G172" s="206">
        <f t="shared" si="29"/>
        <v>84362.5</v>
      </c>
      <c r="H172" s="207">
        <f t="shared" si="25"/>
        <v>5230.4750000000004</v>
      </c>
      <c r="I172" s="206">
        <f t="shared" si="30"/>
        <v>84362.5</v>
      </c>
      <c r="J172" s="207">
        <f t="shared" si="26"/>
        <v>1223.2562500000001</v>
      </c>
      <c r="K172" s="206">
        <f t="shared" si="27"/>
        <v>7000</v>
      </c>
      <c r="L172" s="207">
        <f t="shared" si="31"/>
        <v>42</v>
      </c>
      <c r="M172" s="206">
        <f t="shared" si="28"/>
        <v>11400</v>
      </c>
      <c r="N172" s="207">
        <f t="shared" si="32"/>
        <v>79.8</v>
      </c>
      <c r="O172" s="207">
        <f t="shared" si="13"/>
        <v>6575.5312500000009</v>
      </c>
    </row>
    <row r="173" spans="1:15" s="2" customFormat="1">
      <c r="A173" s="1">
        <v>161</v>
      </c>
      <c r="C173" s="9">
        <v>1</v>
      </c>
      <c r="D173" s="1" t="s">
        <v>577</v>
      </c>
      <c r="E173" s="1" t="s">
        <v>225</v>
      </c>
      <c r="F173" s="127">
        <v>46280</v>
      </c>
      <c r="G173" s="206">
        <f t="shared" si="29"/>
        <v>46280</v>
      </c>
      <c r="H173" s="207">
        <f t="shared" si="25"/>
        <v>2869.36</v>
      </c>
      <c r="I173" s="206">
        <f t="shared" si="30"/>
        <v>46280</v>
      </c>
      <c r="J173" s="207">
        <f t="shared" si="26"/>
        <v>671.06000000000006</v>
      </c>
      <c r="K173" s="206">
        <f t="shared" si="27"/>
        <v>7000</v>
      </c>
      <c r="L173" s="207">
        <f t="shared" si="31"/>
        <v>42</v>
      </c>
      <c r="M173" s="206">
        <f t="shared" si="28"/>
        <v>11400</v>
      </c>
      <c r="N173" s="207">
        <f t="shared" si="32"/>
        <v>79.8</v>
      </c>
      <c r="O173" s="207">
        <f t="shared" si="13"/>
        <v>3662.2200000000003</v>
      </c>
    </row>
    <row r="174" spans="1:15" s="2" customFormat="1">
      <c r="A174" s="1">
        <v>162</v>
      </c>
      <c r="C174" s="9">
        <v>1</v>
      </c>
      <c r="D174" s="1" t="s">
        <v>578</v>
      </c>
      <c r="E174" s="1" t="s">
        <v>225</v>
      </c>
      <c r="F174" s="127">
        <v>76668.800000000003</v>
      </c>
      <c r="G174" s="206">
        <f t="shared" si="29"/>
        <v>76668.800000000003</v>
      </c>
      <c r="H174" s="207">
        <f t="shared" si="25"/>
        <v>4753.4656000000004</v>
      </c>
      <c r="I174" s="206">
        <f t="shared" si="30"/>
        <v>76668.800000000003</v>
      </c>
      <c r="J174" s="207">
        <f t="shared" si="26"/>
        <v>1111.6976000000002</v>
      </c>
      <c r="K174" s="206">
        <f t="shared" si="27"/>
        <v>7000</v>
      </c>
      <c r="L174" s="207">
        <f t="shared" si="31"/>
        <v>42</v>
      </c>
      <c r="M174" s="206">
        <f t="shared" si="28"/>
        <v>11400</v>
      </c>
      <c r="N174" s="207">
        <f t="shared" si="32"/>
        <v>79.8</v>
      </c>
      <c r="O174" s="207">
        <f t="shared" si="13"/>
        <v>5986.9632000000011</v>
      </c>
    </row>
    <row r="175" spans="1:15" s="2" customFormat="1">
      <c r="A175" s="1">
        <v>163</v>
      </c>
      <c r="C175" s="9">
        <v>1</v>
      </c>
      <c r="D175" s="1" t="s">
        <v>579</v>
      </c>
      <c r="E175" s="1" t="s">
        <v>225</v>
      </c>
      <c r="F175" s="127">
        <v>76668.800000000003</v>
      </c>
      <c r="G175" s="206">
        <f t="shared" si="29"/>
        <v>76668.800000000003</v>
      </c>
      <c r="H175" s="207">
        <f t="shared" si="25"/>
        <v>4753.4656000000004</v>
      </c>
      <c r="I175" s="206">
        <f t="shared" si="30"/>
        <v>76668.800000000003</v>
      </c>
      <c r="J175" s="207">
        <f t="shared" si="26"/>
        <v>1111.6976000000002</v>
      </c>
      <c r="K175" s="206">
        <f t="shared" si="27"/>
        <v>7000</v>
      </c>
      <c r="L175" s="207">
        <f t="shared" si="31"/>
        <v>42</v>
      </c>
      <c r="M175" s="206">
        <f t="shared" si="28"/>
        <v>11400</v>
      </c>
      <c r="N175" s="207">
        <f t="shared" si="32"/>
        <v>79.8</v>
      </c>
      <c r="O175" s="207">
        <f t="shared" si="13"/>
        <v>5986.9632000000011</v>
      </c>
    </row>
    <row r="176" spans="1:15" s="2" customFormat="1">
      <c r="A176" s="1">
        <v>164</v>
      </c>
      <c r="C176" s="9">
        <v>1</v>
      </c>
      <c r="D176" s="1" t="s">
        <v>580</v>
      </c>
      <c r="E176" s="1" t="s">
        <v>225</v>
      </c>
      <c r="F176" s="127">
        <v>50419.199999999997</v>
      </c>
      <c r="G176" s="206">
        <f t="shared" si="29"/>
        <v>50419.199999999997</v>
      </c>
      <c r="H176" s="207">
        <f t="shared" si="25"/>
        <v>3125.9903999999997</v>
      </c>
      <c r="I176" s="206">
        <f t="shared" si="30"/>
        <v>50419.199999999997</v>
      </c>
      <c r="J176" s="207">
        <f t="shared" si="26"/>
        <v>731.07839999999999</v>
      </c>
      <c r="K176" s="206">
        <f t="shared" si="27"/>
        <v>7000</v>
      </c>
      <c r="L176" s="207">
        <f t="shared" si="31"/>
        <v>42</v>
      </c>
      <c r="M176" s="206">
        <f t="shared" si="28"/>
        <v>11400</v>
      </c>
      <c r="N176" s="207">
        <f t="shared" si="32"/>
        <v>79.8</v>
      </c>
      <c r="O176" s="207">
        <f t="shared" si="13"/>
        <v>3978.8687999999997</v>
      </c>
    </row>
    <row r="177" spans="1:15" s="2" customFormat="1">
      <c r="A177" s="1">
        <v>165</v>
      </c>
      <c r="C177" s="9">
        <v>1</v>
      </c>
      <c r="D177" s="1" t="s">
        <v>581</v>
      </c>
      <c r="E177" s="1" t="s">
        <v>225</v>
      </c>
      <c r="F177" s="127">
        <v>51105.599999999999</v>
      </c>
      <c r="G177" s="206">
        <f t="shared" si="29"/>
        <v>51105.599999999999</v>
      </c>
      <c r="H177" s="207">
        <f t="shared" si="25"/>
        <v>3168.5472</v>
      </c>
      <c r="I177" s="206">
        <f t="shared" si="30"/>
        <v>51105.599999999999</v>
      </c>
      <c r="J177" s="207">
        <f t="shared" si="26"/>
        <v>741.03120000000001</v>
      </c>
      <c r="K177" s="206">
        <f t="shared" si="27"/>
        <v>7000</v>
      </c>
      <c r="L177" s="207">
        <f t="shared" si="31"/>
        <v>42</v>
      </c>
      <c r="M177" s="206">
        <f t="shared" si="28"/>
        <v>11400</v>
      </c>
      <c r="N177" s="207">
        <f t="shared" si="32"/>
        <v>79.8</v>
      </c>
      <c r="O177" s="207">
        <f t="shared" si="13"/>
        <v>4031.3784000000001</v>
      </c>
    </row>
    <row r="178" spans="1:15" s="2" customFormat="1">
      <c r="A178" s="1">
        <v>166</v>
      </c>
      <c r="C178" s="9">
        <v>1</v>
      </c>
      <c r="D178" s="1" t="s">
        <v>582</v>
      </c>
      <c r="E178" s="1" t="s">
        <v>225</v>
      </c>
      <c r="F178" s="127">
        <v>63939.199999999997</v>
      </c>
      <c r="G178" s="206">
        <f t="shared" si="29"/>
        <v>63939.199999999997</v>
      </c>
      <c r="H178" s="207">
        <f t="shared" si="25"/>
        <v>3964.2303999999999</v>
      </c>
      <c r="I178" s="206">
        <f t="shared" si="30"/>
        <v>63939.199999999997</v>
      </c>
      <c r="J178" s="207">
        <f t="shared" si="26"/>
        <v>927.11839999999995</v>
      </c>
      <c r="K178" s="206">
        <f t="shared" si="27"/>
        <v>7000</v>
      </c>
      <c r="L178" s="207">
        <f t="shared" si="31"/>
        <v>42</v>
      </c>
      <c r="M178" s="206">
        <f t="shared" si="28"/>
        <v>11400</v>
      </c>
      <c r="N178" s="207">
        <f t="shared" si="32"/>
        <v>79.8</v>
      </c>
      <c r="O178" s="207">
        <f t="shared" si="13"/>
        <v>5013.1487999999999</v>
      </c>
    </row>
    <row r="179" spans="1:15" s="2" customFormat="1">
      <c r="A179" s="1">
        <v>167</v>
      </c>
      <c r="C179" s="9">
        <v>1</v>
      </c>
      <c r="D179" s="1" t="s">
        <v>583</v>
      </c>
      <c r="E179" s="1" t="s">
        <v>225</v>
      </c>
      <c r="F179" s="127">
        <v>43971.200000000004</v>
      </c>
      <c r="G179" s="206">
        <f t="shared" si="29"/>
        <v>43971.200000000004</v>
      </c>
      <c r="H179" s="207">
        <f>G179*H$10</f>
        <v>2726.2144000000003</v>
      </c>
      <c r="I179" s="206">
        <f t="shared" si="30"/>
        <v>43971.200000000004</v>
      </c>
      <c r="J179" s="207">
        <f t="shared" si="26"/>
        <v>637.58240000000012</v>
      </c>
      <c r="K179" s="206">
        <f t="shared" si="27"/>
        <v>7000</v>
      </c>
      <c r="L179" s="207">
        <f t="shared" si="31"/>
        <v>42</v>
      </c>
      <c r="M179" s="206">
        <f t="shared" si="28"/>
        <v>11400</v>
      </c>
      <c r="N179" s="207">
        <f t="shared" si="32"/>
        <v>79.8</v>
      </c>
      <c r="O179" s="207">
        <f t="shared" si="13"/>
        <v>3485.5968000000007</v>
      </c>
    </row>
    <row r="180" spans="1:15" s="2" customFormat="1">
      <c r="A180" s="1">
        <v>168</v>
      </c>
      <c r="C180" s="9">
        <v>1</v>
      </c>
      <c r="D180" s="1" t="s">
        <v>584</v>
      </c>
      <c r="E180" s="1" t="s">
        <v>225</v>
      </c>
      <c r="F180" s="127">
        <v>57844.799999999996</v>
      </c>
      <c r="G180" s="206">
        <f t="shared" si="29"/>
        <v>57844.799999999996</v>
      </c>
      <c r="H180" s="207">
        <f t="shared" si="25"/>
        <v>3586.3775999999998</v>
      </c>
      <c r="I180" s="206">
        <f t="shared" si="30"/>
        <v>57844.799999999996</v>
      </c>
      <c r="J180" s="207">
        <f t="shared" si="26"/>
        <v>838.74959999999999</v>
      </c>
      <c r="K180" s="206">
        <f t="shared" si="27"/>
        <v>7000</v>
      </c>
      <c r="L180" s="207">
        <f t="shared" si="31"/>
        <v>42</v>
      </c>
      <c r="M180" s="206">
        <f t="shared" si="28"/>
        <v>11400</v>
      </c>
      <c r="N180" s="207">
        <f t="shared" si="32"/>
        <v>79.8</v>
      </c>
      <c r="O180" s="207">
        <f t="shared" si="13"/>
        <v>4546.9272000000001</v>
      </c>
    </row>
    <row r="181" spans="1:15" s="2" customFormat="1">
      <c r="A181" s="1">
        <v>169</v>
      </c>
      <c r="C181" s="9">
        <v>1</v>
      </c>
      <c r="D181" s="1" t="s">
        <v>585</v>
      </c>
      <c r="E181" s="1" t="s">
        <v>225</v>
      </c>
      <c r="F181" s="127">
        <v>43971.200000000004</v>
      </c>
      <c r="G181" s="206">
        <f t="shared" si="29"/>
        <v>43971.200000000004</v>
      </c>
      <c r="H181" s="207">
        <f t="shared" si="25"/>
        <v>2726.2144000000003</v>
      </c>
      <c r="I181" s="206">
        <f t="shared" si="30"/>
        <v>43971.200000000004</v>
      </c>
      <c r="J181" s="207">
        <f t="shared" si="26"/>
        <v>637.58240000000012</v>
      </c>
      <c r="K181" s="206">
        <f t="shared" si="27"/>
        <v>7000</v>
      </c>
      <c r="L181" s="207">
        <f t="shared" si="31"/>
        <v>42</v>
      </c>
      <c r="M181" s="206">
        <f t="shared" si="28"/>
        <v>11400</v>
      </c>
      <c r="N181" s="207">
        <f t="shared" si="32"/>
        <v>79.8</v>
      </c>
      <c r="O181" s="207">
        <f t="shared" si="13"/>
        <v>3485.5968000000007</v>
      </c>
    </row>
    <row r="182" spans="1:15" s="2" customFormat="1">
      <c r="A182" s="1">
        <v>170</v>
      </c>
      <c r="C182" s="147">
        <f>SUM(C40:C181)</f>
        <v>142</v>
      </c>
      <c r="D182" s="4" t="s">
        <v>22</v>
      </c>
      <c r="E182" s="128"/>
      <c r="F182" s="176">
        <f>SUM(F40:F181)</f>
        <v>10350131.517500004</v>
      </c>
      <c r="G182" s="176">
        <f t="shared" ref="G182:O182" si="33">SUM(G40:G181)</f>
        <v>10350131.517500004</v>
      </c>
      <c r="H182" s="176">
        <f t="shared" si="33"/>
        <v>641708.15408500039</v>
      </c>
      <c r="I182" s="176">
        <f t="shared" si="33"/>
        <v>10350131.517500004</v>
      </c>
      <c r="J182" s="176">
        <f t="shared" si="33"/>
        <v>150076.90700375006</v>
      </c>
      <c r="K182" s="176">
        <f t="shared" si="33"/>
        <v>805000</v>
      </c>
      <c r="L182" s="176">
        <f t="shared" si="33"/>
        <v>4830</v>
      </c>
      <c r="M182" s="176">
        <f t="shared" si="33"/>
        <v>1311000</v>
      </c>
      <c r="N182" s="176">
        <f t="shared" si="33"/>
        <v>9177.0000000000036</v>
      </c>
      <c r="O182" s="176">
        <f t="shared" si="33"/>
        <v>805792.06108875014</v>
      </c>
    </row>
    <row r="183" spans="1:15" s="2" customFormat="1">
      <c r="A183" s="1">
        <v>171</v>
      </c>
      <c r="C183" s="9"/>
      <c r="D183" s="1"/>
      <c r="E183" s="1"/>
      <c r="F183" s="125"/>
      <c r="G183" s="207"/>
      <c r="I183" s="207"/>
      <c r="K183" s="207"/>
      <c r="M183" s="207"/>
    </row>
    <row r="184" spans="1:15" s="2" customFormat="1">
      <c r="A184" s="1">
        <v>172</v>
      </c>
      <c r="C184" s="390">
        <f>+C37+C182</f>
        <v>165</v>
      </c>
      <c r="D184" s="209" t="s">
        <v>14</v>
      </c>
      <c r="E184" s="210"/>
      <c r="F184" s="211">
        <f t="shared" ref="F184:N184" si="34">F37+F182</f>
        <v>13258826.517500004</v>
      </c>
      <c r="G184" s="211">
        <f t="shared" si="34"/>
        <v>13095126.517500004</v>
      </c>
      <c r="H184" s="211">
        <f t="shared" si="34"/>
        <v>811897.84408500046</v>
      </c>
      <c r="I184" s="211">
        <f t="shared" si="34"/>
        <v>13258826.517500004</v>
      </c>
      <c r="J184" s="211">
        <f t="shared" si="34"/>
        <v>192252.98450375005</v>
      </c>
      <c r="K184" s="211">
        <f t="shared" si="34"/>
        <v>952000</v>
      </c>
      <c r="L184" s="211">
        <f t="shared" si="34"/>
        <v>5712</v>
      </c>
      <c r="M184" s="211">
        <f t="shared" si="34"/>
        <v>1550400</v>
      </c>
      <c r="N184" s="211">
        <f t="shared" si="34"/>
        <v>10852.800000000003</v>
      </c>
      <c r="O184" s="211">
        <f t="shared" si="13"/>
        <v>1020715.6285887505</v>
      </c>
    </row>
    <row r="185" spans="1:15" s="2" customFormat="1">
      <c r="A185" s="1">
        <v>173</v>
      </c>
      <c r="C185" s="391"/>
      <c r="D185" s="159"/>
      <c r="E185" s="178"/>
      <c r="F185" s="212"/>
    </row>
    <row r="186" spans="1:15" s="2" customFormat="1">
      <c r="A186" s="1">
        <v>174</v>
      </c>
      <c r="C186" s="392" t="s">
        <v>36</v>
      </c>
      <c r="E186" s="178"/>
      <c r="F186" s="212"/>
      <c r="H186" s="213">
        <f>721085.39+172771.82</f>
        <v>893857.21</v>
      </c>
      <c r="I186" s="214" t="s">
        <v>330</v>
      </c>
      <c r="J186" s="215"/>
      <c r="K186" s="206"/>
      <c r="L186" s="31">
        <v>6569.87</v>
      </c>
      <c r="M186" s="31"/>
      <c r="N186" s="31">
        <v>11517.75</v>
      </c>
      <c r="O186" s="31">
        <f>H186+J186+L186+N186</f>
        <v>911944.83</v>
      </c>
    </row>
    <row r="187" spans="1:15" s="2" customFormat="1">
      <c r="A187" s="1">
        <v>175</v>
      </c>
      <c r="C187" s="391"/>
      <c r="D187" s="159"/>
      <c r="E187" s="178"/>
      <c r="F187" s="212"/>
      <c r="H187" s="206"/>
      <c r="I187" s="206"/>
      <c r="J187" s="206"/>
      <c r="K187" s="206"/>
      <c r="L187" s="31"/>
      <c r="M187" s="31"/>
      <c r="N187" s="31"/>
      <c r="O187" s="206"/>
    </row>
    <row r="188" spans="1:15" s="2" customFormat="1">
      <c r="A188" s="1">
        <v>176</v>
      </c>
      <c r="C188" s="392" t="s">
        <v>147</v>
      </c>
      <c r="D188" s="159"/>
      <c r="E188" s="159"/>
      <c r="F188" s="177"/>
      <c r="H188" s="213">
        <f>H184+J184</f>
        <v>1004150.8285887504</v>
      </c>
      <c r="I188" s="214" t="s">
        <v>331</v>
      </c>
      <c r="J188" s="215"/>
      <c r="K188" s="206"/>
      <c r="L188" s="206">
        <f>L184</f>
        <v>5712</v>
      </c>
      <c r="M188" s="206"/>
      <c r="N188" s="206">
        <f>N184</f>
        <v>10852.800000000003</v>
      </c>
      <c r="O188" s="206">
        <f>H188+J188+L188+N188</f>
        <v>1020715.6285887505</v>
      </c>
    </row>
    <row r="189" spans="1:15" s="2" customFormat="1">
      <c r="A189" s="1">
        <v>177</v>
      </c>
      <c r="C189" s="391"/>
      <c r="D189" s="159"/>
      <c r="E189" s="159"/>
      <c r="F189" s="177"/>
    </row>
    <row r="190" spans="1:15" s="2" customFormat="1" ht="13.5" thickBot="1">
      <c r="A190" s="1">
        <v>178</v>
      </c>
      <c r="C190" s="393" t="s">
        <v>375</v>
      </c>
      <c r="D190" s="182"/>
      <c r="E190" s="181"/>
      <c r="F190" s="181"/>
      <c r="G190" s="181"/>
      <c r="H190" s="216">
        <f>H188-H186</f>
        <v>110293.61858875048</v>
      </c>
      <c r="I190" s="181"/>
      <c r="J190" s="216"/>
      <c r="K190" s="181"/>
      <c r="L190" s="216">
        <f>L188-L186</f>
        <v>-857.86999999999989</v>
      </c>
      <c r="M190" s="181"/>
      <c r="N190" s="216">
        <f>N188-N186</f>
        <v>-664.94999999999709</v>
      </c>
      <c r="O190" s="216">
        <f>H190+J190+L190+N190</f>
        <v>108770.79858875049</v>
      </c>
    </row>
    <row r="191" spans="1:15" s="2" customFormat="1" ht="13.5" thickTop="1">
      <c r="A191" s="1">
        <v>179</v>
      </c>
      <c r="C191" s="9"/>
      <c r="D191" s="1"/>
      <c r="E191" s="1"/>
    </row>
    <row r="192" spans="1:15" s="2" customFormat="1">
      <c r="A192" s="1">
        <v>180</v>
      </c>
      <c r="C192" s="386" t="s">
        <v>299</v>
      </c>
      <c r="D192" s="137" t="s">
        <v>332</v>
      </c>
      <c r="E192" s="2" t="s">
        <v>300</v>
      </c>
      <c r="G192" s="137" t="s">
        <v>333</v>
      </c>
      <c r="H192" s="2" t="s">
        <v>301</v>
      </c>
      <c r="L192" s="137" t="s">
        <v>364</v>
      </c>
      <c r="M192" s="238" t="s">
        <v>441</v>
      </c>
    </row>
    <row r="193" spans="1:14" s="2" customFormat="1" ht="23.25" customHeight="1">
      <c r="A193" s="1">
        <v>181</v>
      </c>
      <c r="C193" s="9"/>
      <c r="D193" s="1"/>
      <c r="E193" s="1"/>
    </row>
    <row r="194" spans="1:14" s="2" customFormat="1" ht="12.75" customHeight="1">
      <c r="A194" s="1">
        <v>182</v>
      </c>
      <c r="C194" s="453" t="s">
        <v>334</v>
      </c>
      <c r="D194" s="453"/>
      <c r="E194" s="453"/>
      <c r="F194" s="453"/>
      <c r="G194" s="453"/>
      <c r="H194" s="453"/>
      <c r="I194" s="453"/>
      <c r="J194" s="453"/>
      <c r="K194" s="453"/>
      <c r="L194" s="453"/>
      <c r="M194" s="453"/>
      <c r="N194" s="453"/>
    </row>
    <row r="195" spans="1:14">
      <c r="A195" s="1">
        <v>183</v>
      </c>
    </row>
    <row r="196" spans="1:14">
      <c r="A196" s="1">
        <v>184</v>
      </c>
      <c r="C196" s="81" t="s">
        <v>335</v>
      </c>
      <c r="D196" s="9"/>
      <c r="E196" s="9"/>
      <c r="G196" s="46"/>
      <c r="H196" s="217" t="s">
        <v>125</v>
      </c>
      <c r="I196" s="138" t="s">
        <v>15</v>
      </c>
    </row>
    <row r="197" spans="1:14">
      <c r="A197" s="1">
        <v>185</v>
      </c>
      <c r="D197" s="9"/>
      <c r="E197" s="9"/>
    </row>
    <row r="198" spans="1:14">
      <c r="A198" s="1">
        <v>186</v>
      </c>
      <c r="C198" s="10" t="s">
        <v>116</v>
      </c>
      <c r="D198" s="14"/>
      <c r="E198" s="14" t="s">
        <v>117</v>
      </c>
      <c r="G198" s="22"/>
      <c r="H198" s="218">
        <v>7.9162376565297371E-2</v>
      </c>
      <c r="I198" s="22">
        <f>H198*$O$190</f>
        <v>8610.5549171907824</v>
      </c>
    </row>
    <row r="199" spans="1:14">
      <c r="A199" s="1">
        <v>187</v>
      </c>
      <c r="C199" s="10" t="s">
        <v>118</v>
      </c>
      <c r="D199" s="14"/>
      <c r="E199" s="14" t="s">
        <v>119</v>
      </c>
      <c r="G199" s="22"/>
      <c r="H199" s="218">
        <v>0.24163090740067283</v>
      </c>
      <c r="I199" s="22">
        <f t="shared" ref="I199:I202" si="35">H199*$O$190</f>
        <v>26282.386761695605</v>
      </c>
    </row>
    <row r="200" spans="1:14">
      <c r="A200" s="1">
        <v>188</v>
      </c>
      <c r="C200" s="10" t="s">
        <v>120</v>
      </c>
      <c r="D200" s="14"/>
      <c r="E200" s="14" t="s">
        <v>103</v>
      </c>
      <c r="G200" s="22"/>
      <c r="H200" s="218">
        <v>0.10810391683156846</v>
      </c>
      <c r="I200" s="22">
        <f t="shared" si="35"/>
        <v>11758.549364341567</v>
      </c>
    </row>
    <row r="201" spans="1:14">
      <c r="A201" s="1">
        <v>189</v>
      </c>
      <c r="C201" s="10" t="s">
        <v>304</v>
      </c>
      <c r="D201" s="14"/>
      <c r="E201" s="14" t="s">
        <v>78</v>
      </c>
      <c r="G201" s="22"/>
      <c r="H201" s="218">
        <v>2.3955366492386103E-2</v>
      </c>
      <c r="I201" s="22">
        <f t="shared" si="35"/>
        <v>2605.6443438630313</v>
      </c>
    </row>
    <row r="202" spans="1:14">
      <c r="A202" s="1">
        <v>190</v>
      </c>
      <c r="C202" s="10" t="s">
        <v>121</v>
      </c>
      <c r="D202" s="14"/>
      <c r="E202" s="14" t="s">
        <v>115</v>
      </c>
      <c r="G202" s="22"/>
      <c r="H202" s="218">
        <v>0.10589168658007772</v>
      </c>
      <c r="I202" s="22">
        <f t="shared" si="35"/>
        <v>11517.923313224726</v>
      </c>
    </row>
    <row r="203" spans="1:14">
      <c r="A203" s="1">
        <v>191</v>
      </c>
      <c r="C203" s="385" t="s">
        <v>374</v>
      </c>
      <c r="D203" s="15"/>
      <c r="E203" s="15"/>
      <c r="F203" s="15"/>
      <c r="G203" s="28"/>
      <c r="H203" s="219">
        <f>SUM(H198:H202)</f>
        <v>0.55874425387000248</v>
      </c>
      <c r="I203" s="242">
        <f>SUM(I198:I202)</f>
        <v>60775.058700315712</v>
      </c>
      <c r="K203" s="81"/>
    </row>
    <row r="204" spans="1:14">
      <c r="A204" s="1">
        <v>192</v>
      </c>
      <c r="D204" s="9"/>
      <c r="E204" s="9"/>
      <c r="G204" s="22"/>
      <c r="H204" s="218"/>
      <c r="I204" s="22"/>
    </row>
    <row r="205" spans="1:14">
      <c r="A205" s="1">
        <v>193</v>
      </c>
      <c r="C205" s="10" t="s">
        <v>305</v>
      </c>
      <c r="D205" s="14"/>
      <c r="E205" s="14" t="s">
        <v>306</v>
      </c>
      <c r="G205" s="22"/>
      <c r="H205" s="218">
        <v>0.26532065508349417</v>
      </c>
      <c r="I205" s="22">
        <f>H205*$O$190</f>
        <v>28859.139535522085</v>
      </c>
    </row>
    <row r="206" spans="1:14">
      <c r="A206" s="1">
        <v>194</v>
      </c>
      <c r="C206" s="10" t="s">
        <v>307</v>
      </c>
      <c r="D206" s="14"/>
      <c r="E206" s="14" t="s">
        <v>308</v>
      </c>
      <c r="G206" s="22"/>
      <c r="H206" s="218">
        <v>1.9168932948869864E-2</v>
      </c>
      <c r="I206" s="22">
        <f>H206*$O$190</f>
        <v>2085.0201449427868</v>
      </c>
    </row>
    <row r="207" spans="1:14">
      <c r="A207" s="1">
        <v>195</v>
      </c>
      <c r="C207" s="10" t="s">
        <v>309</v>
      </c>
      <c r="D207" s="14"/>
      <c r="E207" s="14" t="s">
        <v>310</v>
      </c>
      <c r="G207" s="22"/>
      <c r="H207" s="218">
        <v>5.5518749294945616E-2</v>
      </c>
      <c r="I207" s="22">
        <f>H207*$O$190</f>
        <v>6038.818697459863</v>
      </c>
    </row>
    <row r="208" spans="1:14">
      <c r="A208" s="1">
        <v>196</v>
      </c>
      <c r="C208" s="10" t="s">
        <v>311</v>
      </c>
      <c r="D208" s="14"/>
      <c r="E208" s="14" t="s">
        <v>312</v>
      </c>
      <c r="G208" s="22"/>
      <c r="H208" s="218">
        <v>0.10124740880268777</v>
      </c>
      <c r="I208" s="22">
        <f>H208*$O$190</f>
        <v>11012.761510510036</v>
      </c>
    </row>
    <row r="209" spans="1:9">
      <c r="A209" s="1">
        <v>197</v>
      </c>
      <c r="C209" s="15"/>
      <c r="D209" s="15"/>
      <c r="E209" s="15" t="s">
        <v>22</v>
      </c>
      <c r="F209" s="15"/>
      <c r="G209" s="28"/>
      <c r="H209" s="219">
        <f>SUM(H205:H208)</f>
        <v>0.44125574612999741</v>
      </c>
      <c r="I209" s="28">
        <f>SUM(I205:I208)</f>
        <v>47995.739888434771</v>
      </c>
    </row>
    <row r="210" spans="1:9">
      <c r="A210" s="1">
        <v>198</v>
      </c>
      <c r="D210" s="9"/>
      <c r="E210" s="9"/>
      <c r="G210" s="22"/>
      <c r="H210" s="218"/>
      <c r="I210" s="22"/>
    </row>
    <row r="211" spans="1:9" ht="13.5" thickBot="1">
      <c r="A211" s="1">
        <v>199</v>
      </c>
      <c r="C211" s="19"/>
      <c r="D211" s="19"/>
      <c r="E211" s="220" t="s">
        <v>43</v>
      </c>
      <c r="F211" s="19"/>
      <c r="G211" s="221"/>
      <c r="H211" s="222">
        <f>+H203+H209</f>
        <v>0.99999999999999989</v>
      </c>
      <c r="I211" s="221">
        <f>I203+I209</f>
        <v>108770.79858875048</v>
      </c>
    </row>
    <row r="212" spans="1:9" ht="13.5" thickTop="1"/>
  </sheetData>
  <mergeCells count="9">
    <mergeCell ref="C194:N194"/>
    <mergeCell ref="A3:O3"/>
    <mergeCell ref="A4:O4"/>
    <mergeCell ref="A6:O6"/>
    <mergeCell ref="C8:F8"/>
    <mergeCell ref="G8:H8"/>
    <mergeCell ref="I8:J8"/>
    <mergeCell ref="K8:L8"/>
    <mergeCell ref="M8:N8"/>
  </mergeCells>
  <pageMargins left="0.7" right="0.7" top="0.75" bottom="0.75" header="0.3" footer="0.3"/>
  <pageSetup scale="65" fitToHeight="0" orientation="portrait" r:id="rId1"/>
  <headerFooter alignWithMargins="0">
    <oddFooter>&amp;RExhibit  JW-2
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6F4E5-D059-4B0A-BCB1-54056D101FF0}">
  <sheetPr>
    <pageSetUpPr fitToPage="1"/>
  </sheetPr>
  <dimension ref="A1:P85"/>
  <sheetViews>
    <sheetView view="pageBreakPreview" topLeftCell="A58" zoomScaleNormal="100" zoomScaleSheetLayoutView="100" workbookViewId="0">
      <selection activeCell="I73" sqref="I73"/>
    </sheetView>
  </sheetViews>
  <sheetFormatPr defaultColWidth="9.140625" defaultRowHeight="12.75"/>
  <cols>
    <col min="1" max="1" width="5.85546875" style="10" customWidth="1"/>
    <col min="2" max="2" width="2.28515625" style="9" customWidth="1"/>
    <col min="3" max="3" width="11.7109375" style="10" customWidth="1"/>
    <col min="4" max="4" width="5.7109375" style="10" customWidth="1"/>
    <col min="5" max="5" width="10.85546875" style="10" customWidth="1"/>
    <col min="6" max="6" width="12.5703125" style="10" customWidth="1"/>
    <col min="7" max="7" width="13.7109375" style="10" customWidth="1"/>
    <col min="8" max="8" width="12.7109375" style="10" customWidth="1"/>
    <col min="9" max="9" width="11.42578125" style="10" bestFit="1" customWidth="1"/>
    <col min="10" max="10" width="13.28515625" style="10" customWidth="1"/>
    <col min="11" max="11" width="12.42578125" style="10" customWidth="1"/>
    <col min="12" max="16384" width="9.140625" style="10"/>
  </cols>
  <sheetData>
    <row r="1" spans="1:13">
      <c r="G1" s="5"/>
      <c r="J1" s="5"/>
      <c r="K1" s="5" t="s">
        <v>373</v>
      </c>
    </row>
    <row r="2" spans="1:13" ht="13.5" customHeight="1">
      <c r="G2" s="5"/>
      <c r="H2" s="5"/>
    </row>
    <row r="3" spans="1:13">
      <c r="A3" s="447" t="str">
        <f>RevReq!A1</f>
        <v>SOUTH KENTUCKY R.E.C.C.</v>
      </c>
      <c r="B3" s="447"/>
      <c r="C3" s="447"/>
      <c r="D3" s="447"/>
      <c r="E3" s="447"/>
      <c r="F3" s="447"/>
      <c r="G3" s="447"/>
      <c r="H3" s="447"/>
      <c r="I3" s="447"/>
      <c r="J3" s="447"/>
      <c r="K3" s="447"/>
    </row>
    <row r="4" spans="1:13">
      <c r="A4" s="447" t="str">
        <f>RevReq!A3</f>
        <v>For the 12 Months Ended May 2024</v>
      </c>
      <c r="B4" s="447"/>
      <c r="C4" s="447"/>
      <c r="D4" s="447"/>
      <c r="E4" s="447"/>
      <c r="F4" s="447"/>
      <c r="G4" s="447"/>
      <c r="H4" s="447"/>
      <c r="I4" s="447"/>
      <c r="J4" s="447"/>
      <c r="K4" s="447"/>
    </row>
    <row r="6" spans="1:13" s="6" customFormat="1" ht="15" customHeight="1">
      <c r="A6" s="448" t="s">
        <v>97</v>
      </c>
      <c r="B6" s="448"/>
      <c r="C6" s="448"/>
      <c r="D6" s="448"/>
      <c r="E6" s="448"/>
      <c r="F6" s="448"/>
      <c r="G6" s="448"/>
      <c r="H6" s="448"/>
      <c r="I6" s="448"/>
      <c r="J6" s="448"/>
      <c r="K6" s="448"/>
    </row>
    <row r="7" spans="1:13">
      <c r="L7" s="9"/>
    </row>
    <row r="8" spans="1:13" s="27" customFormat="1" ht="38.25" customHeight="1">
      <c r="A8" s="27" t="s">
        <v>0</v>
      </c>
      <c r="C8" s="27" t="s">
        <v>336</v>
      </c>
      <c r="D8" s="27" t="s">
        <v>241</v>
      </c>
      <c r="E8" s="27" t="s">
        <v>337</v>
      </c>
      <c r="F8" s="27" t="s">
        <v>338</v>
      </c>
      <c r="G8" s="27" t="s">
        <v>661</v>
      </c>
      <c r="H8" s="27" t="s">
        <v>339</v>
      </c>
      <c r="I8" s="27" t="s">
        <v>340</v>
      </c>
      <c r="J8" s="27" t="s">
        <v>341</v>
      </c>
      <c r="K8" s="27" t="s">
        <v>122</v>
      </c>
    </row>
    <row r="9" spans="1:13">
      <c r="A9" s="11" t="s">
        <v>21</v>
      </c>
      <c r="C9" s="12" t="s">
        <v>18</v>
      </c>
      <c r="D9" s="12" t="s">
        <v>20</v>
      </c>
      <c r="E9" s="12" t="s">
        <v>19</v>
      </c>
      <c r="F9" s="12" t="s">
        <v>25</v>
      </c>
      <c r="G9" s="12" t="s">
        <v>47</v>
      </c>
      <c r="H9" s="12" t="s">
        <v>48</v>
      </c>
      <c r="I9" s="12" t="s">
        <v>49</v>
      </c>
      <c r="J9" s="12" t="s">
        <v>50</v>
      </c>
      <c r="K9" s="12" t="s">
        <v>342</v>
      </c>
      <c r="L9" s="9"/>
    </row>
    <row r="10" spans="1:13">
      <c r="A10" s="9"/>
      <c r="L10" s="9"/>
    </row>
    <row r="11" spans="1:13">
      <c r="A11" s="9">
        <v>1</v>
      </c>
      <c r="C11" s="32" t="s">
        <v>343</v>
      </c>
      <c r="D11" s="32"/>
      <c r="L11" s="9"/>
    </row>
    <row r="12" spans="1:13">
      <c r="A12" s="9">
        <f>A11+1</f>
        <v>2</v>
      </c>
      <c r="C12" s="14" t="s">
        <v>662</v>
      </c>
      <c r="D12" s="9" t="s">
        <v>225</v>
      </c>
      <c r="E12" s="223">
        <v>35735</v>
      </c>
      <c r="F12" s="223">
        <v>46692</v>
      </c>
      <c r="G12" s="13">
        <v>1210626.6499999999</v>
      </c>
      <c r="H12" s="224">
        <v>0.03</v>
      </c>
      <c r="I12" s="24">
        <f>ROUND(G12*H12,2)</f>
        <v>36318.800000000003</v>
      </c>
      <c r="J12" s="13">
        <v>30220.68</v>
      </c>
      <c r="K12" s="13">
        <f>I12-J12</f>
        <v>6098.1200000000026</v>
      </c>
      <c r="L12" s="9"/>
      <c r="M12" s="10" t="s">
        <v>663</v>
      </c>
    </row>
    <row r="13" spans="1:13">
      <c r="A13" s="9">
        <f>A12+1</f>
        <v>3</v>
      </c>
      <c r="C13" s="14" t="s">
        <v>664</v>
      </c>
      <c r="D13" s="9"/>
      <c r="E13" s="223">
        <v>36312</v>
      </c>
      <c r="F13" s="223">
        <v>47270</v>
      </c>
      <c r="G13" s="13">
        <v>1206654.7</v>
      </c>
      <c r="H13" s="224">
        <v>2.5000000000000001E-2</v>
      </c>
      <c r="I13" s="225">
        <f>ROUND(G13*H13,2)</f>
        <v>30166.37</v>
      </c>
      <c r="J13" s="226">
        <v>32743.31</v>
      </c>
      <c r="K13" s="226">
        <f t="shared" ref="K13:K56" si="0">I13-J13</f>
        <v>-2576.9400000000023</v>
      </c>
      <c r="L13" s="9"/>
    </row>
    <row r="14" spans="1:13">
      <c r="A14" s="9">
        <f t="shared" ref="A14:A68" si="1">A13+1</f>
        <v>4</v>
      </c>
      <c r="C14" s="14"/>
      <c r="D14" s="9"/>
      <c r="E14" s="223"/>
      <c r="F14" s="223"/>
      <c r="G14" s="16">
        <f>SUM(G12:G13)</f>
        <v>2417281.3499999996</v>
      </c>
      <c r="H14" s="224"/>
      <c r="I14" s="24">
        <f>SUM(I12:I13)</f>
        <v>66485.17</v>
      </c>
      <c r="J14" s="24">
        <f>SUM(J12:J13)</f>
        <v>62963.990000000005</v>
      </c>
      <c r="K14" s="24">
        <f>SUM(K12:K13)</f>
        <v>3521.1800000000003</v>
      </c>
      <c r="L14" s="9"/>
    </row>
    <row r="15" spans="1:13">
      <c r="A15" s="9">
        <f t="shared" si="1"/>
        <v>5</v>
      </c>
      <c r="C15" s="14"/>
      <c r="D15" s="9"/>
      <c r="E15" s="223"/>
      <c r="F15" s="223"/>
      <c r="G15" s="13"/>
      <c r="H15" s="224"/>
      <c r="I15" s="24"/>
      <c r="J15" s="13"/>
      <c r="K15" s="13"/>
      <c r="L15" s="9"/>
    </row>
    <row r="16" spans="1:13">
      <c r="A16" s="9">
        <f t="shared" si="1"/>
        <v>6</v>
      </c>
      <c r="C16" s="32" t="s">
        <v>344</v>
      </c>
      <c r="D16" s="9"/>
      <c r="E16" s="223"/>
      <c r="F16" s="223"/>
      <c r="G16" s="334"/>
      <c r="H16" s="224"/>
      <c r="I16" s="24"/>
      <c r="J16" s="13"/>
      <c r="K16" s="13"/>
      <c r="L16" s="9"/>
    </row>
    <row r="17" spans="1:14">
      <c r="A17" s="9">
        <f t="shared" si="1"/>
        <v>7</v>
      </c>
      <c r="C17" s="14" t="s">
        <v>665</v>
      </c>
      <c r="D17" s="9" t="s">
        <v>124</v>
      </c>
      <c r="E17" s="223">
        <v>39722</v>
      </c>
      <c r="F17" s="223">
        <v>51836</v>
      </c>
      <c r="G17" s="13">
        <v>3682220.27</v>
      </c>
      <c r="H17" s="227">
        <v>3.4549999999999997E-2</v>
      </c>
      <c r="I17" s="24">
        <f t="shared" ref="I17:I43" si="2">ROUND(G17*H17,2)</f>
        <v>127220.71</v>
      </c>
      <c r="J17" s="13">
        <v>129703</v>
      </c>
      <c r="K17" s="13">
        <f t="shared" ref="K17:K32" si="3">I17-J17</f>
        <v>-2482.2899999999936</v>
      </c>
      <c r="L17" s="9"/>
    </row>
    <row r="18" spans="1:14">
      <c r="A18" s="9">
        <f t="shared" si="1"/>
        <v>8</v>
      </c>
      <c r="B18" s="1"/>
      <c r="C18" s="14" t="s">
        <v>666</v>
      </c>
      <c r="D18" s="9" t="s">
        <v>124</v>
      </c>
      <c r="E18" s="223">
        <v>39873</v>
      </c>
      <c r="F18" s="223">
        <v>51836</v>
      </c>
      <c r="G18" s="13">
        <v>2278950.71</v>
      </c>
      <c r="H18" s="227">
        <v>3.6490000000000002E-2</v>
      </c>
      <c r="I18" s="24">
        <f t="shared" si="2"/>
        <v>83158.91</v>
      </c>
      <c r="J18" s="13">
        <v>84757</v>
      </c>
      <c r="K18" s="13">
        <f t="shared" si="3"/>
        <v>-1598.0899999999965</v>
      </c>
      <c r="L18" s="9"/>
      <c r="M18" s="10" t="s">
        <v>667</v>
      </c>
    </row>
    <row r="19" spans="1:14">
      <c r="A19" s="9">
        <f t="shared" si="1"/>
        <v>9</v>
      </c>
      <c r="B19" s="1"/>
      <c r="C19" s="14" t="s">
        <v>668</v>
      </c>
      <c r="D19" s="9" t="s">
        <v>124</v>
      </c>
      <c r="E19" s="223">
        <v>39873</v>
      </c>
      <c r="F19" s="223">
        <v>52201</v>
      </c>
      <c r="G19" s="13">
        <v>12197894</v>
      </c>
      <c r="H19" s="227">
        <v>3.6990000000000002E-2</v>
      </c>
      <c r="I19" s="24">
        <f t="shared" si="2"/>
        <v>451200.1</v>
      </c>
      <c r="J19" s="13">
        <v>459345</v>
      </c>
      <c r="K19" s="13">
        <f t="shared" si="3"/>
        <v>-8144.9000000000233</v>
      </c>
      <c r="L19" s="9"/>
    </row>
    <row r="20" spans="1:14">
      <c r="A20" s="9">
        <f t="shared" si="1"/>
        <v>10</v>
      </c>
      <c r="B20" s="1"/>
      <c r="C20" s="14" t="s">
        <v>669</v>
      </c>
      <c r="D20" s="9" t="s">
        <v>124</v>
      </c>
      <c r="E20" s="223">
        <v>40391</v>
      </c>
      <c r="F20" s="223">
        <v>52201</v>
      </c>
      <c r="G20" s="13">
        <v>9664369</v>
      </c>
      <c r="H20" s="227">
        <v>3.2489999999999998E-2</v>
      </c>
      <c r="I20" s="24">
        <f t="shared" si="2"/>
        <v>313995.34999999998</v>
      </c>
      <c r="J20" s="13">
        <v>319877</v>
      </c>
      <c r="K20" s="13">
        <f t="shared" si="3"/>
        <v>-5881.6500000000233</v>
      </c>
      <c r="L20" s="9"/>
    </row>
    <row r="21" spans="1:14">
      <c r="A21" s="9">
        <f t="shared" si="1"/>
        <v>11</v>
      </c>
      <c r="B21" s="1"/>
      <c r="C21" s="14" t="s">
        <v>670</v>
      </c>
      <c r="D21" s="9" t="s">
        <v>124</v>
      </c>
      <c r="E21" s="223">
        <v>41275</v>
      </c>
      <c r="F21" s="223">
        <v>53328</v>
      </c>
      <c r="G21" s="13">
        <v>11257284</v>
      </c>
      <c r="H21" s="227">
        <v>2.657E-2</v>
      </c>
      <c r="I21" s="24">
        <f t="shared" si="2"/>
        <v>299106.03999999998</v>
      </c>
      <c r="J21" s="13">
        <v>304176</v>
      </c>
      <c r="K21" s="13">
        <f t="shared" si="3"/>
        <v>-5069.960000000021</v>
      </c>
      <c r="L21" s="9"/>
    </row>
    <row r="22" spans="1:14">
      <c r="A22" s="9">
        <f t="shared" si="1"/>
        <v>12</v>
      </c>
      <c r="B22" s="1"/>
      <c r="C22" s="14" t="s">
        <v>671</v>
      </c>
      <c r="D22" s="9" t="s">
        <v>124</v>
      </c>
      <c r="E22" s="223">
        <v>41609</v>
      </c>
      <c r="F22" s="223">
        <v>53328</v>
      </c>
      <c r="G22" s="13">
        <v>4922789</v>
      </c>
      <c r="H22" s="227">
        <v>3.5499999999999997E-2</v>
      </c>
      <c r="I22" s="24">
        <f t="shared" si="2"/>
        <v>174759.01</v>
      </c>
      <c r="J22" s="13">
        <v>177488</v>
      </c>
      <c r="K22" s="13">
        <f t="shared" si="3"/>
        <v>-2728.9899999999907</v>
      </c>
      <c r="L22" s="9"/>
    </row>
    <row r="23" spans="1:14">
      <c r="A23" s="9">
        <f t="shared" si="1"/>
        <v>13</v>
      </c>
      <c r="C23" s="10" t="s">
        <v>672</v>
      </c>
      <c r="D23" s="9" t="s">
        <v>124</v>
      </c>
      <c r="E23" s="223">
        <v>41671</v>
      </c>
      <c r="F23" s="223">
        <v>52657</v>
      </c>
      <c r="G23" s="17">
        <v>2211267</v>
      </c>
      <c r="H23" s="227">
        <v>3.5549999999999998E-2</v>
      </c>
      <c r="I23" s="24">
        <f t="shared" si="2"/>
        <v>78610.539999999994</v>
      </c>
      <c r="J23" s="13">
        <v>79838</v>
      </c>
      <c r="K23" s="13">
        <f t="shared" si="3"/>
        <v>-1227.4600000000064</v>
      </c>
      <c r="L23" s="9"/>
      <c r="M23" s="10" t="s">
        <v>673</v>
      </c>
    </row>
    <row r="24" spans="1:14">
      <c r="A24" s="9">
        <f t="shared" si="1"/>
        <v>14</v>
      </c>
      <c r="C24" s="14" t="s">
        <v>674</v>
      </c>
      <c r="D24" s="9" t="s">
        <v>124</v>
      </c>
      <c r="E24" s="223">
        <v>41883</v>
      </c>
      <c r="F24" s="223">
        <v>52932</v>
      </c>
      <c r="G24" s="17">
        <v>2245467</v>
      </c>
      <c r="H24" s="227">
        <v>3.5549999999999998E-2</v>
      </c>
      <c r="I24" s="24">
        <f t="shared" si="2"/>
        <v>79826.350000000006</v>
      </c>
      <c r="J24" s="13">
        <v>81073</v>
      </c>
      <c r="K24" s="13">
        <f t="shared" si="3"/>
        <v>-1246.6499999999942</v>
      </c>
      <c r="L24" s="9"/>
      <c r="M24" s="10" t="s">
        <v>673</v>
      </c>
    </row>
    <row r="25" spans="1:14">
      <c r="A25" s="9">
        <f t="shared" si="1"/>
        <v>15</v>
      </c>
      <c r="C25" s="14" t="s">
        <v>675</v>
      </c>
      <c r="D25" s="9" t="s">
        <v>124</v>
      </c>
      <c r="E25" s="223">
        <v>41913</v>
      </c>
      <c r="F25" s="223">
        <v>53328</v>
      </c>
      <c r="G25" s="17">
        <v>7877812</v>
      </c>
      <c r="H25" s="227">
        <v>2.87E-2</v>
      </c>
      <c r="I25" s="24">
        <f t="shared" si="2"/>
        <v>226093.2</v>
      </c>
      <c r="J25" s="13">
        <v>229852</v>
      </c>
      <c r="K25" s="13">
        <f t="shared" si="3"/>
        <v>-3758.7999999999884</v>
      </c>
      <c r="L25" s="9"/>
    </row>
    <row r="26" spans="1:14">
      <c r="A26" s="9">
        <f t="shared" si="1"/>
        <v>16</v>
      </c>
      <c r="C26" s="14" t="s">
        <v>676</v>
      </c>
      <c r="D26" s="9" t="s">
        <v>677</v>
      </c>
      <c r="E26" s="223">
        <v>42339</v>
      </c>
      <c r="F26" s="223">
        <v>53328</v>
      </c>
      <c r="G26" s="17">
        <v>775261</v>
      </c>
      <c r="H26" s="224">
        <v>4.2020000000000002E-2</v>
      </c>
      <c r="I26" s="24">
        <f t="shared" si="2"/>
        <v>32576.47</v>
      </c>
      <c r="J26" s="13">
        <v>17514.5</v>
      </c>
      <c r="K26" s="13">
        <f t="shared" si="3"/>
        <v>15061.970000000001</v>
      </c>
      <c r="L26" s="9"/>
      <c r="M26" s="10" t="s">
        <v>678</v>
      </c>
      <c r="N26" s="224"/>
    </row>
    <row r="27" spans="1:14">
      <c r="A27" s="9">
        <f t="shared" si="1"/>
        <v>17</v>
      </c>
      <c r="C27" s="14" t="s">
        <v>679</v>
      </c>
      <c r="D27" s="9" t="s">
        <v>677</v>
      </c>
      <c r="E27" s="223">
        <v>42339</v>
      </c>
      <c r="F27" s="223">
        <v>53328</v>
      </c>
      <c r="G27" s="17">
        <v>775270</v>
      </c>
      <c r="H27" s="224">
        <v>4.2020000000000002E-2</v>
      </c>
      <c r="I27" s="24">
        <f t="shared" si="2"/>
        <v>32576.85</v>
      </c>
      <c r="J27" s="13">
        <v>17515</v>
      </c>
      <c r="K27" s="13">
        <f t="shared" si="3"/>
        <v>15061.849999999999</v>
      </c>
      <c r="L27" s="9"/>
      <c r="M27" s="10" t="s">
        <v>678</v>
      </c>
    </row>
    <row r="28" spans="1:14">
      <c r="A28" s="9">
        <f t="shared" si="1"/>
        <v>18</v>
      </c>
      <c r="C28" s="10" t="s">
        <v>680</v>
      </c>
      <c r="D28" s="9" t="s">
        <v>124</v>
      </c>
      <c r="E28" s="223">
        <v>42339</v>
      </c>
      <c r="F28" s="223">
        <v>53328</v>
      </c>
      <c r="G28" s="13">
        <v>764117</v>
      </c>
      <c r="H28" s="224">
        <v>3.5549999999999998E-2</v>
      </c>
      <c r="I28" s="24">
        <f t="shared" si="2"/>
        <v>27164.36</v>
      </c>
      <c r="J28" s="13">
        <v>27588</v>
      </c>
      <c r="K28" s="13">
        <f t="shared" si="3"/>
        <v>-423.63999999999942</v>
      </c>
      <c r="L28" s="9"/>
      <c r="M28" s="10" t="s">
        <v>673</v>
      </c>
    </row>
    <row r="29" spans="1:14">
      <c r="A29" s="9">
        <f t="shared" si="1"/>
        <v>19</v>
      </c>
      <c r="C29" s="10" t="s">
        <v>681</v>
      </c>
      <c r="D29" s="9" t="s">
        <v>124</v>
      </c>
      <c r="E29" s="223">
        <v>42339</v>
      </c>
      <c r="F29" s="223">
        <v>53328</v>
      </c>
      <c r="G29" s="13">
        <v>764069</v>
      </c>
      <c r="H29" s="224">
        <v>3.5549999999999998E-2</v>
      </c>
      <c r="I29" s="24">
        <f t="shared" si="2"/>
        <v>27162.65</v>
      </c>
      <c r="J29" s="13">
        <v>27587</v>
      </c>
      <c r="K29" s="13">
        <f t="shared" si="3"/>
        <v>-424.34999999999854</v>
      </c>
      <c r="L29" s="9"/>
      <c r="M29" s="10" t="s">
        <v>673</v>
      </c>
    </row>
    <row r="30" spans="1:14">
      <c r="A30" s="9">
        <f t="shared" si="1"/>
        <v>20</v>
      </c>
      <c r="C30" s="10" t="s">
        <v>682</v>
      </c>
      <c r="D30" s="9" t="s">
        <v>124</v>
      </c>
      <c r="E30" s="223">
        <v>42339</v>
      </c>
      <c r="F30" s="223">
        <v>53328</v>
      </c>
      <c r="G30" s="13">
        <v>2793283</v>
      </c>
      <c r="H30" s="224">
        <v>2.6009999999999998E-2</v>
      </c>
      <c r="I30" s="24">
        <f t="shared" si="2"/>
        <v>72653.289999999994</v>
      </c>
      <c r="J30" s="13">
        <v>73891</v>
      </c>
      <c r="K30" s="13">
        <f t="shared" si="3"/>
        <v>-1237.7100000000064</v>
      </c>
      <c r="L30" s="9"/>
    </row>
    <row r="31" spans="1:14">
      <c r="A31" s="9">
        <f t="shared" si="1"/>
        <v>21</v>
      </c>
      <c r="C31" s="10" t="s">
        <v>683</v>
      </c>
      <c r="D31" s="9" t="s">
        <v>124</v>
      </c>
      <c r="E31" s="223">
        <v>42339</v>
      </c>
      <c r="F31" s="223">
        <v>53328</v>
      </c>
      <c r="G31" s="13">
        <v>764069</v>
      </c>
      <c r="H31" s="224">
        <v>3.5549999999999998E-2</v>
      </c>
      <c r="I31" s="24">
        <f t="shared" si="2"/>
        <v>27162.65</v>
      </c>
      <c r="J31" s="13">
        <v>27587</v>
      </c>
      <c r="K31" s="13">
        <f t="shared" si="3"/>
        <v>-424.34999999999854</v>
      </c>
      <c r="L31" s="9"/>
      <c r="M31" s="10" t="s">
        <v>673</v>
      </c>
    </row>
    <row r="32" spans="1:14">
      <c r="A32" s="9">
        <f t="shared" si="1"/>
        <v>22</v>
      </c>
      <c r="C32" s="10" t="s">
        <v>684</v>
      </c>
      <c r="D32" s="9" t="s">
        <v>124</v>
      </c>
      <c r="E32" s="223">
        <v>42401</v>
      </c>
      <c r="F32" s="223">
        <v>53328</v>
      </c>
      <c r="G32" s="13">
        <v>2383211</v>
      </c>
      <c r="H32" s="224">
        <v>2.307E-2</v>
      </c>
      <c r="I32" s="24">
        <f t="shared" si="2"/>
        <v>54980.68</v>
      </c>
      <c r="J32" s="13">
        <v>55943</v>
      </c>
      <c r="K32" s="13">
        <f t="shared" si="3"/>
        <v>-962.31999999999971</v>
      </c>
      <c r="L32" s="9"/>
    </row>
    <row r="33" spans="1:13">
      <c r="A33" s="9">
        <f t="shared" si="1"/>
        <v>23</v>
      </c>
      <c r="C33" s="10" t="s">
        <v>685</v>
      </c>
      <c r="D33" s="9" t="s">
        <v>124</v>
      </c>
      <c r="E33" s="223">
        <v>42401</v>
      </c>
      <c r="F33" s="223">
        <v>53328</v>
      </c>
      <c r="G33" s="13">
        <v>792259</v>
      </c>
      <c r="H33" s="224">
        <v>2.223E-2</v>
      </c>
      <c r="I33" s="24">
        <f t="shared" si="2"/>
        <v>17611.919999999998</v>
      </c>
      <c r="J33" s="13">
        <v>17923</v>
      </c>
      <c r="K33" s="13">
        <f t="shared" si="0"/>
        <v>-311.08000000000175</v>
      </c>
      <c r="L33" s="9"/>
    </row>
    <row r="34" spans="1:13">
      <c r="A34" s="9">
        <f t="shared" si="1"/>
        <v>24</v>
      </c>
      <c r="C34" s="10" t="s">
        <v>686</v>
      </c>
      <c r="D34" s="9" t="s">
        <v>124</v>
      </c>
      <c r="E34" s="223">
        <v>42401</v>
      </c>
      <c r="F34" s="223">
        <v>53328</v>
      </c>
      <c r="G34" s="13">
        <v>1029937</v>
      </c>
      <c r="H34" s="224">
        <v>2.223E-2</v>
      </c>
      <c r="I34" s="24">
        <f t="shared" si="2"/>
        <v>22895.5</v>
      </c>
      <c r="J34" s="13">
        <v>23299</v>
      </c>
      <c r="K34" s="13">
        <f t="shared" si="0"/>
        <v>-403.5</v>
      </c>
      <c r="L34" s="9"/>
    </row>
    <row r="35" spans="1:13">
      <c r="A35" s="9">
        <f t="shared" si="1"/>
        <v>25</v>
      </c>
      <c r="C35" s="10" t="s">
        <v>687</v>
      </c>
      <c r="D35" s="9" t="s">
        <v>124</v>
      </c>
      <c r="E35" s="223">
        <v>42948</v>
      </c>
      <c r="F35" s="223">
        <v>55154</v>
      </c>
      <c r="G35" s="13">
        <v>1764490</v>
      </c>
      <c r="H35" s="227">
        <v>2.571E-2</v>
      </c>
      <c r="I35" s="24">
        <f t="shared" si="2"/>
        <v>45365.04</v>
      </c>
      <c r="J35" s="13">
        <v>45997</v>
      </c>
      <c r="K35" s="13">
        <f t="shared" si="0"/>
        <v>-631.95999999999913</v>
      </c>
      <c r="L35" s="9"/>
    </row>
    <row r="36" spans="1:13">
      <c r="A36" s="9">
        <f t="shared" si="1"/>
        <v>26</v>
      </c>
      <c r="C36" s="14" t="s">
        <v>688</v>
      </c>
      <c r="D36" s="9" t="s">
        <v>124</v>
      </c>
      <c r="E36" s="223">
        <v>42979</v>
      </c>
      <c r="F36" s="223">
        <v>55154</v>
      </c>
      <c r="G36" s="13">
        <v>1762378</v>
      </c>
      <c r="H36" s="224">
        <v>2.513E-2</v>
      </c>
      <c r="I36" s="24">
        <f t="shared" si="2"/>
        <v>44288.56</v>
      </c>
      <c r="J36" s="13">
        <v>44910</v>
      </c>
      <c r="K36" s="13">
        <f t="shared" si="0"/>
        <v>-621.44000000000233</v>
      </c>
      <c r="L36" s="9"/>
    </row>
    <row r="37" spans="1:13">
      <c r="A37" s="9">
        <f t="shared" si="1"/>
        <v>27</v>
      </c>
      <c r="C37" s="14" t="s">
        <v>689</v>
      </c>
      <c r="D37" s="9" t="s">
        <v>124</v>
      </c>
      <c r="E37" s="223">
        <v>43132</v>
      </c>
      <c r="F37" s="223">
        <v>55154</v>
      </c>
      <c r="G37" s="13">
        <v>4436001</v>
      </c>
      <c r="H37" s="228">
        <v>2.8479999999999998E-2</v>
      </c>
      <c r="I37" s="24">
        <f t="shared" si="2"/>
        <v>126337.31</v>
      </c>
      <c r="J37" s="13">
        <v>128048</v>
      </c>
      <c r="K37" s="13">
        <f t="shared" si="0"/>
        <v>-1710.6900000000023</v>
      </c>
      <c r="L37" s="9"/>
    </row>
    <row r="38" spans="1:13">
      <c r="A38" s="9">
        <f t="shared" si="1"/>
        <v>28</v>
      </c>
      <c r="C38" s="14" t="s">
        <v>690</v>
      </c>
      <c r="D38" s="9" t="s">
        <v>124</v>
      </c>
      <c r="E38" s="223">
        <v>43252</v>
      </c>
      <c r="F38" s="223">
        <v>55154</v>
      </c>
      <c r="G38" s="13">
        <v>4447292</v>
      </c>
      <c r="H38" s="224">
        <v>2.9770000000000001E-2</v>
      </c>
      <c r="I38" s="24">
        <f t="shared" si="2"/>
        <v>132395.88</v>
      </c>
      <c r="J38" s="13">
        <v>134164</v>
      </c>
      <c r="K38" s="13">
        <f t="shared" si="0"/>
        <v>-1768.1199999999953</v>
      </c>
      <c r="L38" s="9"/>
    </row>
    <row r="39" spans="1:13">
      <c r="A39" s="9">
        <f t="shared" si="1"/>
        <v>29</v>
      </c>
      <c r="C39" s="14" t="s">
        <v>691</v>
      </c>
      <c r="D39" s="9" t="s">
        <v>124</v>
      </c>
      <c r="E39" s="223">
        <v>43435</v>
      </c>
      <c r="F39" s="223">
        <v>55154</v>
      </c>
      <c r="G39" s="13">
        <v>8067117</v>
      </c>
      <c r="H39" s="224">
        <v>3.0339999999999999E-2</v>
      </c>
      <c r="I39" s="24">
        <f t="shared" si="2"/>
        <v>244756.33</v>
      </c>
      <c r="J39" s="13">
        <v>248005</v>
      </c>
      <c r="K39" s="13">
        <f t="shared" si="0"/>
        <v>-3248.6700000000128</v>
      </c>
      <c r="L39" s="9"/>
    </row>
    <row r="40" spans="1:13">
      <c r="A40" s="9">
        <f t="shared" si="1"/>
        <v>30</v>
      </c>
      <c r="C40" s="14" t="s">
        <v>692</v>
      </c>
      <c r="D40" s="9" t="s">
        <v>124</v>
      </c>
      <c r="E40" s="223">
        <v>43862</v>
      </c>
      <c r="F40" s="223">
        <v>55154</v>
      </c>
      <c r="G40" s="13">
        <v>4505229</v>
      </c>
      <c r="H40" s="224">
        <v>1.9380000000000001E-2</v>
      </c>
      <c r="I40" s="24">
        <f t="shared" si="2"/>
        <v>87311.34</v>
      </c>
      <c r="J40" s="13">
        <v>88614</v>
      </c>
      <c r="K40" s="13">
        <f t="shared" si="0"/>
        <v>-1302.6600000000035</v>
      </c>
      <c r="L40" s="9"/>
    </row>
    <row r="41" spans="1:13">
      <c r="A41" s="9">
        <f t="shared" si="1"/>
        <v>31</v>
      </c>
      <c r="C41" s="14" t="s">
        <v>693</v>
      </c>
      <c r="D41" s="9" t="s">
        <v>124</v>
      </c>
      <c r="E41" s="223">
        <v>43891</v>
      </c>
      <c r="F41" s="223">
        <v>55154</v>
      </c>
      <c r="G41" s="13">
        <v>10664619</v>
      </c>
      <c r="H41" s="224">
        <v>1.1180000000000001E-2</v>
      </c>
      <c r="I41" s="24">
        <f t="shared" si="2"/>
        <v>119230.44</v>
      </c>
      <c r="J41" s="13">
        <v>121172</v>
      </c>
      <c r="K41" s="13">
        <f t="shared" si="0"/>
        <v>-1941.5599999999977</v>
      </c>
      <c r="L41" s="9"/>
    </row>
    <row r="42" spans="1:13">
      <c r="A42" s="9">
        <f t="shared" si="1"/>
        <v>32</v>
      </c>
      <c r="C42" s="14" t="s">
        <v>694</v>
      </c>
      <c r="D42" s="9" t="s">
        <v>124</v>
      </c>
      <c r="E42" s="223">
        <v>43891</v>
      </c>
      <c r="F42" s="223">
        <v>55154</v>
      </c>
      <c r="G42" s="13">
        <v>9618197</v>
      </c>
      <c r="H42" s="224">
        <v>2.0979999999999999E-2</v>
      </c>
      <c r="I42" s="24">
        <f t="shared" si="2"/>
        <v>201789.77</v>
      </c>
      <c r="J42" s="13">
        <v>204388</v>
      </c>
      <c r="K42" s="13">
        <f t="shared" si="0"/>
        <v>-2598.2300000000105</v>
      </c>
      <c r="L42" s="9"/>
    </row>
    <row r="43" spans="1:13">
      <c r="A43" s="9">
        <f t="shared" si="1"/>
        <v>33</v>
      </c>
      <c r="C43" s="14" t="s">
        <v>695</v>
      </c>
      <c r="D43" s="9" t="s">
        <v>124</v>
      </c>
      <c r="E43" s="223">
        <v>45108</v>
      </c>
      <c r="F43" s="223">
        <v>56584</v>
      </c>
      <c r="G43" s="13">
        <v>9917017</v>
      </c>
      <c r="H43" s="224">
        <v>3.9460000000000002E-2</v>
      </c>
      <c r="I43" s="24">
        <f t="shared" si="2"/>
        <v>391325.49</v>
      </c>
      <c r="J43" s="13">
        <v>379883</v>
      </c>
      <c r="K43" s="13">
        <f t="shared" si="0"/>
        <v>11442.489999999991</v>
      </c>
      <c r="L43" s="9"/>
    </row>
    <row r="44" spans="1:13">
      <c r="A44" s="9">
        <f t="shared" si="1"/>
        <v>34</v>
      </c>
      <c r="C44" s="14" t="s">
        <v>696</v>
      </c>
      <c r="D44" s="9" t="s">
        <v>246</v>
      </c>
      <c r="E44" s="223">
        <v>45505</v>
      </c>
      <c r="F44" s="223">
        <v>56584</v>
      </c>
      <c r="G44" s="13">
        <v>5000000</v>
      </c>
      <c r="H44" s="224">
        <v>3.7429999999999998E-2</v>
      </c>
      <c r="I44" s="24">
        <f>ROUND(G44*H44,2)</f>
        <v>187150</v>
      </c>
      <c r="J44" s="13">
        <v>0</v>
      </c>
      <c r="K44" s="13">
        <f t="shared" si="0"/>
        <v>187150</v>
      </c>
      <c r="L44" s="9"/>
      <c r="M44" s="10" t="s">
        <v>697</v>
      </c>
    </row>
    <row r="45" spans="1:13">
      <c r="A45" s="9"/>
      <c r="C45" s="14"/>
      <c r="D45" s="9"/>
      <c r="E45" s="223"/>
      <c r="F45" s="223"/>
      <c r="G45" s="13"/>
      <c r="H45" s="224"/>
      <c r="I45" s="24"/>
      <c r="J45" s="13"/>
      <c r="K45" s="13"/>
      <c r="L45" s="9"/>
    </row>
    <row r="46" spans="1:13">
      <c r="A46" s="9">
        <f>A44+1</f>
        <v>35</v>
      </c>
      <c r="C46" s="14"/>
      <c r="D46" s="14"/>
      <c r="E46" s="223"/>
      <c r="F46" s="223"/>
      <c r="G46" s="16">
        <f>SUM(G17:G44)</f>
        <v>127361868.98</v>
      </c>
      <c r="H46" s="224"/>
      <c r="I46" s="16">
        <f>SUM(I17:I44)</f>
        <v>3728704.74</v>
      </c>
      <c r="J46" s="16">
        <f>SUM(J17:J44)</f>
        <v>3550137.5</v>
      </c>
      <c r="K46" s="16">
        <f>SUM(K17:K44)</f>
        <v>178567.23999999993</v>
      </c>
      <c r="L46" s="9"/>
    </row>
    <row r="47" spans="1:13">
      <c r="A47" s="9">
        <f t="shared" si="1"/>
        <v>36</v>
      </c>
      <c r="C47" s="32" t="s">
        <v>345</v>
      </c>
      <c r="D47" s="32"/>
      <c r="E47" s="1"/>
      <c r="F47" s="223"/>
      <c r="G47" s="13"/>
      <c r="H47" s="224"/>
      <c r="J47" s="13"/>
      <c r="K47" s="13"/>
      <c r="L47" s="9"/>
    </row>
    <row r="48" spans="1:13">
      <c r="A48" s="9">
        <f t="shared" si="1"/>
        <v>37</v>
      </c>
      <c r="C48" s="14" t="s">
        <v>698</v>
      </c>
      <c r="D48" s="14"/>
      <c r="E48" s="223">
        <v>42486</v>
      </c>
      <c r="F48" s="223">
        <v>49084</v>
      </c>
      <c r="G48" s="13">
        <v>36626962.270000003</v>
      </c>
      <c r="H48" s="224">
        <v>3.5499999999999997E-2</v>
      </c>
      <c r="I48" s="24">
        <f>ROUND(G48*H48,2)</f>
        <v>1300257.1599999999</v>
      </c>
      <c r="J48" s="13">
        <v>1379154.08</v>
      </c>
      <c r="K48" s="13">
        <f t="shared" si="0"/>
        <v>-78896.920000000158</v>
      </c>
      <c r="L48" s="9"/>
    </row>
    <row r="49" spans="1:16">
      <c r="A49" s="9">
        <f t="shared" si="1"/>
        <v>38</v>
      </c>
      <c r="C49" s="14"/>
      <c r="D49" s="14"/>
      <c r="E49" s="223"/>
      <c r="F49" s="223"/>
      <c r="G49" s="16">
        <f>SUM(G48:G48)</f>
        <v>36626962.270000003</v>
      </c>
      <c r="H49" s="224"/>
      <c r="I49" s="16">
        <f>SUM(I48:I48)</f>
        <v>1300257.1599999999</v>
      </c>
      <c r="J49" s="16">
        <f>SUM(J48:J48)</f>
        <v>1379154.08</v>
      </c>
      <c r="K49" s="16">
        <f>I49-J49</f>
        <v>-78896.920000000158</v>
      </c>
      <c r="L49" s="9"/>
    </row>
    <row r="50" spans="1:16">
      <c r="A50" s="9">
        <f t="shared" si="1"/>
        <v>39</v>
      </c>
      <c r="C50" s="32" t="s">
        <v>699</v>
      </c>
      <c r="D50" s="32"/>
      <c r="E50" s="1"/>
      <c r="F50" s="223"/>
      <c r="G50" s="13"/>
      <c r="H50" s="224"/>
      <c r="J50" s="13"/>
      <c r="K50" s="13"/>
      <c r="L50" s="9"/>
    </row>
    <row r="51" spans="1:16">
      <c r="A51" s="9">
        <f t="shared" si="1"/>
        <v>40</v>
      </c>
      <c r="C51" s="14">
        <v>9020001</v>
      </c>
      <c r="D51" s="9" t="s">
        <v>226</v>
      </c>
      <c r="E51" s="223">
        <v>32721</v>
      </c>
      <c r="F51" s="223">
        <v>45505</v>
      </c>
      <c r="G51" s="13">
        <v>34234.29</v>
      </c>
      <c r="H51" s="224">
        <v>6.25E-2</v>
      </c>
      <c r="I51" s="24">
        <v>0</v>
      </c>
      <c r="J51" s="13">
        <f>1040.37+1548.6+2048.99+2541.7</f>
        <v>7179.6599999999989</v>
      </c>
      <c r="K51" s="13">
        <f t="shared" si="0"/>
        <v>-7179.6599999999989</v>
      </c>
      <c r="L51" s="9"/>
      <c r="M51" s="10" t="s">
        <v>700</v>
      </c>
    </row>
    <row r="52" spans="1:16">
      <c r="A52" s="9">
        <f t="shared" si="1"/>
        <v>41</v>
      </c>
      <c r="C52" s="14">
        <v>9021001</v>
      </c>
      <c r="D52" s="9"/>
      <c r="E52" s="223">
        <v>33482</v>
      </c>
      <c r="F52" s="223">
        <v>46296</v>
      </c>
      <c r="G52" s="13">
        <v>245176.35</v>
      </c>
      <c r="H52" s="224">
        <v>6.25E-2</v>
      </c>
      <c r="I52" s="24">
        <f t="shared" ref="I52:I55" si="4">ROUND(G52*H52,2)</f>
        <v>15323.52</v>
      </c>
      <c r="J52" s="13">
        <f>4098.66+4437.76+4771.64+5100.39</f>
        <v>18408.45</v>
      </c>
      <c r="K52" s="13">
        <f t="shared" si="0"/>
        <v>-3084.9300000000003</v>
      </c>
      <c r="L52" s="9"/>
    </row>
    <row r="53" spans="1:16">
      <c r="A53" s="9">
        <f t="shared" si="1"/>
        <v>42</v>
      </c>
      <c r="C53" s="14">
        <v>9022001</v>
      </c>
      <c r="D53" s="9"/>
      <c r="E53" s="223">
        <v>34151</v>
      </c>
      <c r="F53" s="223">
        <v>46874</v>
      </c>
      <c r="G53" s="13">
        <v>566984.76</v>
      </c>
      <c r="H53" s="224">
        <v>6.6500000000000004E-2</v>
      </c>
      <c r="I53" s="24">
        <f t="shared" si="4"/>
        <v>37704.49</v>
      </c>
      <c r="J53" s="13">
        <f>9749.96+10242.78+10727.54+11204.38</f>
        <v>41924.659999999996</v>
      </c>
      <c r="K53" s="13">
        <f t="shared" si="0"/>
        <v>-4220.1699999999983</v>
      </c>
      <c r="L53" s="9"/>
    </row>
    <row r="54" spans="1:16">
      <c r="A54" s="9">
        <f t="shared" si="1"/>
        <v>43</v>
      </c>
      <c r="C54" s="14">
        <v>9023001</v>
      </c>
      <c r="D54" s="9"/>
      <c r="E54" s="223">
        <v>36161</v>
      </c>
      <c r="F54" s="223">
        <v>48335</v>
      </c>
      <c r="G54" s="13">
        <v>1630327.35</v>
      </c>
      <c r="H54" s="224">
        <v>6.7000000000000004E-2</v>
      </c>
      <c r="I54" s="24">
        <f t="shared" si="4"/>
        <v>109231.93</v>
      </c>
      <c r="J54" s="13">
        <f>27427.77+28046.66+28655.36+29254.03</f>
        <v>113383.82</v>
      </c>
      <c r="K54" s="13">
        <f t="shared" si="0"/>
        <v>-4151.890000000014</v>
      </c>
      <c r="L54" s="9"/>
    </row>
    <row r="55" spans="1:16">
      <c r="A55" s="9">
        <f t="shared" si="1"/>
        <v>44</v>
      </c>
      <c r="C55" s="14">
        <v>9027013</v>
      </c>
      <c r="D55" s="9" t="s">
        <v>226</v>
      </c>
      <c r="E55" s="223">
        <v>40422</v>
      </c>
      <c r="F55" s="223">
        <v>45139</v>
      </c>
      <c r="G55" s="13">
        <v>0</v>
      </c>
      <c r="H55" s="224">
        <v>4.4999999999999998E-2</v>
      </c>
      <c r="I55" s="24">
        <f t="shared" si="4"/>
        <v>0</v>
      </c>
      <c r="J55" s="13">
        <v>1216.49</v>
      </c>
      <c r="K55" s="13">
        <f t="shared" si="0"/>
        <v>-1216.49</v>
      </c>
      <c r="L55" s="9"/>
    </row>
    <row r="56" spans="1:16">
      <c r="A56" s="9">
        <f t="shared" si="1"/>
        <v>45</v>
      </c>
      <c r="C56" s="14">
        <v>9027014</v>
      </c>
      <c r="D56" s="9" t="s">
        <v>226</v>
      </c>
      <c r="E56" s="223">
        <v>40422</v>
      </c>
      <c r="F56" s="223">
        <v>45566</v>
      </c>
      <c r="G56" s="13">
        <v>69878.149999999994</v>
      </c>
      <c r="H56" s="224">
        <v>4.5499999999999999E-2</v>
      </c>
      <c r="I56" s="24">
        <v>0</v>
      </c>
      <c r="J56" s="13">
        <f>1580.79+2357.87+3126.22+3151.91</f>
        <v>10216.789999999999</v>
      </c>
      <c r="K56" s="13">
        <f t="shared" si="0"/>
        <v>-10216.789999999999</v>
      </c>
      <c r="L56" s="9"/>
      <c r="M56" s="10" t="s">
        <v>701</v>
      </c>
    </row>
    <row r="57" spans="1:16">
      <c r="A57" s="9">
        <f t="shared" si="1"/>
        <v>46</v>
      </c>
      <c r="C57" s="14"/>
      <c r="D57" s="14"/>
      <c r="E57" s="1"/>
      <c r="F57" s="13"/>
      <c r="G57" s="16">
        <f>SUM(G51:G56)</f>
        <v>2546600.9</v>
      </c>
      <c r="H57" s="224"/>
      <c r="I57" s="16">
        <f>SUM(I51:I56)</f>
        <v>162259.94</v>
      </c>
      <c r="J57" s="16">
        <f t="shared" ref="J57:K57" si="5">SUM(J51:J56)</f>
        <v>192329.87</v>
      </c>
      <c r="K57" s="16">
        <f t="shared" si="5"/>
        <v>-30069.930000000015</v>
      </c>
      <c r="L57" s="9"/>
      <c r="P57" s="141"/>
    </row>
    <row r="58" spans="1:16">
      <c r="A58" s="9">
        <f t="shared" si="1"/>
        <v>47</v>
      </c>
      <c r="C58" s="14"/>
      <c r="D58" s="14"/>
      <c r="E58" s="1"/>
      <c r="F58" s="13"/>
      <c r="G58" s="16"/>
      <c r="H58" s="224"/>
      <c r="I58" s="16"/>
      <c r="J58" s="16"/>
      <c r="K58" s="16"/>
      <c r="L58" s="9"/>
    </row>
    <row r="59" spans="1:16">
      <c r="A59" s="9">
        <f t="shared" si="1"/>
        <v>48</v>
      </c>
      <c r="C59" s="32" t="s">
        <v>702</v>
      </c>
      <c r="D59" s="32"/>
      <c r="E59" s="1"/>
      <c r="F59" s="13"/>
      <c r="G59" s="17"/>
      <c r="H59" s="229"/>
      <c r="I59" s="17"/>
      <c r="J59" s="17"/>
      <c r="K59" s="17"/>
      <c r="L59" s="9"/>
    </row>
    <row r="60" spans="1:16">
      <c r="A60" s="9">
        <f t="shared" si="1"/>
        <v>49</v>
      </c>
      <c r="C60" s="14">
        <v>123107</v>
      </c>
      <c r="D60" s="14"/>
      <c r="E60" s="223">
        <v>39417</v>
      </c>
      <c r="F60" s="223">
        <v>46357</v>
      </c>
      <c r="G60" s="13">
        <v>2053333.44</v>
      </c>
      <c r="H60" s="224">
        <v>4.7500000000000001E-2</v>
      </c>
      <c r="I60" s="24">
        <f t="shared" ref="I60" si="6">ROUND(G60*H60,2)</f>
        <v>97533.34</v>
      </c>
      <c r="J60" s="13">
        <v>104500</v>
      </c>
      <c r="K60" s="13">
        <f t="shared" ref="K60" si="7">I60-J60</f>
        <v>-6966.6600000000035</v>
      </c>
      <c r="L60" s="9"/>
    </row>
    <row r="61" spans="1:16">
      <c r="A61" s="9">
        <f t="shared" si="1"/>
        <v>50</v>
      </c>
      <c r="C61" s="14"/>
      <c r="D61" s="14"/>
      <c r="E61" s="1"/>
      <c r="F61" s="13"/>
      <c r="G61" s="17"/>
      <c r="H61" s="229"/>
      <c r="I61" s="17"/>
      <c r="J61" s="17"/>
      <c r="K61" s="17"/>
      <c r="L61" s="9"/>
    </row>
    <row r="62" spans="1:16">
      <c r="A62" s="9">
        <f t="shared" si="1"/>
        <v>51</v>
      </c>
      <c r="C62" s="14"/>
      <c r="D62" s="14"/>
      <c r="E62" s="1"/>
      <c r="F62" s="13"/>
      <c r="G62" s="17"/>
      <c r="H62" s="224"/>
      <c r="I62" s="17"/>
      <c r="J62" s="17"/>
      <c r="K62" s="17"/>
      <c r="L62" s="9"/>
    </row>
    <row r="63" spans="1:16" ht="13.5" thickBot="1">
      <c r="A63" s="9">
        <f t="shared" si="1"/>
        <v>52</v>
      </c>
      <c r="C63" s="14" t="s">
        <v>346</v>
      </c>
      <c r="D63" s="14"/>
      <c r="E63" s="1"/>
      <c r="F63" s="13"/>
      <c r="G63" s="21">
        <f>G14+G46+G49+G57+G60</f>
        <v>171006046.94</v>
      </c>
      <c r="H63" s="13"/>
      <c r="I63" s="21">
        <f>I14+I46+I49+I57+I60</f>
        <v>5355240.3500000006</v>
      </c>
      <c r="J63" s="21">
        <f>J14+J46+J49+J57+J60</f>
        <v>5289085.4400000004</v>
      </c>
      <c r="K63" s="21">
        <f>I63-J63</f>
        <v>66154.910000000149</v>
      </c>
      <c r="L63" s="9"/>
    </row>
    <row r="64" spans="1:16" ht="13.5" thickTop="1">
      <c r="A64" s="9">
        <f t="shared" si="1"/>
        <v>53</v>
      </c>
      <c r="C64" s="14"/>
      <c r="D64" s="14"/>
      <c r="E64" s="1"/>
      <c r="F64" s="13"/>
      <c r="G64" s="13"/>
      <c r="H64" s="13"/>
      <c r="L64" s="9"/>
    </row>
    <row r="65" spans="1:12">
      <c r="A65" s="9">
        <f t="shared" si="1"/>
        <v>54</v>
      </c>
      <c r="C65" s="14" t="s">
        <v>347</v>
      </c>
      <c r="D65" s="14"/>
      <c r="E65" s="1"/>
      <c r="F65" s="13"/>
      <c r="G65" s="13"/>
      <c r="H65" s="13"/>
      <c r="I65" s="224">
        <f>I63/G63</f>
        <v>3.1316087622790124E-2</v>
      </c>
      <c r="J65" s="224">
        <f>J63/G63</f>
        <v>3.0929230484204775E-2</v>
      </c>
      <c r="K65" s="224"/>
      <c r="L65" s="9"/>
    </row>
    <row r="66" spans="1:12">
      <c r="A66" s="9">
        <f t="shared" si="1"/>
        <v>55</v>
      </c>
      <c r="C66" s="14"/>
      <c r="D66" s="14"/>
      <c r="E66" s="1"/>
      <c r="F66" s="13"/>
      <c r="G66" s="13"/>
      <c r="H66" s="13"/>
      <c r="L66" s="9"/>
    </row>
    <row r="67" spans="1:12">
      <c r="A67" s="9">
        <f t="shared" si="1"/>
        <v>56</v>
      </c>
      <c r="C67" s="14"/>
      <c r="D67" s="14"/>
      <c r="E67" s="1"/>
      <c r="F67" s="13"/>
      <c r="G67" s="13"/>
      <c r="L67" s="9"/>
    </row>
    <row r="68" spans="1:12" ht="13.5" thickBot="1">
      <c r="A68" s="9">
        <f t="shared" si="1"/>
        <v>57</v>
      </c>
      <c r="C68" s="230" t="s">
        <v>348</v>
      </c>
      <c r="D68" s="230"/>
      <c r="E68" s="42"/>
      <c r="F68" s="21"/>
      <c r="G68" s="21"/>
      <c r="H68" s="21"/>
      <c r="I68" s="19"/>
      <c r="J68" s="19"/>
      <c r="K68" s="335">
        <f>K63</f>
        <v>66154.910000000149</v>
      </c>
      <c r="L68" s="9"/>
    </row>
    <row r="69" spans="1:12" ht="13.5" thickTop="1">
      <c r="A69" s="9"/>
      <c r="C69" s="14"/>
      <c r="D69" s="14"/>
      <c r="E69" s="1"/>
      <c r="F69" s="13"/>
      <c r="G69" s="13"/>
      <c r="H69" s="13"/>
      <c r="L69" s="9"/>
    </row>
    <row r="70" spans="1:12">
      <c r="A70" s="9"/>
      <c r="C70" s="386" t="s">
        <v>299</v>
      </c>
      <c r="D70" s="14"/>
      <c r="E70" s="1" t="s">
        <v>123</v>
      </c>
      <c r="F70" s="13" t="s">
        <v>703</v>
      </c>
      <c r="G70" s="13"/>
      <c r="H70" s="13"/>
      <c r="L70" s="9"/>
    </row>
    <row r="71" spans="1:12">
      <c r="A71" s="9"/>
      <c r="C71" s="386"/>
      <c r="D71" s="14"/>
      <c r="E71" s="1"/>
      <c r="F71" s="13"/>
      <c r="G71" s="13"/>
      <c r="H71" s="13"/>
      <c r="L71" s="9"/>
    </row>
    <row r="72" spans="1:12" ht="15" customHeight="1">
      <c r="E72" s="9" t="s">
        <v>124</v>
      </c>
      <c r="F72" s="10" t="s">
        <v>704</v>
      </c>
      <c r="L72" s="9"/>
    </row>
    <row r="73" spans="1:12" ht="15" customHeight="1">
      <c r="E73" s="9"/>
      <c r="F73" s="10" t="s">
        <v>1218</v>
      </c>
      <c r="L73" s="9"/>
    </row>
    <row r="74" spans="1:12" ht="15" customHeight="1">
      <c r="E74" s="9"/>
      <c r="L74" s="9"/>
    </row>
    <row r="75" spans="1:12" ht="15" customHeight="1">
      <c r="E75" s="9" t="s">
        <v>225</v>
      </c>
      <c r="F75" s="10" t="s">
        <v>705</v>
      </c>
      <c r="L75" s="9"/>
    </row>
    <row r="76" spans="1:12" ht="15" customHeight="1">
      <c r="E76" s="9"/>
      <c r="L76" s="9"/>
    </row>
    <row r="77" spans="1:12" ht="15" customHeight="1">
      <c r="E77" s="9" t="s">
        <v>246</v>
      </c>
      <c r="F77" s="10" t="s">
        <v>706</v>
      </c>
      <c r="L77" s="9"/>
    </row>
    <row r="78" spans="1:12" ht="15" customHeight="1">
      <c r="E78" s="9"/>
      <c r="L78" s="9"/>
    </row>
    <row r="79" spans="1:12" ht="15" customHeight="1">
      <c r="E79" s="9" t="s">
        <v>226</v>
      </c>
      <c r="F79" s="10" t="s">
        <v>707</v>
      </c>
      <c r="L79" s="9"/>
    </row>
    <row r="80" spans="1:12" ht="15" customHeight="1">
      <c r="E80" s="9"/>
      <c r="L80" s="9"/>
    </row>
    <row r="81" spans="3:12" ht="49.5" customHeight="1">
      <c r="C81" s="449" t="s">
        <v>349</v>
      </c>
      <c r="D81" s="449"/>
      <c r="E81" s="449"/>
      <c r="F81" s="449"/>
      <c r="G81" s="449"/>
      <c r="H81" s="449"/>
      <c r="I81" s="449"/>
      <c r="J81" s="449"/>
      <c r="K81" s="449"/>
      <c r="L81" s="9"/>
    </row>
    <row r="82" spans="3:12">
      <c r="L82" s="9"/>
    </row>
    <row r="83" spans="3:12">
      <c r="L83" s="9"/>
    </row>
    <row r="84" spans="3:12">
      <c r="L84" s="9"/>
    </row>
    <row r="85" spans="3:12">
      <c r="L85" s="9"/>
    </row>
  </sheetData>
  <mergeCells count="4">
    <mergeCell ref="A3:K3"/>
    <mergeCell ref="A4:K4"/>
    <mergeCell ref="A6:K6"/>
    <mergeCell ref="C81:K81"/>
  </mergeCells>
  <printOptions horizontalCentered="1"/>
  <pageMargins left="1" right="0.75" top="0.75" bottom="0.5" header="0.5" footer="0.5"/>
  <pageSetup scale="76" fitToHeight="0" orientation="portrait" r:id="rId1"/>
  <headerFooter alignWithMargins="0">
    <oddFooter>&amp;RExhibit  JW-2
Page &amp;P of &amp;N</oddFooter>
  </headerFooter>
  <rowBreaks count="1" manualBreakCount="1">
    <brk id="60"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1D65C-D20D-4EBA-9BDD-E92CD0B44526}">
  <sheetPr>
    <pageSetUpPr fitToPage="1"/>
  </sheetPr>
  <dimension ref="A1:P210"/>
  <sheetViews>
    <sheetView view="pageBreakPreview" topLeftCell="A166" zoomScaleNormal="100" zoomScaleSheetLayoutView="100" workbookViewId="0">
      <selection activeCell="K22" sqref="K22"/>
    </sheetView>
  </sheetViews>
  <sheetFormatPr defaultColWidth="9.140625" defaultRowHeight="12.75"/>
  <cols>
    <col min="1" max="1" width="9.140625" style="10"/>
    <col min="2" max="2" width="11.5703125" style="10" customWidth="1"/>
    <col min="3" max="3" width="9.140625" style="10" hidden="1" customWidth="1"/>
    <col min="4" max="4" width="14.5703125" style="10" customWidth="1"/>
    <col min="5" max="5" width="19.42578125" style="10" customWidth="1"/>
    <col min="6" max="9" width="16.85546875" style="10" customWidth="1"/>
    <col min="10" max="10" width="13.42578125" style="10" customWidth="1"/>
    <col min="11" max="11" width="11.28515625" style="10" bestFit="1" customWidth="1"/>
    <col min="12" max="12" width="9.140625" style="10"/>
    <col min="13" max="13" width="11.28515625" style="10" bestFit="1" customWidth="1"/>
    <col min="14" max="16384" width="9.140625" style="10"/>
  </cols>
  <sheetData>
    <row r="1" spans="1:16" ht="15" customHeight="1">
      <c r="H1" s="5"/>
      <c r="J1" s="5" t="s">
        <v>264</v>
      </c>
    </row>
    <row r="2" spans="1:16" ht="20.25" customHeight="1">
      <c r="H2" s="5"/>
      <c r="I2" s="5"/>
    </row>
    <row r="3" spans="1:16">
      <c r="H3" s="5"/>
      <c r="I3" s="5"/>
    </row>
    <row r="4" spans="1:16">
      <c r="B4" s="447" t="str">
        <f>RevReq!A1</f>
        <v>SOUTH KENTUCKY R.E.C.C.</v>
      </c>
      <c r="C4" s="447"/>
      <c r="D4" s="447"/>
      <c r="E4" s="447"/>
      <c r="F4" s="447"/>
      <c r="G4" s="447"/>
      <c r="H4" s="447"/>
      <c r="I4" s="447"/>
      <c r="J4" s="7"/>
      <c r="K4" s="7"/>
      <c r="L4" s="7"/>
      <c r="M4" s="7"/>
      <c r="N4" s="7"/>
      <c r="O4" s="7"/>
      <c r="P4" s="7"/>
    </row>
    <row r="5" spans="1:16">
      <c r="B5" s="447" t="str">
        <f>RevReq!A3</f>
        <v>For the 12 Months Ended May 2024</v>
      </c>
      <c r="C5" s="447"/>
      <c r="D5" s="447"/>
      <c r="E5" s="447"/>
      <c r="F5" s="447"/>
      <c r="G5" s="447"/>
      <c r="H5" s="447"/>
      <c r="I5" s="447"/>
      <c r="J5" s="7"/>
      <c r="K5" s="7"/>
      <c r="L5" s="7"/>
      <c r="M5" s="7"/>
    </row>
    <row r="7" spans="1:16" s="6" customFormat="1" ht="15" customHeight="1">
      <c r="B7" s="448" t="s">
        <v>245</v>
      </c>
      <c r="C7" s="448"/>
      <c r="D7" s="448"/>
      <c r="E7" s="448"/>
      <c r="F7" s="448"/>
      <c r="G7" s="448"/>
      <c r="H7" s="448"/>
      <c r="I7" s="448"/>
      <c r="J7" s="135"/>
      <c r="K7" s="135"/>
      <c r="L7" s="135"/>
      <c r="M7" s="135"/>
    </row>
    <row r="9" spans="1:16">
      <c r="B9" s="52" t="s">
        <v>123</v>
      </c>
      <c r="C9" s="52"/>
      <c r="D9" s="52" t="s">
        <v>124</v>
      </c>
      <c r="E9" s="52" t="s">
        <v>225</v>
      </c>
      <c r="F9" s="52" t="s">
        <v>246</v>
      </c>
      <c r="G9" s="52" t="s">
        <v>226</v>
      </c>
      <c r="H9" s="52" t="s">
        <v>227</v>
      </c>
      <c r="I9" s="52" t="s">
        <v>228</v>
      </c>
      <c r="J9" s="52" t="s">
        <v>365</v>
      </c>
    </row>
    <row r="10" spans="1:16">
      <c r="A10" s="1"/>
      <c r="B10" s="52"/>
      <c r="C10" s="52"/>
      <c r="D10" s="52"/>
      <c r="E10" s="52"/>
      <c r="F10" s="139"/>
      <c r="G10" s="139"/>
      <c r="H10" s="139"/>
      <c r="I10" s="139" t="s">
        <v>366</v>
      </c>
      <c r="J10" s="139" t="s">
        <v>367</v>
      </c>
      <c r="K10" s="139"/>
    </row>
    <row r="11" spans="1:16" ht="31.5" customHeight="1">
      <c r="A11" s="132" t="s">
        <v>377</v>
      </c>
      <c r="B11" s="132" t="s">
        <v>240</v>
      </c>
      <c r="C11" s="132" t="s">
        <v>236</v>
      </c>
      <c r="D11" s="132" t="s">
        <v>241</v>
      </c>
      <c r="E11" s="140" t="s">
        <v>247</v>
      </c>
      <c r="F11" s="140" t="s">
        <v>708</v>
      </c>
      <c r="G11" s="140" t="s">
        <v>709</v>
      </c>
      <c r="H11" s="140" t="s">
        <v>248</v>
      </c>
      <c r="I11" s="140" t="s">
        <v>363</v>
      </c>
      <c r="J11" s="140" t="s">
        <v>249</v>
      </c>
      <c r="K11" s="139"/>
    </row>
    <row r="12" spans="1:16">
      <c r="A12" s="52"/>
      <c r="B12" s="52"/>
      <c r="C12" s="52"/>
      <c r="D12" s="52"/>
      <c r="E12" s="139"/>
      <c r="F12" s="95"/>
      <c r="G12" s="139"/>
      <c r="H12" s="139"/>
      <c r="I12" s="139"/>
      <c r="J12" s="139"/>
      <c r="K12" s="139"/>
    </row>
    <row r="13" spans="1:16">
      <c r="A13" s="9">
        <v>1</v>
      </c>
      <c r="B13" s="9" t="s">
        <v>418</v>
      </c>
      <c r="C13" s="9">
        <v>258</v>
      </c>
      <c r="D13" s="9" t="s">
        <v>123</v>
      </c>
      <c r="E13" s="336">
        <v>158.31</v>
      </c>
      <c r="F13" s="336">
        <v>0</v>
      </c>
      <c r="G13" s="336">
        <f>F13*2080</f>
        <v>0</v>
      </c>
      <c r="H13" s="133">
        <f t="shared" ref="H13:H76" si="0">IF(G13&gt;50000,50000,G13)</f>
        <v>0</v>
      </c>
      <c r="I13" s="133">
        <f t="shared" ref="I13:I76" si="1">+G13*3</f>
        <v>0</v>
      </c>
      <c r="J13" s="142">
        <v>0</v>
      </c>
      <c r="K13" s="139"/>
    </row>
    <row r="14" spans="1:16">
      <c r="A14" s="9">
        <v>2</v>
      </c>
      <c r="B14" s="9" t="s">
        <v>419</v>
      </c>
      <c r="C14" s="9">
        <v>284</v>
      </c>
      <c r="D14" s="9"/>
      <c r="E14" s="336">
        <v>832.57999999999993</v>
      </c>
      <c r="F14" s="336">
        <v>74.519230769230774</v>
      </c>
      <c r="G14" s="336">
        <f t="shared" ref="G14:G77" si="2">F14*2080</f>
        <v>155000</v>
      </c>
      <c r="H14" s="133">
        <f t="shared" si="0"/>
        <v>50000</v>
      </c>
      <c r="I14" s="133">
        <f>+G14*3</f>
        <v>465000</v>
      </c>
      <c r="J14" s="142">
        <f t="shared" ref="J14:J76" si="3">((I14-H14)/I14)*E14</f>
        <v>743.05526881720425</v>
      </c>
      <c r="K14" s="139"/>
    </row>
    <row r="15" spans="1:16">
      <c r="A15" s="9">
        <v>3</v>
      </c>
      <c r="B15" s="9" t="s">
        <v>420</v>
      </c>
      <c r="C15" s="9">
        <v>297</v>
      </c>
      <c r="D15" s="9"/>
      <c r="E15" s="336">
        <v>721.46</v>
      </c>
      <c r="F15" s="336">
        <v>62.835096153846152</v>
      </c>
      <c r="G15" s="336">
        <f t="shared" si="2"/>
        <v>130697</v>
      </c>
      <c r="H15" s="133">
        <f t="shared" si="0"/>
        <v>50000</v>
      </c>
      <c r="I15" s="133">
        <f t="shared" si="1"/>
        <v>392091</v>
      </c>
      <c r="J15" s="142">
        <f t="shared" si="3"/>
        <v>629.45839833099967</v>
      </c>
      <c r="K15" s="139"/>
    </row>
    <row r="16" spans="1:16">
      <c r="A16" s="9">
        <v>4</v>
      </c>
      <c r="B16" s="9" t="s">
        <v>421</v>
      </c>
      <c r="C16" s="9">
        <v>384</v>
      </c>
      <c r="D16" s="9"/>
      <c r="E16" s="336">
        <v>660.02</v>
      </c>
      <c r="F16" s="336">
        <v>62.835096153846152</v>
      </c>
      <c r="G16" s="336">
        <f t="shared" si="2"/>
        <v>130697</v>
      </c>
      <c r="H16" s="133">
        <f t="shared" si="0"/>
        <v>50000</v>
      </c>
      <c r="I16" s="133">
        <f t="shared" si="1"/>
        <v>392091</v>
      </c>
      <c r="J16" s="142">
        <f t="shared" si="3"/>
        <v>575.85331420512068</v>
      </c>
      <c r="K16" s="139"/>
    </row>
    <row r="17" spans="1:11">
      <c r="A17" s="9">
        <v>5</v>
      </c>
      <c r="B17" s="9" t="s">
        <v>422</v>
      </c>
      <c r="C17" s="9">
        <v>387</v>
      </c>
      <c r="D17" s="9"/>
      <c r="E17" s="336">
        <v>1152</v>
      </c>
      <c r="F17" s="336">
        <v>156.25</v>
      </c>
      <c r="G17" s="336">
        <f t="shared" si="2"/>
        <v>325000</v>
      </c>
      <c r="H17" s="133">
        <f t="shared" si="0"/>
        <v>50000</v>
      </c>
      <c r="I17" s="133">
        <f t="shared" si="1"/>
        <v>975000</v>
      </c>
      <c r="J17" s="142">
        <f t="shared" si="3"/>
        <v>1092.9230769230769</v>
      </c>
      <c r="K17" s="139"/>
    </row>
    <row r="18" spans="1:11">
      <c r="A18" s="9">
        <v>6</v>
      </c>
      <c r="B18" s="9" t="s">
        <v>423</v>
      </c>
      <c r="C18" s="9">
        <v>457</v>
      </c>
      <c r="D18" s="9"/>
      <c r="E18" s="336">
        <v>561.26</v>
      </c>
      <c r="F18" s="336">
        <v>52.818269230769232</v>
      </c>
      <c r="G18" s="336">
        <f t="shared" si="2"/>
        <v>109862</v>
      </c>
      <c r="H18" s="133">
        <f t="shared" si="0"/>
        <v>50000</v>
      </c>
      <c r="I18" s="133">
        <f t="shared" si="1"/>
        <v>329586</v>
      </c>
      <c r="J18" s="142">
        <f t="shared" si="3"/>
        <v>476.11378626519331</v>
      </c>
      <c r="K18" s="139"/>
    </row>
    <row r="19" spans="1:11">
      <c r="A19" s="9">
        <v>7</v>
      </c>
      <c r="B19" s="9" t="s">
        <v>424</v>
      </c>
      <c r="C19" s="9">
        <v>507</v>
      </c>
      <c r="D19" s="9"/>
      <c r="E19" s="336">
        <v>487.96</v>
      </c>
      <c r="F19" s="336">
        <v>51.155288461538461</v>
      </c>
      <c r="G19" s="336">
        <f t="shared" si="2"/>
        <v>106403</v>
      </c>
      <c r="H19" s="133">
        <f t="shared" si="0"/>
        <v>50000</v>
      </c>
      <c r="I19" s="133">
        <f t="shared" si="1"/>
        <v>319209</v>
      </c>
      <c r="J19" s="142">
        <f t="shared" si="3"/>
        <v>411.52731796409245</v>
      </c>
      <c r="K19" s="139"/>
    </row>
    <row r="20" spans="1:11">
      <c r="A20" s="9">
        <v>8</v>
      </c>
      <c r="B20" s="9" t="s">
        <v>425</v>
      </c>
      <c r="C20" s="9">
        <v>508</v>
      </c>
      <c r="D20" s="9"/>
      <c r="E20" s="336">
        <v>540.12</v>
      </c>
      <c r="F20" s="336">
        <v>58.11057692307692</v>
      </c>
      <c r="G20" s="336">
        <f t="shared" si="2"/>
        <v>120870</v>
      </c>
      <c r="H20" s="133">
        <f t="shared" si="0"/>
        <v>50000</v>
      </c>
      <c r="I20" s="133">
        <f t="shared" si="1"/>
        <v>362610</v>
      </c>
      <c r="J20" s="142">
        <f t="shared" si="3"/>
        <v>465.64328948457018</v>
      </c>
      <c r="K20" s="139"/>
    </row>
    <row r="21" spans="1:11">
      <c r="A21" s="9">
        <v>9</v>
      </c>
      <c r="B21" s="9" t="s">
        <v>426</v>
      </c>
      <c r="C21" s="9">
        <v>564</v>
      </c>
      <c r="D21" s="9"/>
      <c r="E21" s="336">
        <v>678.96</v>
      </c>
      <c r="F21" s="336">
        <v>56.670192307692311</v>
      </c>
      <c r="G21" s="336">
        <f t="shared" si="2"/>
        <v>117874</v>
      </c>
      <c r="H21" s="133">
        <f t="shared" si="0"/>
        <v>50000</v>
      </c>
      <c r="I21" s="133">
        <f t="shared" si="1"/>
        <v>353622</v>
      </c>
      <c r="J21" s="142">
        <f t="shared" si="3"/>
        <v>582.95918557103346</v>
      </c>
      <c r="K21" s="139"/>
    </row>
    <row r="22" spans="1:11">
      <c r="A22" s="9">
        <v>10</v>
      </c>
      <c r="B22" s="9" t="s">
        <v>427</v>
      </c>
      <c r="C22" s="9">
        <v>581</v>
      </c>
      <c r="D22" s="9"/>
      <c r="E22" s="336">
        <v>507.16</v>
      </c>
      <c r="F22" s="336">
        <v>45.541346153846156</v>
      </c>
      <c r="G22" s="336">
        <f t="shared" si="2"/>
        <v>94726</v>
      </c>
      <c r="H22" s="133">
        <f t="shared" si="0"/>
        <v>50000</v>
      </c>
      <c r="I22" s="133">
        <f t="shared" si="1"/>
        <v>284178</v>
      </c>
      <c r="J22" s="142">
        <f t="shared" si="3"/>
        <v>417.92719520863687</v>
      </c>
      <c r="K22" s="139"/>
    </row>
    <row r="23" spans="1:11">
      <c r="A23" s="9">
        <v>11</v>
      </c>
      <c r="B23" s="9" t="s">
        <v>428</v>
      </c>
      <c r="C23" s="9">
        <v>582</v>
      </c>
      <c r="D23" s="9"/>
      <c r="E23" s="336">
        <v>492.38</v>
      </c>
      <c r="F23" s="336">
        <v>52.818269230769232</v>
      </c>
      <c r="G23" s="336">
        <f t="shared" si="2"/>
        <v>109862</v>
      </c>
      <c r="H23" s="133">
        <f t="shared" si="0"/>
        <v>50000</v>
      </c>
      <c r="I23" s="133">
        <f t="shared" si="1"/>
        <v>329586</v>
      </c>
      <c r="J23" s="142">
        <f t="shared" si="3"/>
        <v>417.68325924038038</v>
      </c>
      <c r="K23" s="139"/>
    </row>
    <row r="24" spans="1:11">
      <c r="A24" s="9">
        <v>12</v>
      </c>
      <c r="B24" s="9" t="s">
        <v>429</v>
      </c>
      <c r="C24" s="9">
        <v>598</v>
      </c>
      <c r="D24" s="9"/>
      <c r="E24" s="336">
        <v>676.68000000000006</v>
      </c>
      <c r="F24" s="336">
        <v>62.835096153846152</v>
      </c>
      <c r="G24" s="336">
        <f t="shared" si="2"/>
        <v>130697</v>
      </c>
      <c r="H24" s="133">
        <f t="shared" si="0"/>
        <v>50000</v>
      </c>
      <c r="I24" s="133">
        <f t="shared" si="1"/>
        <v>392091</v>
      </c>
      <c r="J24" s="142">
        <f t="shared" si="3"/>
        <v>590.38880739420188</v>
      </c>
      <c r="K24" s="139"/>
    </row>
    <row r="25" spans="1:11">
      <c r="A25" s="9">
        <v>13</v>
      </c>
      <c r="B25" s="9" t="s">
        <v>430</v>
      </c>
      <c r="C25" s="9">
        <v>624</v>
      </c>
      <c r="D25" s="9"/>
      <c r="E25" s="336">
        <v>548.94000000000005</v>
      </c>
      <c r="F25" s="336">
        <v>46.875</v>
      </c>
      <c r="G25" s="336">
        <f t="shared" si="2"/>
        <v>97500</v>
      </c>
      <c r="H25" s="133">
        <f t="shared" si="0"/>
        <v>50000</v>
      </c>
      <c r="I25" s="133">
        <f t="shared" si="1"/>
        <v>292500</v>
      </c>
      <c r="J25" s="142">
        <f t="shared" si="3"/>
        <v>455.10410256410262</v>
      </c>
      <c r="K25" s="139"/>
    </row>
    <row r="26" spans="1:11">
      <c r="A26" s="9">
        <v>14</v>
      </c>
      <c r="B26" s="9" t="s">
        <v>431</v>
      </c>
      <c r="C26" s="9">
        <v>688</v>
      </c>
      <c r="D26" s="9"/>
      <c r="E26" s="336">
        <v>661.44</v>
      </c>
      <c r="F26" s="336">
        <v>62.835096153846152</v>
      </c>
      <c r="G26" s="336">
        <f t="shared" si="2"/>
        <v>130697</v>
      </c>
      <c r="H26" s="133">
        <f t="shared" si="0"/>
        <v>50000</v>
      </c>
      <c r="I26" s="133">
        <f t="shared" si="1"/>
        <v>392091</v>
      </c>
      <c r="J26" s="142">
        <f t="shared" si="3"/>
        <v>577.09223379266552</v>
      </c>
      <c r="K26" s="139"/>
    </row>
    <row r="27" spans="1:11">
      <c r="A27" s="9">
        <v>15</v>
      </c>
      <c r="B27" s="9" t="s">
        <v>432</v>
      </c>
      <c r="C27" s="9">
        <v>698</v>
      </c>
      <c r="D27" s="9"/>
      <c r="E27" s="336">
        <v>563.45000000000005</v>
      </c>
      <c r="F27" s="336">
        <v>57.020673076923075</v>
      </c>
      <c r="G27" s="336">
        <f t="shared" si="2"/>
        <v>118603</v>
      </c>
      <c r="H27" s="133">
        <f t="shared" si="0"/>
        <v>50000</v>
      </c>
      <c r="I27" s="133">
        <f t="shared" si="1"/>
        <v>355809</v>
      </c>
      <c r="J27" s="142">
        <f t="shared" si="3"/>
        <v>484.27128332897712</v>
      </c>
      <c r="K27" s="139"/>
    </row>
    <row r="28" spans="1:11">
      <c r="A28" s="9">
        <v>16</v>
      </c>
      <c r="B28" s="9" t="s">
        <v>433</v>
      </c>
      <c r="C28" s="9">
        <v>704</v>
      </c>
      <c r="D28" s="9"/>
      <c r="E28" s="336">
        <v>855.38000000000011</v>
      </c>
      <c r="F28" s="336">
        <v>85.09615384615384</v>
      </c>
      <c r="G28" s="336">
        <f t="shared" si="2"/>
        <v>177000</v>
      </c>
      <c r="H28" s="133">
        <f t="shared" si="0"/>
        <v>50000</v>
      </c>
      <c r="I28" s="133">
        <f t="shared" si="1"/>
        <v>531000</v>
      </c>
      <c r="J28" s="142">
        <f t="shared" si="3"/>
        <v>774.83574387947283</v>
      </c>
      <c r="K28" s="139"/>
    </row>
    <row r="29" spans="1:11">
      <c r="A29" s="9">
        <v>17</v>
      </c>
      <c r="B29" s="9" t="s">
        <v>434</v>
      </c>
      <c r="C29" s="9">
        <v>735</v>
      </c>
      <c r="D29" s="9"/>
      <c r="E29" s="336">
        <v>808.66000000000008</v>
      </c>
      <c r="F29" s="336">
        <v>74.93990384615384</v>
      </c>
      <c r="G29" s="336">
        <f t="shared" si="2"/>
        <v>155875</v>
      </c>
      <c r="H29" s="133">
        <f t="shared" si="0"/>
        <v>50000</v>
      </c>
      <c r="I29" s="133">
        <f t="shared" si="1"/>
        <v>467625</v>
      </c>
      <c r="J29" s="142">
        <f t="shared" si="3"/>
        <v>722.19541833734309</v>
      </c>
      <c r="K29" s="139"/>
    </row>
    <row r="30" spans="1:11">
      <c r="A30" s="9">
        <v>18</v>
      </c>
      <c r="B30" s="9" t="s">
        <v>435</v>
      </c>
      <c r="C30" s="9">
        <v>748</v>
      </c>
      <c r="D30" s="9" t="s">
        <v>123</v>
      </c>
      <c r="E30" s="336">
        <v>806.2600000000001</v>
      </c>
      <c r="F30" s="336">
        <v>0</v>
      </c>
      <c r="G30" s="336">
        <f t="shared" si="2"/>
        <v>0</v>
      </c>
      <c r="H30" s="133">
        <f t="shared" si="0"/>
        <v>0</v>
      </c>
      <c r="I30" s="133">
        <f t="shared" si="1"/>
        <v>0</v>
      </c>
      <c r="J30" s="142">
        <v>0</v>
      </c>
      <c r="K30" s="139"/>
    </row>
    <row r="31" spans="1:11">
      <c r="A31" s="9">
        <v>19</v>
      </c>
      <c r="B31" s="9" t="s">
        <v>436</v>
      </c>
      <c r="C31" s="9">
        <v>763</v>
      </c>
      <c r="D31" s="9" t="s">
        <v>225</v>
      </c>
      <c r="E31" s="336">
        <v>495.84</v>
      </c>
      <c r="F31" s="336">
        <v>63.942307692307693</v>
      </c>
      <c r="G31" s="336">
        <f t="shared" si="2"/>
        <v>133000</v>
      </c>
      <c r="H31" s="133">
        <f t="shared" si="0"/>
        <v>50000</v>
      </c>
      <c r="I31" s="133">
        <f t="shared" si="1"/>
        <v>399000</v>
      </c>
      <c r="J31" s="142">
        <f t="shared" si="3"/>
        <v>433.70466165413529</v>
      </c>
      <c r="K31" s="139"/>
    </row>
    <row r="32" spans="1:11">
      <c r="A32" s="9">
        <v>20</v>
      </c>
      <c r="B32" s="9" t="s">
        <v>437</v>
      </c>
      <c r="C32" s="9">
        <v>769</v>
      </c>
      <c r="D32" s="9" t="s">
        <v>225</v>
      </c>
      <c r="E32" s="336">
        <v>290.20000000000005</v>
      </c>
      <c r="F32" s="336">
        <v>52.818269230769232</v>
      </c>
      <c r="G32" s="336">
        <f t="shared" si="2"/>
        <v>109862</v>
      </c>
      <c r="H32" s="133">
        <f t="shared" si="0"/>
        <v>50000</v>
      </c>
      <c r="I32" s="133">
        <f t="shared" si="1"/>
        <v>329586</v>
      </c>
      <c r="J32" s="142">
        <f t="shared" si="3"/>
        <v>246.17507175668874</v>
      </c>
      <c r="K32" s="139"/>
    </row>
    <row r="33" spans="1:11">
      <c r="A33" s="9">
        <v>21</v>
      </c>
      <c r="B33" s="9" t="s">
        <v>438</v>
      </c>
      <c r="C33" s="9">
        <v>776</v>
      </c>
      <c r="D33" s="9" t="s">
        <v>225</v>
      </c>
      <c r="E33" s="336">
        <v>380.17</v>
      </c>
      <c r="F33" s="336">
        <v>67.115384615384613</v>
      </c>
      <c r="G33" s="336">
        <f t="shared" si="2"/>
        <v>139600</v>
      </c>
      <c r="H33" s="133">
        <f t="shared" si="0"/>
        <v>50000</v>
      </c>
      <c r="I33" s="133">
        <f t="shared" si="1"/>
        <v>418800</v>
      </c>
      <c r="J33" s="142">
        <f t="shared" si="3"/>
        <v>334.78198662846233</v>
      </c>
      <c r="K33" s="139"/>
    </row>
    <row r="34" spans="1:11">
      <c r="A34" s="9">
        <v>22</v>
      </c>
      <c r="B34" s="9" t="s">
        <v>439</v>
      </c>
      <c r="C34" s="9">
        <v>785</v>
      </c>
      <c r="D34" s="9" t="s">
        <v>225</v>
      </c>
      <c r="E34" s="336">
        <v>38.86</v>
      </c>
      <c r="F34" s="336">
        <v>60.033653846153847</v>
      </c>
      <c r="G34" s="336">
        <f t="shared" si="2"/>
        <v>124870</v>
      </c>
      <c r="H34" s="133">
        <f t="shared" si="0"/>
        <v>50000</v>
      </c>
      <c r="I34" s="133">
        <f t="shared" si="1"/>
        <v>374610</v>
      </c>
      <c r="J34" s="142">
        <f t="shared" si="3"/>
        <v>33.673272470035506</v>
      </c>
      <c r="K34" s="139"/>
    </row>
    <row r="35" spans="1:11">
      <c r="A35" s="9">
        <v>23</v>
      </c>
      <c r="B35" s="9" t="s">
        <v>440</v>
      </c>
      <c r="C35" s="9">
        <v>786</v>
      </c>
      <c r="D35" s="9" t="s">
        <v>225</v>
      </c>
      <c r="E35" s="336">
        <v>0</v>
      </c>
      <c r="F35" s="336">
        <v>91.34615384615384</v>
      </c>
      <c r="G35" s="336">
        <f t="shared" si="2"/>
        <v>190000</v>
      </c>
      <c r="H35" s="133">
        <f t="shared" si="0"/>
        <v>50000</v>
      </c>
      <c r="I35" s="133">
        <f t="shared" si="1"/>
        <v>570000</v>
      </c>
      <c r="J35" s="142">
        <f t="shared" si="3"/>
        <v>0</v>
      </c>
      <c r="K35" s="139"/>
    </row>
    <row r="36" spans="1:11">
      <c r="A36" s="9">
        <v>24</v>
      </c>
      <c r="B36" s="1" t="s">
        <v>443</v>
      </c>
      <c r="C36" s="9">
        <v>320</v>
      </c>
      <c r="D36" s="1" t="s">
        <v>123</v>
      </c>
      <c r="E36" s="336">
        <v>62.590000000000032</v>
      </c>
      <c r="F36" s="336">
        <v>0</v>
      </c>
      <c r="G36" s="336">
        <f t="shared" si="2"/>
        <v>0</v>
      </c>
      <c r="H36" s="133">
        <f t="shared" si="0"/>
        <v>0</v>
      </c>
      <c r="I36" s="133">
        <f t="shared" si="1"/>
        <v>0</v>
      </c>
      <c r="J36" s="142">
        <v>0</v>
      </c>
      <c r="K36" s="139"/>
    </row>
    <row r="37" spans="1:11">
      <c r="A37" s="9">
        <v>25</v>
      </c>
      <c r="B37" s="1" t="s">
        <v>444</v>
      </c>
      <c r="C37" s="9">
        <v>343</v>
      </c>
      <c r="D37" s="1"/>
      <c r="E37" s="336">
        <v>540.24</v>
      </c>
      <c r="F37" s="336">
        <v>48.42</v>
      </c>
      <c r="G37" s="336">
        <f t="shared" si="2"/>
        <v>100713.60000000001</v>
      </c>
      <c r="H37" s="133">
        <f t="shared" si="0"/>
        <v>50000</v>
      </c>
      <c r="I37" s="133">
        <f t="shared" si="1"/>
        <v>302140.80000000005</v>
      </c>
      <c r="J37" s="142">
        <f t="shared" si="3"/>
        <v>450.83797286563089</v>
      </c>
      <c r="K37" s="139"/>
    </row>
    <row r="38" spans="1:11">
      <c r="A38" s="9">
        <v>26</v>
      </c>
      <c r="B38" s="1" t="s">
        <v>445</v>
      </c>
      <c r="C38" s="9">
        <v>377</v>
      </c>
      <c r="D38" s="1" t="s">
        <v>123</v>
      </c>
      <c r="E38" s="336">
        <v>650.94000000000005</v>
      </c>
      <c r="F38" s="336">
        <v>0</v>
      </c>
      <c r="G38" s="336">
        <f t="shared" si="2"/>
        <v>0</v>
      </c>
      <c r="H38" s="133">
        <f t="shared" si="0"/>
        <v>0</v>
      </c>
      <c r="I38" s="133">
        <f t="shared" si="1"/>
        <v>0</v>
      </c>
      <c r="J38" s="142">
        <v>0</v>
      </c>
      <c r="K38" s="139"/>
    </row>
    <row r="39" spans="1:11">
      <c r="A39" s="9">
        <v>27</v>
      </c>
      <c r="B39" s="1" t="s">
        <v>446</v>
      </c>
      <c r="C39" s="9">
        <v>397</v>
      </c>
      <c r="D39" s="1" t="s">
        <v>123</v>
      </c>
      <c r="E39" s="336">
        <v>381.9</v>
      </c>
      <c r="F39" s="336">
        <v>0</v>
      </c>
      <c r="G39" s="336">
        <f t="shared" si="2"/>
        <v>0</v>
      </c>
      <c r="H39" s="133">
        <f t="shared" si="0"/>
        <v>0</v>
      </c>
      <c r="I39" s="133">
        <f t="shared" si="1"/>
        <v>0</v>
      </c>
      <c r="J39" s="142">
        <v>0</v>
      </c>
      <c r="K39" s="139"/>
    </row>
    <row r="40" spans="1:11">
      <c r="A40" s="9">
        <v>28</v>
      </c>
      <c r="B40" s="1" t="s">
        <v>447</v>
      </c>
      <c r="C40" s="9">
        <v>431</v>
      </c>
      <c r="D40" s="1"/>
      <c r="E40" s="336">
        <v>344.29999999999995</v>
      </c>
      <c r="F40" s="336">
        <v>29.6</v>
      </c>
      <c r="G40" s="336">
        <f t="shared" si="2"/>
        <v>61568</v>
      </c>
      <c r="H40" s="133">
        <f t="shared" si="0"/>
        <v>50000</v>
      </c>
      <c r="I40" s="133">
        <f t="shared" si="1"/>
        <v>184704</v>
      </c>
      <c r="J40" s="142">
        <f t="shared" si="3"/>
        <v>251.09682085932081</v>
      </c>
      <c r="K40" s="139"/>
    </row>
    <row r="41" spans="1:11">
      <c r="A41" s="9">
        <v>29</v>
      </c>
      <c r="B41" s="1" t="s">
        <v>448</v>
      </c>
      <c r="C41" s="9">
        <v>440</v>
      </c>
      <c r="D41" s="1" t="s">
        <v>123</v>
      </c>
      <c r="E41" s="336">
        <v>96.110000000000014</v>
      </c>
      <c r="F41" s="336">
        <v>0</v>
      </c>
      <c r="G41" s="336">
        <f t="shared" si="2"/>
        <v>0</v>
      </c>
      <c r="H41" s="133">
        <f t="shared" si="0"/>
        <v>0</v>
      </c>
      <c r="I41" s="133">
        <f t="shared" si="1"/>
        <v>0</v>
      </c>
      <c r="J41" s="142">
        <v>0</v>
      </c>
      <c r="K41" s="139"/>
    </row>
    <row r="42" spans="1:11">
      <c r="A42" s="9">
        <v>30</v>
      </c>
      <c r="B42" s="1" t="s">
        <v>449</v>
      </c>
      <c r="C42" s="9">
        <v>451</v>
      </c>
      <c r="D42" s="1"/>
      <c r="E42" s="336">
        <v>540.24</v>
      </c>
      <c r="F42" s="336">
        <v>48.42</v>
      </c>
      <c r="G42" s="336">
        <f t="shared" si="2"/>
        <v>100713.60000000001</v>
      </c>
      <c r="H42" s="133">
        <f t="shared" si="0"/>
        <v>50000</v>
      </c>
      <c r="I42" s="133">
        <f t="shared" si="1"/>
        <v>302140.80000000005</v>
      </c>
      <c r="J42" s="142">
        <f t="shared" si="3"/>
        <v>450.83797286563089</v>
      </c>
      <c r="K42" s="139"/>
    </row>
    <row r="43" spans="1:11">
      <c r="A43" s="9">
        <v>31</v>
      </c>
      <c r="B43" s="1" t="s">
        <v>450</v>
      </c>
      <c r="C43" s="9">
        <v>460</v>
      </c>
      <c r="D43" s="1"/>
      <c r="E43" s="336">
        <v>254.62</v>
      </c>
      <c r="F43" s="336">
        <v>36.74</v>
      </c>
      <c r="G43" s="336">
        <f t="shared" si="2"/>
        <v>76419.199999999997</v>
      </c>
      <c r="H43" s="133">
        <f t="shared" si="0"/>
        <v>50000</v>
      </c>
      <c r="I43" s="133">
        <f t="shared" si="1"/>
        <v>229257.59999999998</v>
      </c>
      <c r="J43" s="142">
        <f t="shared" si="3"/>
        <v>199.08858032187374</v>
      </c>
      <c r="K43" s="139"/>
    </row>
    <row r="44" spans="1:11">
      <c r="A44" s="9">
        <v>32</v>
      </c>
      <c r="B44" s="1" t="s">
        <v>451</v>
      </c>
      <c r="C44" s="9">
        <v>461</v>
      </c>
      <c r="D44" s="1"/>
      <c r="E44" s="336">
        <v>709.46</v>
      </c>
      <c r="F44" s="336">
        <v>44.11</v>
      </c>
      <c r="G44" s="336">
        <f t="shared" si="2"/>
        <v>91748.800000000003</v>
      </c>
      <c r="H44" s="133">
        <f t="shared" si="0"/>
        <v>50000</v>
      </c>
      <c r="I44" s="133">
        <f t="shared" si="1"/>
        <v>275246.40000000002</v>
      </c>
      <c r="J44" s="142">
        <f t="shared" si="3"/>
        <v>580.58274674618815</v>
      </c>
      <c r="K44" s="139"/>
    </row>
    <row r="45" spans="1:11">
      <c r="A45" s="9">
        <v>33</v>
      </c>
      <c r="B45" s="1" t="s">
        <v>452</v>
      </c>
      <c r="C45" s="9">
        <v>464</v>
      </c>
      <c r="D45" s="1"/>
      <c r="E45" s="336">
        <v>344.29999999999995</v>
      </c>
      <c r="F45" s="336">
        <v>30.18</v>
      </c>
      <c r="G45" s="336">
        <f t="shared" si="2"/>
        <v>62774.400000000001</v>
      </c>
      <c r="H45" s="133">
        <f t="shared" si="0"/>
        <v>50000</v>
      </c>
      <c r="I45" s="133">
        <f t="shared" si="1"/>
        <v>188323.20000000001</v>
      </c>
      <c r="J45" s="142">
        <f t="shared" si="3"/>
        <v>252.88800190311122</v>
      </c>
      <c r="K45" s="139"/>
    </row>
    <row r="46" spans="1:11">
      <c r="A46" s="9">
        <v>34</v>
      </c>
      <c r="B46" s="1" t="s">
        <v>453</v>
      </c>
      <c r="C46" s="9">
        <v>477</v>
      </c>
      <c r="D46" s="1"/>
      <c r="E46" s="336">
        <v>344.61</v>
      </c>
      <c r="F46" s="336">
        <v>34.369999999999997</v>
      </c>
      <c r="G46" s="336">
        <f t="shared" si="2"/>
        <v>71489.599999999991</v>
      </c>
      <c r="H46" s="133">
        <f t="shared" si="0"/>
        <v>50000</v>
      </c>
      <c r="I46" s="133">
        <f t="shared" si="1"/>
        <v>214468.8</v>
      </c>
      <c r="J46" s="142">
        <f t="shared" si="3"/>
        <v>264.26964280119063</v>
      </c>
      <c r="K46" s="139"/>
    </row>
    <row r="47" spans="1:11">
      <c r="A47" s="9">
        <v>35</v>
      </c>
      <c r="B47" s="1" t="s">
        <v>454</v>
      </c>
      <c r="C47" s="9">
        <v>478</v>
      </c>
      <c r="D47" s="1"/>
      <c r="E47" s="336">
        <v>540.24</v>
      </c>
      <c r="F47" s="336">
        <v>48.42</v>
      </c>
      <c r="G47" s="336">
        <f t="shared" si="2"/>
        <v>100713.60000000001</v>
      </c>
      <c r="H47" s="133">
        <f t="shared" si="0"/>
        <v>50000</v>
      </c>
      <c r="I47" s="133">
        <f t="shared" si="1"/>
        <v>302140.80000000005</v>
      </c>
      <c r="J47" s="142">
        <f t="shared" si="3"/>
        <v>450.83797286563089</v>
      </c>
      <c r="K47" s="139"/>
    </row>
    <row r="48" spans="1:11">
      <c r="A48" s="9">
        <v>36</v>
      </c>
      <c r="B48" s="1" t="s">
        <v>455</v>
      </c>
      <c r="C48" s="9">
        <v>489</v>
      </c>
      <c r="D48" s="1"/>
      <c r="E48" s="336">
        <v>512.42000000000007</v>
      </c>
      <c r="F48" s="336">
        <v>46.27</v>
      </c>
      <c r="G48" s="336">
        <f t="shared" si="2"/>
        <v>96241.600000000006</v>
      </c>
      <c r="H48" s="133">
        <f t="shared" si="0"/>
        <v>50000</v>
      </c>
      <c r="I48" s="133">
        <f t="shared" si="1"/>
        <v>288724.80000000005</v>
      </c>
      <c r="J48" s="142">
        <f t="shared" si="3"/>
        <v>423.68151962006732</v>
      </c>
      <c r="K48" s="139"/>
    </row>
    <row r="49" spans="1:11">
      <c r="A49" s="9">
        <v>37</v>
      </c>
      <c r="B49" s="1" t="s">
        <v>456</v>
      </c>
      <c r="C49" s="9">
        <v>506</v>
      </c>
      <c r="D49" s="1"/>
      <c r="E49" s="336">
        <v>438.02</v>
      </c>
      <c r="F49" s="336">
        <v>38.799999999999997</v>
      </c>
      <c r="G49" s="336">
        <f t="shared" si="2"/>
        <v>80704</v>
      </c>
      <c r="H49" s="133">
        <f t="shared" si="0"/>
        <v>50000</v>
      </c>
      <c r="I49" s="133">
        <f t="shared" si="1"/>
        <v>242112</v>
      </c>
      <c r="J49" s="142">
        <f t="shared" si="3"/>
        <v>347.56186492201954</v>
      </c>
      <c r="K49" s="139"/>
    </row>
    <row r="50" spans="1:11">
      <c r="A50" s="9">
        <v>38</v>
      </c>
      <c r="B50" s="1" t="s">
        <v>457</v>
      </c>
      <c r="C50" s="9">
        <v>519</v>
      </c>
      <c r="D50" s="1"/>
      <c r="E50" s="336">
        <v>512.42000000000007</v>
      </c>
      <c r="F50" s="336">
        <v>46.27</v>
      </c>
      <c r="G50" s="336">
        <f t="shared" si="2"/>
        <v>96241.600000000006</v>
      </c>
      <c r="H50" s="133">
        <f t="shared" si="0"/>
        <v>50000</v>
      </c>
      <c r="I50" s="133">
        <f t="shared" si="1"/>
        <v>288724.80000000005</v>
      </c>
      <c r="J50" s="142">
        <f t="shared" si="3"/>
        <v>423.68151962006732</v>
      </c>
      <c r="K50" s="139"/>
    </row>
    <row r="51" spans="1:11">
      <c r="A51" s="9">
        <v>39</v>
      </c>
      <c r="B51" s="1" t="s">
        <v>458</v>
      </c>
      <c r="C51" s="9">
        <v>523</v>
      </c>
      <c r="D51" s="1"/>
      <c r="E51" s="336">
        <v>512.42000000000007</v>
      </c>
      <c r="F51" s="336">
        <v>46.27</v>
      </c>
      <c r="G51" s="336">
        <f t="shared" si="2"/>
        <v>96241.600000000006</v>
      </c>
      <c r="H51" s="133">
        <f t="shared" si="0"/>
        <v>50000</v>
      </c>
      <c r="I51" s="133">
        <f t="shared" si="1"/>
        <v>288724.80000000005</v>
      </c>
      <c r="J51" s="142">
        <f t="shared" si="3"/>
        <v>423.68151962006732</v>
      </c>
      <c r="K51" s="139"/>
    </row>
    <row r="52" spans="1:11">
      <c r="A52" s="9">
        <v>40</v>
      </c>
      <c r="B52" s="1" t="s">
        <v>459</v>
      </c>
      <c r="C52" s="9">
        <v>524</v>
      </c>
      <c r="D52" s="1"/>
      <c r="E52" s="336">
        <v>512.42000000000007</v>
      </c>
      <c r="F52" s="336">
        <v>46.27</v>
      </c>
      <c r="G52" s="336">
        <f t="shared" si="2"/>
        <v>96241.600000000006</v>
      </c>
      <c r="H52" s="133">
        <f t="shared" si="0"/>
        <v>50000</v>
      </c>
      <c r="I52" s="133">
        <f t="shared" si="1"/>
        <v>288724.80000000005</v>
      </c>
      <c r="J52" s="142">
        <f t="shared" si="3"/>
        <v>423.68151962006732</v>
      </c>
      <c r="K52" s="139"/>
    </row>
    <row r="53" spans="1:11">
      <c r="A53" s="9">
        <v>41</v>
      </c>
      <c r="B53" s="1" t="s">
        <v>460</v>
      </c>
      <c r="C53" s="9">
        <v>526</v>
      </c>
      <c r="D53" s="1"/>
      <c r="E53" s="336">
        <v>438.02</v>
      </c>
      <c r="F53" s="336">
        <v>38.799999999999997</v>
      </c>
      <c r="G53" s="336">
        <f t="shared" si="2"/>
        <v>80704</v>
      </c>
      <c r="H53" s="133">
        <f t="shared" si="0"/>
        <v>50000</v>
      </c>
      <c r="I53" s="133">
        <f t="shared" si="1"/>
        <v>242112</v>
      </c>
      <c r="J53" s="142">
        <f t="shared" si="3"/>
        <v>347.56186492201954</v>
      </c>
      <c r="K53" s="139"/>
    </row>
    <row r="54" spans="1:11">
      <c r="A54" s="9">
        <v>42</v>
      </c>
      <c r="B54" s="1" t="s">
        <v>461</v>
      </c>
      <c r="C54" s="9">
        <v>528</v>
      </c>
      <c r="D54" s="1"/>
      <c r="E54" s="336">
        <v>540.24</v>
      </c>
      <c r="F54" s="336">
        <v>48.42</v>
      </c>
      <c r="G54" s="336">
        <f t="shared" si="2"/>
        <v>100713.60000000001</v>
      </c>
      <c r="H54" s="133">
        <f t="shared" si="0"/>
        <v>50000</v>
      </c>
      <c r="I54" s="133">
        <f t="shared" si="1"/>
        <v>302140.80000000005</v>
      </c>
      <c r="J54" s="142">
        <f t="shared" si="3"/>
        <v>450.83797286563089</v>
      </c>
      <c r="K54" s="139"/>
    </row>
    <row r="55" spans="1:11">
      <c r="A55" s="9">
        <v>43</v>
      </c>
      <c r="B55" s="1" t="s">
        <v>462</v>
      </c>
      <c r="C55" s="9">
        <v>545</v>
      </c>
      <c r="D55" s="1" t="s">
        <v>123</v>
      </c>
      <c r="E55" s="336">
        <v>487.40999999999997</v>
      </c>
      <c r="F55" s="336">
        <v>0</v>
      </c>
      <c r="G55" s="336">
        <f t="shared" si="2"/>
        <v>0</v>
      </c>
      <c r="H55" s="133">
        <f t="shared" si="0"/>
        <v>0</v>
      </c>
      <c r="I55" s="133">
        <f t="shared" si="1"/>
        <v>0</v>
      </c>
      <c r="J55" s="142">
        <v>0</v>
      </c>
      <c r="K55" s="139"/>
    </row>
    <row r="56" spans="1:11">
      <c r="A56" s="9">
        <v>44</v>
      </c>
      <c r="B56" s="1" t="s">
        <v>463</v>
      </c>
      <c r="C56" s="9">
        <v>546</v>
      </c>
      <c r="D56" s="1"/>
      <c r="E56" s="336">
        <v>432.53</v>
      </c>
      <c r="F56" s="336">
        <v>38.799999999999997</v>
      </c>
      <c r="G56" s="336">
        <f t="shared" si="2"/>
        <v>80704</v>
      </c>
      <c r="H56" s="133">
        <f t="shared" si="0"/>
        <v>50000</v>
      </c>
      <c r="I56" s="133">
        <f t="shared" si="1"/>
        <v>242112</v>
      </c>
      <c r="J56" s="142">
        <f t="shared" si="3"/>
        <v>343.20563772138513</v>
      </c>
      <c r="K56" s="139"/>
    </row>
    <row r="57" spans="1:11">
      <c r="A57" s="9">
        <v>45</v>
      </c>
      <c r="B57" s="1" t="s">
        <v>464</v>
      </c>
      <c r="C57" s="9">
        <v>562</v>
      </c>
      <c r="D57" s="1" t="s">
        <v>123</v>
      </c>
      <c r="E57" s="336">
        <v>35.609999999999985</v>
      </c>
      <c r="F57" s="336">
        <v>0</v>
      </c>
      <c r="G57" s="336">
        <f t="shared" si="2"/>
        <v>0</v>
      </c>
      <c r="H57" s="133">
        <f t="shared" si="0"/>
        <v>0</v>
      </c>
      <c r="I57" s="133">
        <f t="shared" si="1"/>
        <v>0</v>
      </c>
      <c r="J57" s="142">
        <v>0</v>
      </c>
      <c r="K57" s="139"/>
    </row>
    <row r="58" spans="1:11">
      <c r="A58" s="9">
        <v>46</v>
      </c>
      <c r="B58" s="1" t="s">
        <v>465</v>
      </c>
      <c r="C58" s="9">
        <v>569</v>
      </c>
      <c r="D58" s="1"/>
      <c r="E58" s="336">
        <v>512.42000000000007</v>
      </c>
      <c r="F58" s="336">
        <v>46.27</v>
      </c>
      <c r="G58" s="336">
        <f t="shared" si="2"/>
        <v>96241.600000000006</v>
      </c>
      <c r="H58" s="133">
        <f t="shared" si="0"/>
        <v>50000</v>
      </c>
      <c r="I58" s="133">
        <f t="shared" si="1"/>
        <v>288724.80000000005</v>
      </c>
      <c r="J58" s="142">
        <f t="shared" si="3"/>
        <v>423.68151962006732</v>
      </c>
      <c r="K58" s="139"/>
    </row>
    <row r="59" spans="1:11">
      <c r="A59" s="9">
        <v>47</v>
      </c>
      <c r="B59" s="1" t="s">
        <v>466</v>
      </c>
      <c r="C59" s="9">
        <v>570</v>
      </c>
      <c r="D59" s="1"/>
      <c r="E59" s="336">
        <v>536.30999999999995</v>
      </c>
      <c r="F59" s="336">
        <v>46.56</v>
      </c>
      <c r="G59" s="336">
        <f t="shared" si="2"/>
        <v>96844.800000000003</v>
      </c>
      <c r="H59" s="133">
        <f t="shared" si="0"/>
        <v>50000</v>
      </c>
      <c r="I59" s="133">
        <f t="shared" si="1"/>
        <v>290534.40000000002</v>
      </c>
      <c r="J59" s="142">
        <f t="shared" si="3"/>
        <v>444.01284000793021</v>
      </c>
      <c r="K59" s="139"/>
    </row>
    <row r="60" spans="1:11">
      <c r="A60" s="9">
        <v>48</v>
      </c>
      <c r="B60" s="1" t="s">
        <v>467</v>
      </c>
      <c r="C60" s="9">
        <v>571</v>
      </c>
      <c r="D60" s="1"/>
      <c r="E60" s="336">
        <v>566.28</v>
      </c>
      <c r="F60" s="336">
        <v>47.27</v>
      </c>
      <c r="G60" s="336">
        <f t="shared" si="2"/>
        <v>98321.600000000006</v>
      </c>
      <c r="H60" s="133">
        <f t="shared" si="0"/>
        <v>50000</v>
      </c>
      <c r="I60" s="133">
        <f t="shared" si="1"/>
        <v>294964.80000000005</v>
      </c>
      <c r="J60" s="142">
        <f t="shared" si="3"/>
        <v>470.28888512798818</v>
      </c>
      <c r="K60" s="139"/>
    </row>
    <row r="61" spans="1:11">
      <c r="A61" s="9">
        <v>49</v>
      </c>
      <c r="B61" s="1" t="s">
        <v>468</v>
      </c>
      <c r="C61" s="9">
        <v>578</v>
      </c>
      <c r="D61" s="1"/>
      <c r="E61" s="336">
        <v>438.02</v>
      </c>
      <c r="F61" s="336">
        <v>37.75</v>
      </c>
      <c r="G61" s="336">
        <f t="shared" si="2"/>
        <v>78520</v>
      </c>
      <c r="H61" s="133">
        <f t="shared" si="0"/>
        <v>50000</v>
      </c>
      <c r="I61" s="133">
        <f t="shared" si="1"/>
        <v>235560</v>
      </c>
      <c r="J61" s="142">
        <f t="shared" si="3"/>
        <v>345.04581083375786</v>
      </c>
      <c r="K61" s="139"/>
    </row>
    <row r="62" spans="1:11">
      <c r="A62" s="9">
        <v>50</v>
      </c>
      <c r="B62" s="1" t="s">
        <v>469</v>
      </c>
      <c r="C62" s="9">
        <v>592</v>
      </c>
      <c r="D62" s="1" t="s">
        <v>123</v>
      </c>
      <c r="E62" s="336">
        <v>120.22</v>
      </c>
      <c r="F62" s="336">
        <v>0</v>
      </c>
      <c r="G62" s="336">
        <f t="shared" si="2"/>
        <v>0</v>
      </c>
      <c r="H62" s="133">
        <f t="shared" si="0"/>
        <v>0</v>
      </c>
      <c r="I62" s="133">
        <f t="shared" si="1"/>
        <v>0</v>
      </c>
      <c r="J62" s="142">
        <v>0</v>
      </c>
      <c r="K62" s="139"/>
    </row>
    <row r="63" spans="1:11">
      <c r="A63" s="9">
        <v>51</v>
      </c>
      <c r="B63" s="1" t="s">
        <v>470</v>
      </c>
      <c r="C63" s="9">
        <v>594</v>
      </c>
      <c r="D63" s="1"/>
      <c r="E63" s="336">
        <v>497.9</v>
      </c>
      <c r="F63" s="336">
        <v>42.06</v>
      </c>
      <c r="G63" s="336">
        <f t="shared" si="2"/>
        <v>87484.800000000003</v>
      </c>
      <c r="H63" s="133">
        <f t="shared" si="0"/>
        <v>50000</v>
      </c>
      <c r="I63" s="133">
        <f t="shared" si="1"/>
        <v>262454.40000000002</v>
      </c>
      <c r="J63" s="142">
        <f t="shared" si="3"/>
        <v>403.04542716753843</v>
      </c>
      <c r="K63" s="139"/>
    </row>
    <row r="64" spans="1:11">
      <c r="A64" s="9">
        <v>52</v>
      </c>
      <c r="B64" s="1" t="s">
        <v>471</v>
      </c>
      <c r="C64" s="9">
        <v>599</v>
      </c>
      <c r="D64" s="1"/>
      <c r="E64" s="336">
        <v>512.42000000000007</v>
      </c>
      <c r="F64" s="336">
        <v>46.27</v>
      </c>
      <c r="G64" s="336">
        <f t="shared" si="2"/>
        <v>96241.600000000006</v>
      </c>
      <c r="H64" s="133">
        <f t="shared" si="0"/>
        <v>50000</v>
      </c>
      <c r="I64" s="133">
        <f t="shared" si="1"/>
        <v>288724.80000000005</v>
      </c>
      <c r="J64" s="142">
        <f t="shared" si="3"/>
        <v>423.68151962006732</v>
      </c>
      <c r="K64" s="139"/>
    </row>
    <row r="65" spans="1:11">
      <c r="A65" s="9">
        <v>53</v>
      </c>
      <c r="B65" s="1" t="s">
        <v>472</v>
      </c>
      <c r="C65" s="9">
        <v>616</v>
      </c>
      <c r="D65" s="1"/>
      <c r="E65" s="336">
        <v>438.02</v>
      </c>
      <c r="F65" s="336">
        <v>38.799999999999997</v>
      </c>
      <c r="G65" s="336">
        <f t="shared" si="2"/>
        <v>80704</v>
      </c>
      <c r="H65" s="133">
        <f t="shared" si="0"/>
        <v>50000</v>
      </c>
      <c r="I65" s="133">
        <f t="shared" si="1"/>
        <v>242112</v>
      </c>
      <c r="J65" s="142">
        <f t="shared" si="3"/>
        <v>347.56186492201954</v>
      </c>
      <c r="K65" s="139"/>
    </row>
    <row r="66" spans="1:11">
      <c r="A66" s="9">
        <v>54</v>
      </c>
      <c r="B66" s="1" t="s">
        <v>473</v>
      </c>
      <c r="C66" s="9">
        <v>622</v>
      </c>
      <c r="D66" s="1"/>
      <c r="E66" s="336">
        <v>390.14</v>
      </c>
      <c r="F66" s="336">
        <v>33.619999999999997</v>
      </c>
      <c r="G66" s="336">
        <f t="shared" si="2"/>
        <v>69929.599999999991</v>
      </c>
      <c r="H66" s="133">
        <f t="shared" si="0"/>
        <v>50000</v>
      </c>
      <c r="I66" s="133">
        <f t="shared" si="1"/>
        <v>209788.79999999999</v>
      </c>
      <c r="J66" s="142">
        <f t="shared" si="3"/>
        <v>297.15600848091032</v>
      </c>
      <c r="K66" s="139"/>
    </row>
    <row r="67" spans="1:11">
      <c r="A67" s="9">
        <v>55</v>
      </c>
      <c r="B67" s="1" t="s">
        <v>474</v>
      </c>
      <c r="C67" s="9">
        <v>626</v>
      </c>
      <c r="D67" s="1"/>
      <c r="E67" s="336">
        <v>512.42000000000007</v>
      </c>
      <c r="F67" s="336">
        <v>46.27</v>
      </c>
      <c r="G67" s="336">
        <f t="shared" si="2"/>
        <v>96241.600000000006</v>
      </c>
      <c r="H67" s="133">
        <f t="shared" si="0"/>
        <v>50000</v>
      </c>
      <c r="I67" s="133">
        <f t="shared" si="1"/>
        <v>288724.80000000005</v>
      </c>
      <c r="J67" s="142">
        <f t="shared" si="3"/>
        <v>423.68151962006732</v>
      </c>
      <c r="K67" s="139"/>
    </row>
    <row r="68" spans="1:11">
      <c r="A68" s="9">
        <v>56</v>
      </c>
      <c r="B68" s="1" t="s">
        <v>475</v>
      </c>
      <c r="C68" s="9">
        <v>629</v>
      </c>
      <c r="D68" s="1"/>
      <c r="E68" s="336">
        <v>540.24</v>
      </c>
      <c r="F68" s="336">
        <v>48.42</v>
      </c>
      <c r="G68" s="336">
        <f t="shared" si="2"/>
        <v>100713.60000000001</v>
      </c>
      <c r="H68" s="133">
        <f t="shared" si="0"/>
        <v>50000</v>
      </c>
      <c r="I68" s="133">
        <f t="shared" si="1"/>
        <v>302140.80000000005</v>
      </c>
      <c r="J68" s="142">
        <f t="shared" si="3"/>
        <v>450.83797286563089</v>
      </c>
      <c r="K68" s="139"/>
    </row>
    <row r="69" spans="1:11">
      <c r="A69" s="9">
        <v>57</v>
      </c>
      <c r="B69" s="1" t="s">
        <v>476</v>
      </c>
      <c r="C69" s="9">
        <v>630</v>
      </c>
      <c r="D69" s="1"/>
      <c r="E69" s="336">
        <v>300.58000000000004</v>
      </c>
      <c r="F69" s="336">
        <v>25.74</v>
      </c>
      <c r="G69" s="336">
        <f t="shared" si="2"/>
        <v>53539.199999999997</v>
      </c>
      <c r="H69" s="133">
        <f t="shared" si="0"/>
        <v>50000</v>
      </c>
      <c r="I69" s="133">
        <f t="shared" si="1"/>
        <v>160617.59999999998</v>
      </c>
      <c r="J69" s="142">
        <f t="shared" si="3"/>
        <v>207.00993046839204</v>
      </c>
      <c r="K69" s="139"/>
    </row>
    <row r="70" spans="1:11">
      <c r="A70" s="9">
        <v>58</v>
      </c>
      <c r="B70" s="1" t="s">
        <v>477</v>
      </c>
      <c r="C70" s="9">
        <v>631</v>
      </c>
      <c r="D70" s="1"/>
      <c r="E70" s="336">
        <v>344.29999999999995</v>
      </c>
      <c r="F70" s="336">
        <v>29.6</v>
      </c>
      <c r="G70" s="336">
        <f t="shared" si="2"/>
        <v>61568</v>
      </c>
      <c r="H70" s="133">
        <f t="shared" si="0"/>
        <v>50000</v>
      </c>
      <c r="I70" s="133">
        <f t="shared" si="1"/>
        <v>184704</v>
      </c>
      <c r="J70" s="142">
        <f t="shared" si="3"/>
        <v>251.09682085932081</v>
      </c>
      <c r="K70" s="139"/>
    </row>
    <row r="71" spans="1:11">
      <c r="A71" s="9">
        <v>59</v>
      </c>
      <c r="B71" s="1" t="s">
        <v>478</v>
      </c>
      <c r="C71" s="9">
        <v>633</v>
      </c>
      <c r="D71" s="1"/>
      <c r="E71" s="336">
        <v>300.58000000000004</v>
      </c>
      <c r="F71" s="336">
        <v>25.74</v>
      </c>
      <c r="G71" s="336">
        <f t="shared" si="2"/>
        <v>53539.199999999997</v>
      </c>
      <c r="H71" s="133">
        <f t="shared" si="0"/>
        <v>50000</v>
      </c>
      <c r="I71" s="133">
        <f t="shared" si="1"/>
        <v>160617.59999999998</v>
      </c>
      <c r="J71" s="142">
        <f t="shared" si="3"/>
        <v>207.00993046839204</v>
      </c>
      <c r="K71" s="139"/>
    </row>
    <row r="72" spans="1:11">
      <c r="A72" s="9">
        <v>60</v>
      </c>
      <c r="B72" s="1" t="s">
        <v>479</v>
      </c>
      <c r="C72" s="9">
        <v>634</v>
      </c>
      <c r="D72" s="1"/>
      <c r="E72" s="336">
        <v>512.42000000000007</v>
      </c>
      <c r="F72" s="336">
        <v>46.27</v>
      </c>
      <c r="G72" s="336">
        <f t="shared" si="2"/>
        <v>96241.600000000006</v>
      </c>
      <c r="H72" s="133">
        <f t="shared" si="0"/>
        <v>50000</v>
      </c>
      <c r="I72" s="133">
        <f t="shared" si="1"/>
        <v>288724.80000000005</v>
      </c>
      <c r="J72" s="142">
        <f t="shared" si="3"/>
        <v>423.68151962006732</v>
      </c>
      <c r="K72" s="139"/>
    </row>
    <row r="73" spans="1:11">
      <c r="A73" s="9">
        <v>61</v>
      </c>
      <c r="B73" s="1" t="s">
        <v>480</v>
      </c>
      <c r="C73" s="9">
        <v>635</v>
      </c>
      <c r="D73" s="1"/>
      <c r="E73" s="336">
        <v>512.42000000000007</v>
      </c>
      <c r="F73" s="336">
        <v>46.27</v>
      </c>
      <c r="G73" s="336">
        <f t="shared" si="2"/>
        <v>96241.600000000006</v>
      </c>
      <c r="H73" s="133">
        <f t="shared" si="0"/>
        <v>50000</v>
      </c>
      <c r="I73" s="133">
        <f t="shared" si="1"/>
        <v>288724.80000000005</v>
      </c>
      <c r="J73" s="142">
        <f t="shared" si="3"/>
        <v>423.68151962006732</v>
      </c>
      <c r="K73" s="139"/>
    </row>
    <row r="74" spans="1:11">
      <c r="A74" s="9">
        <v>62</v>
      </c>
      <c r="B74" s="1" t="s">
        <v>481</v>
      </c>
      <c r="C74" s="9">
        <v>644</v>
      </c>
      <c r="D74" s="1"/>
      <c r="E74" s="336">
        <v>406.29999999999995</v>
      </c>
      <c r="F74" s="336">
        <v>37.75</v>
      </c>
      <c r="G74" s="336">
        <f t="shared" si="2"/>
        <v>78520</v>
      </c>
      <c r="H74" s="133">
        <f t="shared" si="0"/>
        <v>50000</v>
      </c>
      <c r="I74" s="133">
        <f t="shared" si="1"/>
        <v>235560</v>
      </c>
      <c r="J74" s="142">
        <f t="shared" si="3"/>
        <v>320.05870266598743</v>
      </c>
      <c r="K74" s="139"/>
    </row>
    <row r="75" spans="1:11">
      <c r="A75" s="9">
        <v>63</v>
      </c>
      <c r="B75" s="1" t="s">
        <v>482</v>
      </c>
      <c r="C75" s="9">
        <v>645</v>
      </c>
      <c r="D75" s="1"/>
      <c r="E75" s="336">
        <v>300.58000000000004</v>
      </c>
      <c r="F75" s="336">
        <v>25.74</v>
      </c>
      <c r="G75" s="336">
        <f t="shared" si="2"/>
        <v>53539.199999999997</v>
      </c>
      <c r="H75" s="133">
        <f t="shared" si="0"/>
        <v>50000</v>
      </c>
      <c r="I75" s="133">
        <f t="shared" si="1"/>
        <v>160617.59999999998</v>
      </c>
      <c r="J75" s="142">
        <f t="shared" si="3"/>
        <v>207.00993046839204</v>
      </c>
      <c r="K75" s="139"/>
    </row>
    <row r="76" spans="1:11">
      <c r="A76" s="9">
        <v>64</v>
      </c>
      <c r="B76" s="1" t="s">
        <v>483</v>
      </c>
      <c r="C76" s="9">
        <v>652</v>
      </c>
      <c r="D76" s="1"/>
      <c r="E76" s="336">
        <v>438.02</v>
      </c>
      <c r="F76" s="336">
        <v>37.75</v>
      </c>
      <c r="G76" s="336">
        <f t="shared" si="2"/>
        <v>78520</v>
      </c>
      <c r="H76" s="133">
        <f t="shared" si="0"/>
        <v>50000</v>
      </c>
      <c r="I76" s="133">
        <f t="shared" si="1"/>
        <v>235560</v>
      </c>
      <c r="J76" s="142">
        <f t="shared" si="3"/>
        <v>345.04581083375786</v>
      </c>
      <c r="K76" s="139"/>
    </row>
    <row r="77" spans="1:11">
      <c r="A77" s="9">
        <v>65</v>
      </c>
      <c r="B77" s="1" t="s">
        <v>484</v>
      </c>
      <c r="C77" s="9">
        <v>653</v>
      </c>
      <c r="D77" s="1" t="s">
        <v>123</v>
      </c>
      <c r="E77" s="336">
        <v>52.919999999999959</v>
      </c>
      <c r="F77" s="336">
        <v>0</v>
      </c>
      <c r="G77" s="336">
        <f t="shared" si="2"/>
        <v>0</v>
      </c>
      <c r="H77" s="133">
        <f t="shared" ref="H77:H135" si="4">IF(G77&gt;50000,50000,G77)</f>
        <v>0</v>
      </c>
      <c r="I77" s="133">
        <f t="shared" ref="I77:I135" si="5">+G77*3</f>
        <v>0</v>
      </c>
      <c r="J77" s="142">
        <v>0</v>
      </c>
      <c r="K77" s="139"/>
    </row>
    <row r="78" spans="1:11">
      <c r="A78" s="9">
        <v>66</v>
      </c>
      <c r="B78" s="1" t="s">
        <v>485</v>
      </c>
      <c r="C78" s="9">
        <v>656</v>
      </c>
      <c r="D78" s="1"/>
      <c r="E78" s="336">
        <v>512.42000000000007</v>
      </c>
      <c r="F78" s="336">
        <v>46.27</v>
      </c>
      <c r="G78" s="336">
        <f t="shared" ref="G78:G141" si="6">F78*2080</f>
        <v>96241.600000000006</v>
      </c>
      <c r="H78" s="133">
        <f t="shared" si="4"/>
        <v>50000</v>
      </c>
      <c r="I78" s="133">
        <f t="shared" si="5"/>
        <v>288724.80000000005</v>
      </c>
      <c r="J78" s="142">
        <f t="shared" ref="J78:J134" si="7">((I78-H78)/I78)*E78</f>
        <v>423.68151962006732</v>
      </c>
      <c r="K78" s="139"/>
    </row>
    <row r="79" spans="1:11">
      <c r="A79" s="9">
        <v>67</v>
      </c>
      <c r="B79" s="1" t="s">
        <v>486</v>
      </c>
      <c r="C79" s="9">
        <v>657</v>
      </c>
      <c r="D79" s="1"/>
      <c r="E79" s="336">
        <v>438.02</v>
      </c>
      <c r="F79" s="336">
        <v>37.75</v>
      </c>
      <c r="G79" s="336">
        <f t="shared" si="6"/>
        <v>78520</v>
      </c>
      <c r="H79" s="133">
        <f t="shared" si="4"/>
        <v>50000</v>
      </c>
      <c r="I79" s="133">
        <f t="shared" si="5"/>
        <v>235560</v>
      </c>
      <c r="J79" s="142">
        <f t="shared" si="7"/>
        <v>345.04581083375786</v>
      </c>
      <c r="K79" s="139"/>
    </row>
    <row r="80" spans="1:11">
      <c r="A80" s="9">
        <v>68</v>
      </c>
      <c r="B80" s="1" t="s">
        <v>487</v>
      </c>
      <c r="C80" s="9">
        <v>660</v>
      </c>
      <c r="D80" s="1"/>
      <c r="E80" s="336">
        <v>308.14</v>
      </c>
      <c r="F80" s="336">
        <v>28.37</v>
      </c>
      <c r="G80" s="336">
        <f t="shared" si="6"/>
        <v>59009.599999999999</v>
      </c>
      <c r="H80" s="133">
        <f t="shared" si="4"/>
        <v>50000</v>
      </c>
      <c r="I80" s="133">
        <f t="shared" si="5"/>
        <v>177028.8</v>
      </c>
      <c r="J80" s="142">
        <f t="shared" si="7"/>
        <v>221.10896324213911</v>
      </c>
      <c r="K80" s="139"/>
    </row>
    <row r="81" spans="1:11">
      <c r="A81" s="9">
        <v>69</v>
      </c>
      <c r="B81" s="1" t="s">
        <v>488</v>
      </c>
      <c r="C81" s="9">
        <v>661</v>
      </c>
      <c r="D81" s="1" t="s">
        <v>123</v>
      </c>
      <c r="E81" s="336">
        <v>300.58000000000004</v>
      </c>
      <c r="F81" s="336">
        <v>0</v>
      </c>
      <c r="G81" s="336">
        <f t="shared" si="6"/>
        <v>0</v>
      </c>
      <c r="H81" s="133">
        <f t="shared" si="4"/>
        <v>0</v>
      </c>
      <c r="I81" s="133">
        <f t="shared" si="5"/>
        <v>0</v>
      </c>
      <c r="J81" s="142">
        <v>0</v>
      </c>
      <c r="K81" s="139"/>
    </row>
    <row r="82" spans="1:11">
      <c r="A82" s="9">
        <v>70</v>
      </c>
      <c r="B82" s="1" t="s">
        <v>489</v>
      </c>
      <c r="C82" s="9">
        <v>662</v>
      </c>
      <c r="D82" s="1"/>
      <c r="E82" s="336">
        <v>309.39999999999998</v>
      </c>
      <c r="F82" s="336">
        <v>35.29</v>
      </c>
      <c r="G82" s="336">
        <f t="shared" si="6"/>
        <v>73403.199999999997</v>
      </c>
      <c r="H82" s="133">
        <f t="shared" si="4"/>
        <v>50000</v>
      </c>
      <c r="I82" s="133">
        <f t="shared" si="5"/>
        <v>220209.59999999998</v>
      </c>
      <c r="J82" s="142">
        <f t="shared" si="7"/>
        <v>239.14874846509869</v>
      </c>
      <c r="K82" s="139"/>
    </row>
    <row r="83" spans="1:11">
      <c r="A83" s="9">
        <v>71</v>
      </c>
      <c r="B83" s="1" t="s">
        <v>490</v>
      </c>
      <c r="C83" s="9">
        <v>664</v>
      </c>
      <c r="D83" s="1"/>
      <c r="E83" s="336">
        <v>438.02</v>
      </c>
      <c r="F83" s="336">
        <v>37.75</v>
      </c>
      <c r="G83" s="336">
        <f t="shared" si="6"/>
        <v>78520</v>
      </c>
      <c r="H83" s="133">
        <f t="shared" si="4"/>
        <v>50000</v>
      </c>
      <c r="I83" s="133">
        <f t="shared" si="5"/>
        <v>235560</v>
      </c>
      <c r="J83" s="142">
        <f t="shared" si="7"/>
        <v>345.04581083375786</v>
      </c>
      <c r="K83" s="139"/>
    </row>
    <row r="84" spans="1:11">
      <c r="A84" s="9">
        <v>72</v>
      </c>
      <c r="B84" s="1" t="s">
        <v>491</v>
      </c>
      <c r="C84" s="9">
        <v>665</v>
      </c>
      <c r="D84" s="1"/>
      <c r="E84" s="336">
        <v>300.58000000000004</v>
      </c>
      <c r="F84" s="336">
        <v>25.74</v>
      </c>
      <c r="G84" s="336">
        <f t="shared" si="6"/>
        <v>53539.199999999997</v>
      </c>
      <c r="H84" s="133">
        <f t="shared" si="4"/>
        <v>50000</v>
      </c>
      <c r="I84" s="133">
        <f t="shared" si="5"/>
        <v>160617.59999999998</v>
      </c>
      <c r="J84" s="142">
        <f t="shared" si="7"/>
        <v>207.00993046839204</v>
      </c>
      <c r="K84" s="139"/>
    </row>
    <row r="85" spans="1:11">
      <c r="A85" s="9">
        <v>73</v>
      </c>
      <c r="B85" s="1" t="s">
        <v>492</v>
      </c>
      <c r="C85" s="9">
        <v>667</v>
      </c>
      <c r="D85" s="1"/>
      <c r="E85" s="336">
        <v>540.24</v>
      </c>
      <c r="F85" s="336">
        <v>48.42</v>
      </c>
      <c r="G85" s="336">
        <f t="shared" si="6"/>
        <v>100713.60000000001</v>
      </c>
      <c r="H85" s="133">
        <f t="shared" si="4"/>
        <v>50000</v>
      </c>
      <c r="I85" s="133">
        <f t="shared" si="5"/>
        <v>302140.80000000005</v>
      </c>
      <c r="J85" s="142">
        <f t="shared" si="7"/>
        <v>450.83797286563089</v>
      </c>
      <c r="K85" s="139"/>
    </row>
    <row r="86" spans="1:11">
      <c r="A86" s="9">
        <v>74</v>
      </c>
      <c r="B86" s="1" t="s">
        <v>493</v>
      </c>
      <c r="C86" s="9">
        <v>671</v>
      </c>
      <c r="D86" s="1"/>
      <c r="E86" s="336">
        <v>512.42000000000007</v>
      </c>
      <c r="F86" s="336">
        <v>46.27</v>
      </c>
      <c r="G86" s="336">
        <f t="shared" si="6"/>
        <v>96241.600000000006</v>
      </c>
      <c r="H86" s="133">
        <f t="shared" si="4"/>
        <v>50000</v>
      </c>
      <c r="I86" s="133">
        <f t="shared" si="5"/>
        <v>288724.80000000005</v>
      </c>
      <c r="J86" s="142">
        <f t="shared" si="7"/>
        <v>423.68151962006732</v>
      </c>
      <c r="K86" s="139"/>
    </row>
    <row r="87" spans="1:11">
      <c r="A87" s="9">
        <v>75</v>
      </c>
      <c r="B87" s="1" t="s">
        <v>494</v>
      </c>
      <c r="C87" s="9">
        <v>677</v>
      </c>
      <c r="D87" s="1"/>
      <c r="E87" s="336">
        <v>435.96000000000004</v>
      </c>
      <c r="F87" s="336">
        <v>41.02</v>
      </c>
      <c r="G87" s="336">
        <f t="shared" si="6"/>
        <v>85321.600000000006</v>
      </c>
      <c r="H87" s="133">
        <f t="shared" si="4"/>
        <v>50000</v>
      </c>
      <c r="I87" s="133">
        <f t="shared" si="5"/>
        <v>255964.80000000002</v>
      </c>
      <c r="J87" s="142">
        <f t="shared" si="7"/>
        <v>350.79985297978476</v>
      </c>
      <c r="K87" s="139"/>
    </row>
    <row r="88" spans="1:11">
      <c r="A88" s="9">
        <v>76</v>
      </c>
      <c r="B88" s="1" t="s">
        <v>495</v>
      </c>
      <c r="C88" s="9">
        <v>678</v>
      </c>
      <c r="D88" s="1"/>
      <c r="E88" s="336">
        <v>300.58000000000004</v>
      </c>
      <c r="F88" s="336">
        <v>25.74</v>
      </c>
      <c r="G88" s="336">
        <f t="shared" si="6"/>
        <v>53539.199999999997</v>
      </c>
      <c r="H88" s="133">
        <f t="shared" si="4"/>
        <v>50000</v>
      </c>
      <c r="I88" s="133">
        <f t="shared" si="5"/>
        <v>160617.59999999998</v>
      </c>
      <c r="J88" s="142">
        <f t="shared" si="7"/>
        <v>207.00993046839204</v>
      </c>
      <c r="K88" s="139"/>
    </row>
    <row r="89" spans="1:11">
      <c r="A89" s="9">
        <v>77</v>
      </c>
      <c r="B89" s="1" t="s">
        <v>496</v>
      </c>
      <c r="C89" s="9">
        <v>679</v>
      </c>
      <c r="D89" s="1"/>
      <c r="E89" s="336">
        <v>438.02</v>
      </c>
      <c r="F89" s="336">
        <v>37.75</v>
      </c>
      <c r="G89" s="336">
        <f t="shared" si="6"/>
        <v>78520</v>
      </c>
      <c r="H89" s="133">
        <f t="shared" si="4"/>
        <v>50000</v>
      </c>
      <c r="I89" s="133">
        <f t="shared" si="5"/>
        <v>235560</v>
      </c>
      <c r="J89" s="142">
        <f t="shared" si="7"/>
        <v>345.04581083375786</v>
      </c>
      <c r="K89" s="139"/>
    </row>
    <row r="90" spans="1:11">
      <c r="A90" s="9">
        <v>78</v>
      </c>
      <c r="B90" s="1" t="s">
        <v>497</v>
      </c>
      <c r="C90" s="9">
        <v>681</v>
      </c>
      <c r="D90" s="1"/>
      <c r="E90" s="336">
        <v>300.58000000000004</v>
      </c>
      <c r="F90" s="336">
        <v>27.03</v>
      </c>
      <c r="G90" s="336">
        <f t="shared" si="6"/>
        <v>56222.400000000001</v>
      </c>
      <c r="H90" s="133">
        <f t="shared" si="4"/>
        <v>50000</v>
      </c>
      <c r="I90" s="133">
        <f t="shared" si="5"/>
        <v>168667.2</v>
      </c>
      <c r="J90" s="142">
        <f t="shared" si="7"/>
        <v>211.47553867023348</v>
      </c>
      <c r="K90" s="139"/>
    </row>
    <row r="91" spans="1:11">
      <c r="A91" s="9">
        <v>79</v>
      </c>
      <c r="B91" s="1" t="s">
        <v>498</v>
      </c>
      <c r="C91" s="9">
        <v>682</v>
      </c>
      <c r="D91" s="1"/>
      <c r="E91" s="336">
        <v>290.15999999999997</v>
      </c>
      <c r="F91" s="336">
        <v>25.74</v>
      </c>
      <c r="G91" s="336">
        <f t="shared" si="6"/>
        <v>53539.199999999997</v>
      </c>
      <c r="H91" s="133">
        <f t="shared" si="4"/>
        <v>50000</v>
      </c>
      <c r="I91" s="133">
        <f t="shared" si="5"/>
        <v>160617.59999999998</v>
      </c>
      <c r="J91" s="142">
        <f t="shared" si="7"/>
        <v>199.83365967365964</v>
      </c>
      <c r="K91" s="139"/>
    </row>
    <row r="92" spans="1:11">
      <c r="A92" s="9">
        <v>80</v>
      </c>
      <c r="B92" s="1" t="s">
        <v>499</v>
      </c>
      <c r="C92" s="9">
        <v>684</v>
      </c>
      <c r="D92" s="1"/>
      <c r="E92" s="336">
        <v>432.53</v>
      </c>
      <c r="F92" s="336">
        <v>38.799999999999997</v>
      </c>
      <c r="G92" s="336">
        <f t="shared" si="6"/>
        <v>80704</v>
      </c>
      <c r="H92" s="133">
        <f t="shared" si="4"/>
        <v>50000</v>
      </c>
      <c r="I92" s="133">
        <f t="shared" si="5"/>
        <v>242112</v>
      </c>
      <c r="J92" s="142">
        <f t="shared" si="7"/>
        <v>343.20563772138513</v>
      </c>
      <c r="K92" s="139"/>
    </row>
    <row r="93" spans="1:11">
      <c r="A93" s="9">
        <v>81</v>
      </c>
      <c r="B93" s="1" t="s">
        <v>500</v>
      </c>
      <c r="C93" s="9">
        <v>685</v>
      </c>
      <c r="D93" s="1" t="s">
        <v>123</v>
      </c>
      <c r="E93" s="336">
        <v>31.72</v>
      </c>
      <c r="F93" s="336">
        <v>0</v>
      </c>
      <c r="G93" s="336">
        <f t="shared" si="6"/>
        <v>0</v>
      </c>
      <c r="H93" s="133">
        <f t="shared" si="4"/>
        <v>0</v>
      </c>
      <c r="I93" s="133">
        <f t="shared" si="5"/>
        <v>0</v>
      </c>
      <c r="J93" s="142">
        <v>0</v>
      </c>
      <c r="K93" s="139"/>
    </row>
    <row r="94" spans="1:11">
      <c r="A94" s="9">
        <v>82</v>
      </c>
      <c r="B94" s="1" t="s">
        <v>501</v>
      </c>
      <c r="C94" s="9">
        <v>686</v>
      </c>
      <c r="D94" s="1"/>
      <c r="E94" s="336">
        <v>359.65999999999997</v>
      </c>
      <c r="F94" s="336">
        <v>35.49</v>
      </c>
      <c r="G94" s="336">
        <f t="shared" si="6"/>
        <v>73819.199999999997</v>
      </c>
      <c r="H94" s="133">
        <f t="shared" si="4"/>
        <v>50000</v>
      </c>
      <c r="I94" s="133">
        <f t="shared" si="5"/>
        <v>221457.59999999998</v>
      </c>
      <c r="J94" s="142">
        <f t="shared" si="7"/>
        <v>278.45709705153484</v>
      </c>
      <c r="K94" s="139"/>
    </row>
    <row r="95" spans="1:11">
      <c r="A95" s="9">
        <v>83</v>
      </c>
      <c r="B95" s="1" t="s">
        <v>502</v>
      </c>
      <c r="C95" s="9">
        <v>689</v>
      </c>
      <c r="D95" s="1"/>
      <c r="E95" s="336">
        <v>540.12</v>
      </c>
      <c r="F95" s="336">
        <v>48.42</v>
      </c>
      <c r="G95" s="336">
        <f t="shared" si="6"/>
        <v>100713.60000000001</v>
      </c>
      <c r="H95" s="133">
        <f t="shared" si="4"/>
        <v>50000</v>
      </c>
      <c r="I95" s="133">
        <f t="shared" si="5"/>
        <v>302140.80000000005</v>
      </c>
      <c r="J95" s="142">
        <f t="shared" si="7"/>
        <v>450.73783115686467</v>
      </c>
      <c r="K95" s="139"/>
    </row>
    <row r="96" spans="1:11">
      <c r="A96" s="9">
        <v>84</v>
      </c>
      <c r="B96" s="1" t="s">
        <v>503</v>
      </c>
      <c r="C96" s="9">
        <v>690</v>
      </c>
      <c r="D96" s="1"/>
      <c r="E96" s="336">
        <v>512.42000000000007</v>
      </c>
      <c r="F96" s="336">
        <v>46.27</v>
      </c>
      <c r="G96" s="336">
        <f t="shared" si="6"/>
        <v>96241.600000000006</v>
      </c>
      <c r="H96" s="133">
        <f t="shared" si="4"/>
        <v>50000</v>
      </c>
      <c r="I96" s="133">
        <f t="shared" si="5"/>
        <v>288724.80000000005</v>
      </c>
      <c r="J96" s="142">
        <f t="shared" si="7"/>
        <v>423.68151962006732</v>
      </c>
      <c r="K96" s="139"/>
    </row>
    <row r="97" spans="1:11">
      <c r="A97" s="9">
        <v>85</v>
      </c>
      <c r="B97" s="1" t="s">
        <v>504</v>
      </c>
      <c r="C97" s="9">
        <v>691</v>
      </c>
      <c r="D97" s="1"/>
      <c r="E97" s="336">
        <v>413.72</v>
      </c>
      <c r="F97" s="336">
        <v>36.869999999999997</v>
      </c>
      <c r="G97" s="336">
        <f t="shared" si="6"/>
        <v>76689.599999999991</v>
      </c>
      <c r="H97" s="133">
        <f t="shared" si="4"/>
        <v>50000</v>
      </c>
      <c r="I97" s="133">
        <f t="shared" si="5"/>
        <v>230068.8</v>
      </c>
      <c r="J97" s="142">
        <f t="shared" si="7"/>
        <v>323.80776505114994</v>
      </c>
      <c r="K97" s="139"/>
    </row>
    <row r="98" spans="1:11">
      <c r="A98" s="9">
        <v>86</v>
      </c>
      <c r="B98" s="1" t="s">
        <v>505</v>
      </c>
      <c r="C98" s="9">
        <v>693</v>
      </c>
      <c r="D98" s="1"/>
      <c r="E98" s="336">
        <v>540.24</v>
      </c>
      <c r="F98" s="336">
        <v>48.42</v>
      </c>
      <c r="G98" s="336">
        <f t="shared" si="6"/>
        <v>100713.60000000001</v>
      </c>
      <c r="H98" s="133">
        <f t="shared" si="4"/>
        <v>50000</v>
      </c>
      <c r="I98" s="133">
        <f t="shared" si="5"/>
        <v>302140.80000000005</v>
      </c>
      <c r="J98" s="142">
        <f t="shared" si="7"/>
        <v>450.83797286563089</v>
      </c>
      <c r="K98" s="139"/>
    </row>
    <row r="99" spans="1:11">
      <c r="A99" s="9">
        <v>87</v>
      </c>
      <c r="B99" s="1" t="s">
        <v>506</v>
      </c>
      <c r="C99" s="9">
        <v>694</v>
      </c>
      <c r="D99" s="1" t="s">
        <v>123</v>
      </c>
      <c r="E99" s="336">
        <v>83.32</v>
      </c>
      <c r="F99" s="336">
        <v>0</v>
      </c>
      <c r="G99" s="336">
        <f t="shared" si="6"/>
        <v>0</v>
      </c>
      <c r="H99" s="133">
        <f t="shared" si="4"/>
        <v>0</v>
      </c>
      <c r="I99" s="133">
        <f t="shared" si="5"/>
        <v>0</v>
      </c>
      <c r="J99" s="142">
        <v>0</v>
      </c>
      <c r="K99" s="139"/>
    </row>
    <row r="100" spans="1:11">
      <c r="A100" s="9">
        <v>88</v>
      </c>
      <c r="B100" s="1" t="s">
        <v>507</v>
      </c>
      <c r="C100" s="9">
        <v>695</v>
      </c>
      <c r="D100" s="1"/>
      <c r="E100" s="336">
        <v>512.42000000000007</v>
      </c>
      <c r="F100" s="336">
        <v>46.27</v>
      </c>
      <c r="G100" s="336">
        <f t="shared" si="6"/>
        <v>96241.600000000006</v>
      </c>
      <c r="H100" s="133">
        <f t="shared" si="4"/>
        <v>50000</v>
      </c>
      <c r="I100" s="133">
        <f t="shared" si="5"/>
        <v>288724.80000000005</v>
      </c>
      <c r="J100" s="142">
        <f t="shared" si="7"/>
        <v>423.68151962006732</v>
      </c>
      <c r="K100" s="139"/>
    </row>
    <row r="101" spans="1:11">
      <c r="A101" s="9">
        <v>89</v>
      </c>
      <c r="B101" s="1" t="s">
        <v>508</v>
      </c>
      <c r="C101" s="9">
        <v>696</v>
      </c>
      <c r="D101" s="1"/>
      <c r="E101" s="336">
        <v>512.42000000000007</v>
      </c>
      <c r="F101" s="336">
        <v>46.27</v>
      </c>
      <c r="G101" s="336">
        <f t="shared" si="6"/>
        <v>96241.600000000006</v>
      </c>
      <c r="H101" s="133">
        <f t="shared" si="4"/>
        <v>50000</v>
      </c>
      <c r="I101" s="133">
        <f t="shared" si="5"/>
        <v>288724.80000000005</v>
      </c>
      <c r="J101" s="142">
        <f t="shared" si="7"/>
        <v>423.68151962006732</v>
      </c>
      <c r="K101" s="139"/>
    </row>
    <row r="102" spans="1:11">
      <c r="A102" s="9">
        <v>90</v>
      </c>
      <c r="B102" s="1" t="s">
        <v>509</v>
      </c>
      <c r="C102" s="9">
        <v>697</v>
      </c>
      <c r="D102" s="1"/>
      <c r="E102" s="336">
        <v>518.22</v>
      </c>
      <c r="F102" s="336">
        <v>48.42</v>
      </c>
      <c r="G102" s="336">
        <f t="shared" si="6"/>
        <v>100713.60000000001</v>
      </c>
      <c r="H102" s="133">
        <f t="shared" si="4"/>
        <v>50000</v>
      </c>
      <c r="I102" s="133">
        <f t="shared" si="5"/>
        <v>302140.80000000005</v>
      </c>
      <c r="J102" s="142">
        <f t="shared" si="7"/>
        <v>432.46196930702513</v>
      </c>
      <c r="K102" s="139"/>
    </row>
    <row r="103" spans="1:11">
      <c r="A103" s="9">
        <v>91</v>
      </c>
      <c r="B103" s="1" t="s">
        <v>510</v>
      </c>
      <c r="C103" s="9">
        <v>699</v>
      </c>
      <c r="D103" s="1"/>
      <c r="E103" s="336">
        <v>512.42000000000007</v>
      </c>
      <c r="F103" s="336">
        <v>48.42</v>
      </c>
      <c r="G103" s="336">
        <f t="shared" si="6"/>
        <v>100713.60000000001</v>
      </c>
      <c r="H103" s="133">
        <f t="shared" si="4"/>
        <v>50000</v>
      </c>
      <c r="I103" s="133">
        <f t="shared" si="5"/>
        <v>302140.80000000005</v>
      </c>
      <c r="J103" s="142">
        <f t="shared" si="7"/>
        <v>427.62178671665669</v>
      </c>
      <c r="K103" s="139"/>
    </row>
    <row r="104" spans="1:11">
      <c r="A104" s="9">
        <v>92</v>
      </c>
      <c r="B104" s="1" t="s">
        <v>511</v>
      </c>
      <c r="C104" s="9">
        <v>700</v>
      </c>
      <c r="D104" s="1"/>
      <c r="E104" s="336">
        <v>403.17999999999995</v>
      </c>
      <c r="F104" s="336">
        <v>34.49</v>
      </c>
      <c r="G104" s="336">
        <f t="shared" si="6"/>
        <v>71739.199999999997</v>
      </c>
      <c r="H104" s="133">
        <f t="shared" si="4"/>
        <v>50000</v>
      </c>
      <c r="I104" s="133">
        <f t="shared" si="5"/>
        <v>215217.59999999998</v>
      </c>
      <c r="J104" s="142">
        <f t="shared" si="7"/>
        <v>309.5120100214852</v>
      </c>
      <c r="K104" s="139"/>
    </row>
    <row r="105" spans="1:11">
      <c r="A105" s="9">
        <v>93</v>
      </c>
      <c r="B105" s="1" t="s">
        <v>512</v>
      </c>
      <c r="C105" s="9">
        <v>701</v>
      </c>
      <c r="D105" s="1"/>
      <c r="E105" s="336">
        <v>300.58000000000004</v>
      </c>
      <c r="F105" s="336">
        <v>25.74</v>
      </c>
      <c r="G105" s="336">
        <f t="shared" si="6"/>
        <v>53539.199999999997</v>
      </c>
      <c r="H105" s="133">
        <f t="shared" si="4"/>
        <v>50000</v>
      </c>
      <c r="I105" s="133">
        <f t="shared" si="5"/>
        <v>160617.59999999998</v>
      </c>
      <c r="J105" s="142">
        <f t="shared" si="7"/>
        <v>207.00993046839204</v>
      </c>
      <c r="K105" s="139"/>
    </row>
    <row r="106" spans="1:11">
      <c r="A106" s="9">
        <v>94</v>
      </c>
      <c r="B106" s="1" t="s">
        <v>513</v>
      </c>
      <c r="C106" s="9">
        <v>705</v>
      </c>
      <c r="D106" s="1"/>
      <c r="E106" s="336">
        <v>403.38</v>
      </c>
      <c r="F106" s="336">
        <v>41.9</v>
      </c>
      <c r="G106" s="336">
        <f t="shared" si="6"/>
        <v>87152</v>
      </c>
      <c r="H106" s="133">
        <f t="shared" si="4"/>
        <v>50000</v>
      </c>
      <c r="I106" s="133">
        <f t="shared" si="5"/>
        <v>261456</v>
      </c>
      <c r="J106" s="142">
        <f t="shared" si="7"/>
        <v>326.23891316320908</v>
      </c>
      <c r="K106" s="139"/>
    </row>
    <row r="107" spans="1:11">
      <c r="A107" s="9">
        <v>95</v>
      </c>
      <c r="B107" s="1" t="s">
        <v>514</v>
      </c>
      <c r="C107" s="9">
        <v>706</v>
      </c>
      <c r="D107" s="1"/>
      <c r="E107" s="336">
        <v>498.21</v>
      </c>
      <c r="F107" s="336">
        <v>46.27</v>
      </c>
      <c r="G107" s="336">
        <f t="shared" si="6"/>
        <v>96241.600000000006</v>
      </c>
      <c r="H107" s="133">
        <f t="shared" si="4"/>
        <v>50000</v>
      </c>
      <c r="I107" s="133">
        <f t="shared" si="5"/>
        <v>288724.80000000005</v>
      </c>
      <c r="J107" s="142">
        <f t="shared" si="7"/>
        <v>411.93234044321787</v>
      </c>
      <c r="K107" s="139"/>
    </row>
    <row r="108" spans="1:11">
      <c r="A108" s="9">
        <v>96</v>
      </c>
      <c r="B108" s="1" t="s">
        <v>515</v>
      </c>
      <c r="C108" s="9">
        <v>707</v>
      </c>
      <c r="D108" s="1"/>
      <c r="E108" s="336">
        <v>504.35999999999996</v>
      </c>
      <c r="F108" s="336">
        <v>46.27</v>
      </c>
      <c r="G108" s="336">
        <f t="shared" si="6"/>
        <v>96241.600000000006</v>
      </c>
      <c r="H108" s="133">
        <f t="shared" si="4"/>
        <v>50000</v>
      </c>
      <c r="I108" s="133">
        <f t="shared" si="5"/>
        <v>288724.80000000005</v>
      </c>
      <c r="J108" s="142">
        <f t="shared" si="7"/>
        <v>417.01731243038347</v>
      </c>
      <c r="K108" s="139"/>
    </row>
    <row r="109" spans="1:11">
      <c r="A109" s="9">
        <v>97</v>
      </c>
      <c r="B109" s="1" t="s">
        <v>516</v>
      </c>
      <c r="C109" s="9">
        <v>711</v>
      </c>
      <c r="D109" s="1"/>
      <c r="E109" s="336">
        <v>514.46</v>
      </c>
      <c r="F109" s="336">
        <v>48.42</v>
      </c>
      <c r="G109" s="336">
        <f t="shared" si="6"/>
        <v>100713.60000000001</v>
      </c>
      <c r="H109" s="133">
        <f t="shared" si="4"/>
        <v>50000</v>
      </c>
      <c r="I109" s="133">
        <f t="shared" si="5"/>
        <v>302140.80000000005</v>
      </c>
      <c r="J109" s="142">
        <f t="shared" si="7"/>
        <v>429.32419576568282</v>
      </c>
      <c r="K109" s="139"/>
    </row>
    <row r="110" spans="1:11">
      <c r="A110" s="9">
        <v>98</v>
      </c>
      <c r="B110" s="1" t="s">
        <v>517</v>
      </c>
      <c r="C110" s="9">
        <v>712</v>
      </c>
      <c r="D110" s="1"/>
      <c r="E110" s="336">
        <v>300.58000000000004</v>
      </c>
      <c r="F110" s="336">
        <v>25.74</v>
      </c>
      <c r="G110" s="336">
        <f t="shared" si="6"/>
        <v>53539.199999999997</v>
      </c>
      <c r="H110" s="133">
        <f t="shared" si="4"/>
        <v>50000</v>
      </c>
      <c r="I110" s="133">
        <f t="shared" si="5"/>
        <v>160617.59999999998</v>
      </c>
      <c r="J110" s="142">
        <f t="shared" si="7"/>
        <v>207.00993046839204</v>
      </c>
      <c r="K110" s="139"/>
    </row>
    <row r="111" spans="1:11">
      <c r="A111" s="9">
        <v>99</v>
      </c>
      <c r="B111" s="1" t="s">
        <v>518</v>
      </c>
      <c r="C111" s="9">
        <v>714</v>
      </c>
      <c r="D111" s="1" t="s">
        <v>123</v>
      </c>
      <c r="E111" s="336">
        <v>530.79</v>
      </c>
      <c r="F111" s="336">
        <v>0</v>
      </c>
      <c r="G111" s="336">
        <f t="shared" si="6"/>
        <v>0</v>
      </c>
      <c r="H111" s="133">
        <f t="shared" si="4"/>
        <v>0</v>
      </c>
      <c r="I111" s="133">
        <f t="shared" si="5"/>
        <v>0</v>
      </c>
      <c r="J111" s="142">
        <v>0</v>
      </c>
      <c r="K111" s="139"/>
    </row>
    <row r="112" spans="1:11">
      <c r="A112" s="9">
        <v>100</v>
      </c>
      <c r="B112" s="1" t="s">
        <v>519</v>
      </c>
      <c r="C112" s="9">
        <v>715</v>
      </c>
      <c r="D112" s="1"/>
      <c r="E112" s="336">
        <v>300.58000000000004</v>
      </c>
      <c r="F112" s="336">
        <v>25.74</v>
      </c>
      <c r="G112" s="336">
        <f t="shared" si="6"/>
        <v>53539.199999999997</v>
      </c>
      <c r="H112" s="133">
        <f t="shared" si="4"/>
        <v>50000</v>
      </c>
      <c r="I112" s="133">
        <f t="shared" si="5"/>
        <v>160617.59999999998</v>
      </c>
      <c r="J112" s="142">
        <f t="shared" si="7"/>
        <v>207.00993046839204</v>
      </c>
      <c r="K112" s="139"/>
    </row>
    <row r="113" spans="1:11">
      <c r="A113" s="9">
        <v>101</v>
      </c>
      <c r="B113" s="1" t="s">
        <v>520</v>
      </c>
      <c r="C113" s="9">
        <v>718</v>
      </c>
      <c r="D113" s="1"/>
      <c r="E113" s="336">
        <v>361.88</v>
      </c>
      <c r="F113" s="336">
        <v>36.86</v>
      </c>
      <c r="G113" s="336">
        <f t="shared" si="6"/>
        <v>76668.800000000003</v>
      </c>
      <c r="H113" s="133">
        <f t="shared" si="4"/>
        <v>50000</v>
      </c>
      <c r="I113" s="133">
        <f t="shared" si="5"/>
        <v>230006.40000000002</v>
      </c>
      <c r="J113" s="142">
        <f t="shared" si="7"/>
        <v>283.2126237878598</v>
      </c>
      <c r="K113" s="139"/>
    </row>
    <row r="114" spans="1:11">
      <c r="A114" s="9">
        <v>102</v>
      </c>
      <c r="B114" s="1" t="s">
        <v>521</v>
      </c>
      <c r="C114" s="9">
        <v>719</v>
      </c>
      <c r="D114" s="1" t="s">
        <v>123</v>
      </c>
      <c r="E114" s="336">
        <v>192.17</v>
      </c>
      <c r="F114" s="336">
        <v>0</v>
      </c>
      <c r="G114" s="336">
        <f t="shared" si="6"/>
        <v>0</v>
      </c>
      <c r="H114" s="133">
        <f t="shared" si="4"/>
        <v>0</v>
      </c>
      <c r="I114" s="133">
        <f t="shared" si="5"/>
        <v>0</v>
      </c>
      <c r="J114" s="142">
        <v>0</v>
      </c>
      <c r="K114" s="139"/>
    </row>
    <row r="115" spans="1:11">
      <c r="A115" s="9">
        <v>103</v>
      </c>
      <c r="B115" s="1" t="s">
        <v>522</v>
      </c>
      <c r="C115" s="9">
        <v>720</v>
      </c>
      <c r="D115" s="1" t="s">
        <v>123</v>
      </c>
      <c r="E115" s="336">
        <v>243.60999999999999</v>
      </c>
      <c r="F115" s="336">
        <v>0</v>
      </c>
      <c r="G115" s="336">
        <f t="shared" si="6"/>
        <v>0</v>
      </c>
      <c r="H115" s="133">
        <f t="shared" si="4"/>
        <v>0</v>
      </c>
      <c r="I115" s="133">
        <f t="shared" si="5"/>
        <v>0</v>
      </c>
      <c r="J115" s="142">
        <v>0</v>
      </c>
      <c r="K115" s="139"/>
    </row>
    <row r="116" spans="1:11">
      <c r="A116" s="9">
        <v>104</v>
      </c>
      <c r="B116" s="1" t="s">
        <v>523</v>
      </c>
      <c r="C116" s="9">
        <v>721</v>
      </c>
      <c r="D116" s="1"/>
      <c r="E116" s="336">
        <v>373.59999999999997</v>
      </c>
      <c r="F116" s="336">
        <v>36.86</v>
      </c>
      <c r="G116" s="336">
        <f t="shared" si="6"/>
        <v>76668.800000000003</v>
      </c>
      <c r="H116" s="133">
        <f t="shared" si="4"/>
        <v>50000</v>
      </c>
      <c r="I116" s="133">
        <f t="shared" si="5"/>
        <v>230006.40000000002</v>
      </c>
      <c r="J116" s="142">
        <f t="shared" si="7"/>
        <v>292.38486859496078</v>
      </c>
      <c r="K116" s="139"/>
    </row>
    <row r="117" spans="1:11">
      <c r="A117" s="9">
        <v>105</v>
      </c>
      <c r="B117" s="1" t="s">
        <v>524</v>
      </c>
      <c r="C117" s="9">
        <v>722</v>
      </c>
      <c r="D117" s="1"/>
      <c r="E117" s="336">
        <v>426.96</v>
      </c>
      <c r="F117" s="336">
        <v>44.11</v>
      </c>
      <c r="G117" s="336">
        <f t="shared" si="6"/>
        <v>91748.800000000003</v>
      </c>
      <c r="H117" s="133">
        <f t="shared" si="4"/>
        <v>50000</v>
      </c>
      <c r="I117" s="133">
        <f t="shared" si="5"/>
        <v>275246.40000000002</v>
      </c>
      <c r="J117" s="142">
        <f t="shared" si="7"/>
        <v>349.40040249027777</v>
      </c>
      <c r="K117" s="139"/>
    </row>
    <row r="118" spans="1:11">
      <c r="A118" s="9">
        <v>106</v>
      </c>
      <c r="B118" s="1" t="s">
        <v>525</v>
      </c>
      <c r="C118" s="9">
        <v>723</v>
      </c>
      <c r="D118" s="1"/>
      <c r="E118" s="336">
        <v>512.42000000000007</v>
      </c>
      <c r="F118" s="336">
        <v>46.27</v>
      </c>
      <c r="G118" s="336">
        <f t="shared" si="6"/>
        <v>96241.600000000006</v>
      </c>
      <c r="H118" s="133">
        <f t="shared" si="4"/>
        <v>50000</v>
      </c>
      <c r="I118" s="133">
        <f t="shared" si="5"/>
        <v>288724.80000000005</v>
      </c>
      <c r="J118" s="142">
        <f t="shared" si="7"/>
        <v>423.68151962006732</v>
      </c>
      <c r="K118" s="139"/>
    </row>
    <row r="119" spans="1:11">
      <c r="A119" s="9">
        <v>107</v>
      </c>
      <c r="B119" s="1" t="s">
        <v>526</v>
      </c>
      <c r="C119" s="9">
        <v>724</v>
      </c>
      <c r="D119" s="1"/>
      <c r="E119" s="336">
        <v>300.58000000000004</v>
      </c>
      <c r="F119" s="336">
        <v>25.74</v>
      </c>
      <c r="G119" s="336">
        <f t="shared" si="6"/>
        <v>53539.199999999997</v>
      </c>
      <c r="H119" s="133">
        <f t="shared" si="4"/>
        <v>50000</v>
      </c>
      <c r="I119" s="133">
        <f t="shared" si="5"/>
        <v>160617.59999999998</v>
      </c>
      <c r="J119" s="142">
        <f t="shared" si="7"/>
        <v>207.00993046839204</v>
      </c>
      <c r="K119" s="139"/>
    </row>
    <row r="120" spans="1:11">
      <c r="A120" s="9">
        <v>108</v>
      </c>
      <c r="B120" s="1" t="s">
        <v>527</v>
      </c>
      <c r="C120" s="9">
        <v>725</v>
      </c>
      <c r="D120" s="1" t="s">
        <v>123</v>
      </c>
      <c r="E120" s="336">
        <v>480</v>
      </c>
      <c r="F120" s="336">
        <v>0</v>
      </c>
      <c r="G120" s="336">
        <f t="shared" si="6"/>
        <v>0</v>
      </c>
      <c r="H120" s="133">
        <f t="shared" si="4"/>
        <v>0</v>
      </c>
      <c r="I120" s="133">
        <f t="shared" si="5"/>
        <v>0</v>
      </c>
      <c r="J120" s="142">
        <v>0</v>
      </c>
      <c r="K120" s="139"/>
    </row>
    <row r="121" spans="1:11">
      <c r="A121" s="9">
        <v>109</v>
      </c>
      <c r="B121" s="1" t="s">
        <v>528</v>
      </c>
      <c r="C121" s="9">
        <v>726</v>
      </c>
      <c r="D121" s="1"/>
      <c r="E121" s="336">
        <v>415.37</v>
      </c>
      <c r="F121" s="336">
        <v>46.27</v>
      </c>
      <c r="G121" s="336">
        <f t="shared" si="6"/>
        <v>96241.600000000006</v>
      </c>
      <c r="H121" s="133">
        <f t="shared" si="4"/>
        <v>50000</v>
      </c>
      <c r="I121" s="133">
        <f t="shared" si="5"/>
        <v>288724.80000000005</v>
      </c>
      <c r="J121" s="142">
        <f t="shared" si="7"/>
        <v>343.43818118845348</v>
      </c>
      <c r="K121" s="139"/>
    </row>
    <row r="122" spans="1:11">
      <c r="A122" s="9">
        <v>110</v>
      </c>
      <c r="B122" s="1" t="s">
        <v>529</v>
      </c>
      <c r="C122" s="9">
        <v>729</v>
      </c>
      <c r="D122" s="1" t="s">
        <v>123</v>
      </c>
      <c r="E122" s="336">
        <v>369.51</v>
      </c>
      <c r="F122" s="336">
        <v>0</v>
      </c>
      <c r="G122" s="336">
        <f t="shared" si="6"/>
        <v>0</v>
      </c>
      <c r="H122" s="133">
        <f t="shared" si="4"/>
        <v>0</v>
      </c>
      <c r="I122" s="133">
        <f t="shared" si="5"/>
        <v>0</v>
      </c>
      <c r="J122" s="142">
        <v>0</v>
      </c>
      <c r="K122" s="139"/>
    </row>
    <row r="123" spans="1:11">
      <c r="A123" s="9">
        <v>111</v>
      </c>
      <c r="B123" s="1" t="s">
        <v>530</v>
      </c>
      <c r="C123" s="9">
        <v>730</v>
      </c>
      <c r="D123" s="1"/>
      <c r="E123" s="336">
        <v>374.58000000000004</v>
      </c>
      <c r="F123" s="336">
        <v>42.06</v>
      </c>
      <c r="G123" s="336">
        <f t="shared" si="6"/>
        <v>87484.800000000003</v>
      </c>
      <c r="H123" s="133">
        <f t="shared" si="4"/>
        <v>50000</v>
      </c>
      <c r="I123" s="133">
        <f t="shared" si="5"/>
        <v>262454.40000000002</v>
      </c>
      <c r="J123" s="142">
        <f t="shared" si="7"/>
        <v>303.21903215187098</v>
      </c>
      <c r="K123" s="139"/>
    </row>
    <row r="124" spans="1:11">
      <c r="A124" s="9">
        <v>112</v>
      </c>
      <c r="B124" s="1" t="s">
        <v>531</v>
      </c>
      <c r="C124" s="9">
        <v>733</v>
      </c>
      <c r="D124" s="1"/>
      <c r="E124" s="336">
        <v>488.29999999999995</v>
      </c>
      <c r="F124" s="336">
        <v>42.06</v>
      </c>
      <c r="G124" s="336">
        <f t="shared" si="6"/>
        <v>87484.800000000003</v>
      </c>
      <c r="H124" s="133">
        <f t="shared" si="4"/>
        <v>50000</v>
      </c>
      <c r="I124" s="133">
        <f t="shared" si="5"/>
        <v>262454.40000000002</v>
      </c>
      <c r="J124" s="142">
        <f t="shared" si="7"/>
        <v>395.27431630027917</v>
      </c>
      <c r="K124" s="139"/>
    </row>
    <row r="125" spans="1:11">
      <c r="A125" s="9">
        <v>113</v>
      </c>
      <c r="B125" s="1" t="s">
        <v>532</v>
      </c>
      <c r="C125" s="9">
        <v>734</v>
      </c>
      <c r="D125" s="1" t="s">
        <v>123</v>
      </c>
      <c r="E125" s="336">
        <v>162.52000000000001</v>
      </c>
      <c r="F125" s="336">
        <v>0</v>
      </c>
      <c r="G125" s="336">
        <f t="shared" si="6"/>
        <v>0</v>
      </c>
      <c r="H125" s="133">
        <f t="shared" si="4"/>
        <v>0</v>
      </c>
      <c r="I125" s="133">
        <f t="shared" si="5"/>
        <v>0</v>
      </c>
      <c r="J125" s="142">
        <v>0</v>
      </c>
      <c r="K125" s="139"/>
    </row>
    <row r="126" spans="1:11">
      <c r="A126" s="9">
        <v>114</v>
      </c>
      <c r="B126" s="1" t="s">
        <v>533</v>
      </c>
      <c r="C126" s="9">
        <v>736</v>
      </c>
      <c r="D126" s="1"/>
      <c r="E126" s="336">
        <v>376.97</v>
      </c>
      <c r="F126" s="336">
        <v>37.75</v>
      </c>
      <c r="G126" s="336">
        <f t="shared" si="6"/>
        <v>78520</v>
      </c>
      <c r="H126" s="133">
        <f t="shared" si="4"/>
        <v>50000</v>
      </c>
      <c r="I126" s="133">
        <f t="shared" si="5"/>
        <v>235560</v>
      </c>
      <c r="J126" s="142">
        <f t="shared" si="7"/>
        <v>296.95429274919343</v>
      </c>
      <c r="K126" s="139"/>
    </row>
    <row r="127" spans="1:11">
      <c r="A127" s="9">
        <v>115</v>
      </c>
      <c r="B127" s="1" t="s">
        <v>534</v>
      </c>
      <c r="C127" s="9">
        <v>737</v>
      </c>
      <c r="D127" s="1"/>
      <c r="E127" s="336">
        <v>493.7</v>
      </c>
      <c r="F127" s="336">
        <v>46.27</v>
      </c>
      <c r="G127" s="336">
        <f t="shared" si="6"/>
        <v>96241.600000000006</v>
      </c>
      <c r="H127" s="133">
        <f t="shared" si="4"/>
        <v>50000</v>
      </c>
      <c r="I127" s="133">
        <f t="shared" si="5"/>
        <v>288724.80000000005</v>
      </c>
      <c r="J127" s="142">
        <f t="shared" si="7"/>
        <v>408.20336098596306</v>
      </c>
      <c r="K127" s="139"/>
    </row>
    <row r="128" spans="1:11">
      <c r="A128" s="9">
        <v>116</v>
      </c>
      <c r="B128" s="1" t="s">
        <v>535</v>
      </c>
      <c r="C128" s="9">
        <v>738</v>
      </c>
      <c r="D128" s="1"/>
      <c r="E128" s="336">
        <v>466.08</v>
      </c>
      <c r="F128" s="336">
        <v>46.27</v>
      </c>
      <c r="G128" s="336">
        <f t="shared" si="6"/>
        <v>96241.600000000006</v>
      </c>
      <c r="H128" s="133">
        <f t="shared" si="4"/>
        <v>50000</v>
      </c>
      <c r="I128" s="133">
        <f t="shared" si="5"/>
        <v>288724.80000000005</v>
      </c>
      <c r="J128" s="142">
        <f t="shared" si="7"/>
        <v>385.36646240295255</v>
      </c>
      <c r="K128" s="139"/>
    </row>
    <row r="129" spans="1:14">
      <c r="A129" s="9">
        <v>117</v>
      </c>
      <c r="B129" s="1" t="s">
        <v>536</v>
      </c>
      <c r="C129" s="9">
        <v>739</v>
      </c>
      <c r="D129" s="1"/>
      <c r="E129" s="336">
        <v>336.42</v>
      </c>
      <c r="F129" s="336">
        <v>37.81</v>
      </c>
      <c r="G129" s="336">
        <f t="shared" si="6"/>
        <v>78644.800000000003</v>
      </c>
      <c r="H129" s="133">
        <f t="shared" si="4"/>
        <v>50000</v>
      </c>
      <c r="I129" s="133">
        <f t="shared" si="5"/>
        <v>235934.40000000002</v>
      </c>
      <c r="J129" s="142">
        <f t="shared" si="7"/>
        <v>265.12475861086813</v>
      </c>
      <c r="K129" s="139"/>
    </row>
    <row r="130" spans="1:14">
      <c r="A130" s="9">
        <v>118</v>
      </c>
      <c r="B130" s="1" t="s">
        <v>537</v>
      </c>
      <c r="C130" s="9">
        <v>740</v>
      </c>
      <c r="D130" s="1" t="s">
        <v>123</v>
      </c>
      <c r="E130" s="336">
        <v>175.82</v>
      </c>
      <c r="F130" s="336">
        <v>0</v>
      </c>
      <c r="G130" s="336">
        <f t="shared" si="6"/>
        <v>0</v>
      </c>
      <c r="H130" s="133">
        <f t="shared" si="4"/>
        <v>0</v>
      </c>
      <c r="I130" s="133">
        <f t="shared" si="5"/>
        <v>0</v>
      </c>
      <c r="J130" s="142">
        <v>0</v>
      </c>
      <c r="K130" s="139"/>
    </row>
    <row r="131" spans="1:14">
      <c r="A131" s="9">
        <v>119</v>
      </c>
      <c r="B131" s="1" t="s">
        <v>538</v>
      </c>
      <c r="C131" s="9">
        <v>741</v>
      </c>
      <c r="D131" s="1" t="s">
        <v>123</v>
      </c>
      <c r="E131" s="336">
        <v>1142.4000000000001</v>
      </c>
      <c r="F131" s="336">
        <v>0</v>
      </c>
      <c r="G131" s="336">
        <f t="shared" si="6"/>
        <v>0</v>
      </c>
      <c r="H131" s="133">
        <f t="shared" si="4"/>
        <v>0</v>
      </c>
      <c r="I131" s="133">
        <f t="shared" si="5"/>
        <v>0</v>
      </c>
      <c r="J131" s="142">
        <v>0</v>
      </c>
      <c r="K131" s="139"/>
    </row>
    <row r="132" spans="1:14">
      <c r="A132" s="9">
        <v>120</v>
      </c>
      <c r="B132" s="1" t="s">
        <v>539</v>
      </c>
      <c r="C132" s="9">
        <v>742</v>
      </c>
      <c r="D132" s="1"/>
      <c r="E132" s="336">
        <v>271.32</v>
      </c>
      <c r="F132" s="336">
        <v>26.91</v>
      </c>
      <c r="G132" s="336">
        <f t="shared" si="6"/>
        <v>55972.800000000003</v>
      </c>
      <c r="H132" s="133">
        <f t="shared" si="4"/>
        <v>50000</v>
      </c>
      <c r="I132" s="133">
        <f t="shared" si="5"/>
        <v>167918.40000000002</v>
      </c>
      <c r="J132" s="142">
        <f t="shared" si="7"/>
        <v>190.53075951176285</v>
      </c>
      <c r="K132" s="139"/>
    </row>
    <row r="133" spans="1:14">
      <c r="A133" s="9">
        <v>121</v>
      </c>
      <c r="B133" s="1" t="s">
        <v>540</v>
      </c>
      <c r="C133" s="9">
        <v>743</v>
      </c>
      <c r="D133" s="1"/>
      <c r="E133" s="336">
        <v>262.68</v>
      </c>
      <c r="F133" s="336">
        <v>27.13</v>
      </c>
      <c r="G133" s="336">
        <f t="shared" si="6"/>
        <v>56430.400000000001</v>
      </c>
      <c r="H133" s="133">
        <f t="shared" si="4"/>
        <v>50000</v>
      </c>
      <c r="I133" s="133">
        <f t="shared" si="5"/>
        <v>169291.2</v>
      </c>
      <c r="J133" s="142">
        <f t="shared" si="7"/>
        <v>185.09770393263207</v>
      </c>
      <c r="K133" s="139"/>
    </row>
    <row r="134" spans="1:14">
      <c r="A134" s="9">
        <v>122</v>
      </c>
      <c r="B134" s="1" t="s">
        <v>541</v>
      </c>
      <c r="C134" s="9">
        <v>744</v>
      </c>
      <c r="D134" s="1"/>
      <c r="E134" s="336">
        <v>262.28999999999996</v>
      </c>
      <c r="F134" s="336">
        <v>25.74</v>
      </c>
      <c r="G134" s="336">
        <f t="shared" si="6"/>
        <v>53539.199999999997</v>
      </c>
      <c r="H134" s="133">
        <f t="shared" si="4"/>
        <v>50000</v>
      </c>
      <c r="I134" s="133">
        <f t="shared" si="5"/>
        <v>160617.59999999998</v>
      </c>
      <c r="J134" s="142">
        <f t="shared" si="7"/>
        <v>180.63954575339187</v>
      </c>
      <c r="K134" s="139"/>
    </row>
    <row r="135" spans="1:14">
      <c r="A135" s="9">
        <v>123</v>
      </c>
      <c r="B135" s="1" t="s">
        <v>542</v>
      </c>
      <c r="C135" s="9">
        <v>746</v>
      </c>
      <c r="D135" s="1" t="s">
        <v>123</v>
      </c>
      <c r="E135" s="336">
        <v>375.55</v>
      </c>
      <c r="F135" s="336">
        <v>0</v>
      </c>
      <c r="G135" s="336">
        <f t="shared" si="6"/>
        <v>0</v>
      </c>
      <c r="H135" s="133">
        <f t="shared" si="4"/>
        <v>0</v>
      </c>
      <c r="I135" s="133">
        <f t="shared" si="5"/>
        <v>0</v>
      </c>
      <c r="J135" s="142">
        <v>0</v>
      </c>
      <c r="K135" s="139"/>
    </row>
    <row r="136" spans="1:14">
      <c r="A136" s="9">
        <v>124</v>
      </c>
      <c r="B136" s="1" t="s">
        <v>543</v>
      </c>
      <c r="C136" s="9">
        <v>747</v>
      </c>
      <c r="D136" s="1"/>
      <c r="E136" s="336">
        <v>262.28999999999996</v>
      </c>
      <c r="F136" s="336">
        <v>25.74</v>
      </c>
      <c r="G136" s="336">
        <f t="shared" si="6"/>
        <v>53539.199999999997</v>
      </c>
      <c r="H136" s="133">
        <f>IF(G136&gt;50000,50000,G136)</f>
        <v>50000</v>
      </c>
      <c r="I136" s="133">
        <f>+G136*3</f>
        <v>160617.59999999998</v>
      </c>
      <c r="J136" s="142">
        <f>((I136-H136)/I136)*E136</f>
        <v>180.63954575339187</v>
      </c>
      <c r="K136" s="25"/>
      <c r="L136" s="141"/>
      <c r="N136" s="141"/>
    </row>
    <row r="137" spans="1:14">
      <c r="A137" s="9">
        <v>125</v>
      </c>
      <c r="B137" s="1" t="s">
        <v>544</v>
      </c>
      <c r="C137" s="9">
        <v>749</v>
      </c>
      <c r="D137" s="1" t="s">
        <v>123</v>
      </c>
      <c r="E137" s="336">
        <v>97.609999999999985</v>
      </c>
      <c r="F137" s="336">
        <v>0</v>
      </c>
      <c r="G137" s="336">
        <f t="shared" si="6"/>
        <v>0</v>
      </c>
      <c r="H137" s="133">
        <f t="shared" ref="H137:H177" si="8">IF(G137&gt;50000,50000,G137)</f>
        <v>0</v>
      </c>
      <c r="I137" s="133">
        <f t="shared" ref="I137:I177" si="9">+G137*3</f>
        <v>0</v>
      </c>
      <c r="J137" s="142">
        <v>0</v>
      </c>
      <c r="K137" s="25"/>
      <c r="L137" s="141"/>
      <c r="N137" s="141"/>
    </row>
    <row r="138" spans="1:14">
      <c r="A138" s="9">
        <v>126</v>
      </c>
      <c r="B138" s="1" t="s">
        <v>545</v>
      </c>
      <c r="C138" s="9">
        <v>750</v>
      </c>
      <c r="D138" s="1"/>
      <c r="E138" s="336">
        <v>371.26</v>
      </c>
      <c r="F138" s="336">
        <v>42.06</v>
      </c>
      <c r="G138" s="336">
        <f t="shared" si="6"/>
        <v>87484.800000000003</v>
      </c>
      <c r="H138" s="133">
        <f t="shared" si="8"/>
        <v>50000</v>
      </c>
      <c r="I138" s="133">
        <f t="shared" si="9"/>
        <v>262454.40000000002</v>
      </c>
      <c r="J138" s="142">
        <f t="shared" ref="J138:J177" si="10">((I138-H138)/I138)*E138</f>
        <v>300.53152297694379</v>
      </c>
      <c r="K138" s="25"/>
      <c r="L138" s="141"/>
      <c r="N138" s="141"/>
    </row>
    <row r="139" spans="1:14">
      <c r="A139" s="9">
        <v>127</v>
      </c>
      <c r="B139" s="1" t="s">
        <v>546</v>
      </c>
      <c r="C139" s="9">
        <v>751</v>
      </c>
      <c r="D139" s="1"/>
      <c r="E139" s="336">
        <v>262.28999999999996</v>
      </c>
      <c r="F139" s="336">
        <v>25.74</v>
      </c>
      <c r="G139" s="336">
        <f t="shared" si="6"/>
        <v>53539.199999999997</v>
      </c>
      <c r="H139" s="133">
        <f t="shared" si="8"/>
        <v>50000</v>
      </c>
      <c r="I139" s="133">
        <f t="shared" si="9"/>
        <v>160617.59999999998</v>
      </c>
      <c r="J139" s="142">
        <f t="shared" si="10"/>
        <v>180.63954575339187</v>
      </c>
      <c r="K139" s="25"/>
      <c r="L139" s="141"/>
      <c r="N139" s="141"/>
    </row>
    <row r="140" spans="1:14">
      <c r="A140" s="9">
        <v>128</v>
      </c>
      <c r="B140" s="1" t="s">
        <v>547</v>
      </c>
      <c r="C140" s="9">
        <v>752</v>
      </c>
      <c r="D140" s="1"/>
      <c r="E140" s="336">
        <v>405.77</v>
      </c>
      <c r="F140" s="336">
        <v>41.9</v>
      </c>
      <c r="G140" s="336">
        <f t="shared" si="6"/>
        <v>87152</v>
      </c>
      <c r="H140" s="133">
        <f t="shared" si="8"/>
        <v>50000</v>
      </c>
      <c r="I140" s="133">
        <f t="shared" si="9"/>
        <v>261456</v>
      </c>
      <c r="J140" s="142">
        <f t="shared" si="10"/>
        <v>328.17185729147542</v>
      </c>
      <c r="K140" s="25"/>
      <c r="L140" s="141"/>
      <c r="N140" s="141"/>
    </row>
    <row r="141" spans="1:14">
      <c r="A141" s="9">
        <v>129</v>
      </c>
      <c r="B141" s="1" t="s">
        <v>548</v>
      </c>
      <c r="C141" s="9">
        <v>753</v>
      </c>
      <c r="D141" s="1"/>
      <c r="E141" s="336">
        <v>426.30999999999995</v>
      </c>
      <c r="F141" s="336">
        <v>43.95</v>
      </c>
      <c r="G141" s="336">
        <f t="shared" si="6"/>
        <v>91416</v>
      </c>
      <c r="H141" s="133">
        <f t="shared" si="8"/>
        <v>50000</v>
      </c>
      <c r="I141" s="133">
        <f t="shared" si="9"/>
        <v>274248</v>
      </c>
      <c r="J141" s="142">
        <f t="shared" si="10"/>
        <v>348.58655260931704</v>
      </c>
      <c r="K141" s="25"/>
      <c r="L141" s="141"/>
      <c r="N141" s="141"/>
    </row>
    <row r="142" spans="1:14">
      <c r="A142" s="9">
        <v>130</v>
      </c>
      <c r="B142" s="1" t="s">
        <v>549</v>
      </c>
      <c r="C142" s="9">
        <v>754</v>
      </c>
      <c r="D142" s="1"/>
      <c r="E142" s="336">
        <v>405.77</v>
      </c>
      <c r="F142" s="336">
        <v>41.9</v>
      </c>
      <c r="G142" s="336">
        <f t="shared" ref="G142:G177" si="11">F142*2080</f>
        <v>87152</v>
      </c>
      <c r="H142" s="133">
        <f t="shared" si="8"/>
        <v>50000</v>
      </c>
      <c r="I142" s="133">
        <f t="shared" si="9"/>
        <v>261456</v>
      </c>
      <c r="J142" s="142">
        <f t="shared" si="10"/>
        <v>328.17185729147542</v>
      </c>
      <c r="K142" s="25"/>
      <c r="L142" s="141"/>
      <c r="N142" s="141"/>
    </row>
    <row r="143" spans="1:14">
      <c r="A143" s="9">
        <v>131</v>
      </c>
      <c r="B143" s="1" t="s">
        <v>550</v>
      </c>
      <c r="C143" s="9">
        <v>755</v>
      </c>
      <c r="D143" s="1"/>
      <c r="E143" s="336">
        <v>289.46000000000004</v>
      </c>
      <c r="F143" s="336">
        <v>35.49</v>
      </c>
      <c r="G143" s="336">
        <f t="shared" si="11"/>
        <v>73819.199999999997</v>
      </c>
      <c r="H143" s="133">
        <f t="shared" si="8"/>
        <v>50000</v>
      </c>
      <c r="I143" s="133">
        <f t="shared" si="9"/>
        <v>221457.59999999998</v>
      </c>
      <c r="J143" s="142">
        <f t="shared" si="10"/>
        <v>224.10663213183923</v>
      </c>
      <c r="K143" s="25"/>
      <c r="L143" s="141"/>
      <c r="N143" s="141"/>
    </row>
    <row r="144" spans="1:14">
      <c r="A144" s="9">
        <v>132</v>
      </c>
      <c r="B144" s="1" t="s">
        <v>551</v>
      </c>
      <c r="C144" s="9">
        <v>756</v>
      </c>
      <c r="D144" s="1"/>
      <c r="E144" s="336">
        <v>397.37</v>
      </c>
      <c r="F144" s="336">
        <v>41.9</v>
      </c>
      <c r="G144" s="336">
        <f t="shared" si="11"/>
        <v>87152</v>
      </c>
      <c r="H144" s="133">
        <f t="shared" si="8"/>
        <v>50000</v>
      </c>
      <c r="I144" s="133">
        <f t="shared" si="9"/>
        <v>261456</v>
      </c>
      <c r="J144" s="142">
        <f t="shared" si="10"/>
        <v>321.37824612936782</v>
      </c>
      <c r="K144" s="25"/>
      <c r="L144" s="141"/>
      <c r="N144" s="141"/>
    </row>
    <row r="145" spans="1:14">
      <c r="A145" s="9">
        <v>133</v>
      </c>
      <c r="B145" s="1" t="s">
        <v>552</v>
      </c>
      <c r="C145" s="9">
        <v>757</v>
      </c>
      <c r="D145" s="1"/>
      <c r="E145" s="336">
        <v>336.07</v>
      </c>
      <c r="F145" s="336">
        <v>31.61</v>
      </c>
      <c r="G145" s="336">
        <f t="shared" si="11"/>
        <v>65748.800000000003</v>
      </c>
      <c r="H145" s="133">
        <f t="shared" si="8"/>
        <v>50000</v>
      </c>
      <c r="I145" s="133">
        <f t="shared" si="9"/>
        <v>197246.40000000002</v>
      </c>
      <c r="J145" s="142">
        <f t="shared" si="10"/>
        <v>250.87959855287599</v>
      </c>
      <c r="K145" s="25"/>
      <c r="L145" s="141"/>
      <c r="N145" s="141"/>
    </row>
    <row r="146" spans="1:14">
      <c r="A146" s="9">
        <v>134</v>
      </c>
      <c r="B146" s="1" t="s">
        <v>553</v>
      </c>
      <c r="C146" s="9">
        <v>758</v>
      </c>
      <c r="D146" s="1"/>
      <c r="E146" s="336">
        <v>397.37</v>
      </c>
      <c r="F146" s="336">
        <v>41.9</v>
      </c>
      <c r="G146" s="336">
        <f t="shared" si="11"/>
        <v>87152</v>
      </c>
      <c r="H146" s="133">
        <f t="shared" si="8"/>
        <v>50000</v>
      </c>
      <c r="I146" s="133">
        <f t="shared" si="9"/>
        <v>261456</v>
      </c>
      <c r="J146" s="142">
        <f t="shared" si="10"/>
        <v>321.37824612936782</v>
      </c>
      <c r="K146" s="25"/>
      <c r="L146" s="141"/>
      <c r="N146" s="141"/>
    </row>
    <row r="147" spans="1:14">
      <c r="A147" s="9">
        <v>135</v>
      </c>
      <c r="B147" s="1" t="s">
        <v>554</v>
      </c>
      <c r="C147" s="9">
        <v>759</v>
      </c>
      <c r="D147" s="1"/>
      <c r="E147" s="336">
        <v>319.20000000000005</v>
      </c>
      <c r="F147" s="336">
        <v>36.86</v>
      </c>
      <c r="G147" s="336">
        <f t="shared" si="11"/>
        <v>76668.800000000003</v>
      </c>
      <c r="H147" s="133">
        <f t="shared" si="8"/>
        <v>50000</v>
      </c>
      <c r="I147" s="133">
        <f t="shared" si="9"/>
        <v>230006.40000000002</v>
      </c>
      <c r="J147" s="142">
        <f t="shared" si="10"/>
        <v>249.81062648691517</v>
      </c>
      <c r="K147" s="25"/>
      <c r="L147" s="141"/>
      <c r="N147" s="141"/>
    </row>
    <row r="148" spans="1:14">
      <c r="A148" s="9">
        <v>136</v>
      </c>
      <c r="B148" s="1" t="s">
        <v>555</v>
      </c>
      <c r="C148" s="9">
        <v>760</v>
      </c>
      <c r="D148" s="1" t="s">
        <v>225</v>
      </c>
      <c r="E148" s="336">
        <v>259</v>
      </c>
      <c r="F148" s="336">
        <v>34.369999999999997</v>
      </c>
      <c r="G148" s="336">
        <f t="shared" si="11"/>
        <v>71489.599999999991</v>
      </c>
      <c r="H148" s="133">
        <f t="shared" si="8"/>
        <v>50000</v>
      </c>
      <c r="I148" s="133">
        <f t="shared" si="9"/>
        <v>214468.8</v>
      </c>
      <c r="J148" s="142">
        <f t="shared" si="10"/>
        <v>198.61825682803277</v>
      </c>
      <c r="K148" s="25"/>
      <c r="L148" s="141"/>
      <c r="N148" s="141"/>
    </row>
    <row r="149" spans="1:14">
      <c r="A149" s="9">
        <v>137</v>
      </c>
      <c r="B149" s="1" t="s">
        <v>557</v>
      </c>
      <c r="C149" s="9">
        <v>761</v>
      </c>
      <c r="D149" s="1" t="s">
        <v>225</v>
      </c>
      <c r="E149" s="336">
        <v>233.1</v>
      </c>
      <c r="F149" s="336">
        <v>34.369999999999997</v>
      </c>
      <c r="G149" s="336">
        <f t="shared" si="11"/>
        <v>71489.599999999991</v>
      </c>
      <c r="H149" s="133">
        <f t="shared" si="8"/>
        <v>50000</v>
      </c>
      <c r="I149" s="133">
        <f t="shared" si="9"/>
        <v>214468.8</v>
      </c>
      <c r="J149" s="142">
        <f t="shared" si="10"/>
        <v>178.7564311452295</v>
      </c>
      <c r="K149" s="25"/>
      <c r="L149" s="141"/>
      <c r="N149" s="141"/>
    </row>
    <row r="150" spans="1:14">
      <c r="A150" s="9">
        <v>138</v>
      </c>
      <c r="B150" s="1" t="s">
        <v>558</v>
      </c>
      <c r="C150" s="9">
        <v>762</v>
      </c>
      <c r="D150" s="1" t="s">
        <v>123</v>
      </c>
      <c r="E150" s="336">
        <v>414.72</v>
      </c>
      <c r="F150" s="336">
        <v>0</v>
      </c>
      <c r="G150" s="336">
        <f t="shared" si="11"/>
        <v>0</v>
      </c>
      <c r="H150" s="133">
        <f t="shared" si="8"/>
        <v>0</v>
      </c>
      <c r="I150" s="133">
        <f t="shared" si="9"/>
        <v>0</v>
      </c>
      <c r="J150" s="142">
        <v>0</v>
      </c>
      <c r="K150" s="25"/>
      <c r="L150" s="141"/>
      <c r="N150" s="141"/>
    </row>
    <row r="151" spans="1:14">
      <c r="A151" s="9">
        <v>139</v>
      </c>
      <c r="B151" s="1" t="s">
        <v>559</v>
      </c>
      <c r="C151" s="9">
        <v>764</v>
      </c>
      <c r="D151" s="1" t="s">
        <v>123</v>
      </c>
      <c r="E151" s="336">
        <v>183.36</v>
      </c>
      <c r="F151" s="336">
        <v>0</v>
      </c>
      <c r="G151" s="336">
        <f t="shared" si="11"/>
        <v>0</v>
      </c>
      <c r="H151" s="133">
        <f t="shared" si="8"/>
        <v>0</v>
      </c>
      <c r="I151" s="133">
        <f t="shared" si="9"/>
        <v>0</v>
      </c>
      <c r="J151" s="142">
        <v>0</v>
      </c>
      <c r="K151" s="25"/>
      <c r="L151" s="141"/>
      <c r="N151" s="141"/>
    </row>
    <row r="152" spans="1:14">
      <c r="A152" s="9">
        <v>140</v>
      </c>
      <c r="B152" s="1" t="s">
        <v>560</v>
      </c>
      <c r="C152" s="9">
        <v>765</v>
      </c>
      <c r="D152" s="1" t="s">
        <v>123</v>
      </c>
      <c r="E152" s="336">
        <v>0</v>
      </c>
      <c r="F152" s="336">
        <v>0</v>
      </c>
      <c r="G152" s="336">
        <f t="shared" si="11"/>
        <v>0</v>
      </c>
      <c r="H152" s="133">
        <f t="shared" si="8"/>
        <v>0</v>
      </c>
      <c r="I152" s="133">
        <f t="shared" si="9"/>
        <v>0</v>
      </c>
      <c r="J152" s="142">
        <v>0</v>
      </c>
      <c r="K152" s="25"/>
      <c r="L152" s="141"/>
      <c r="N152" s="141"/>
    </row>
    <row r="153" spans="1:14">
      <c r="A153" s="9">
        <v>141</v>
      </c>
      <c r="B153" s="1" t="s">
        <v>561</v>
      </c>
      <c r="C153" s="9">
        <v>766</v>
      </c>
      <c r="D153" s="1" t="s">
        <v>225</v>
      </c>
      <c r="E153" s="336">
        <v>181.3</v>
      </c>
      <c r="F153" s="336">
        <v>30.14</v>
      </c>
      <c r="G153" s="336">
        <f t="shared" si="11"/>
        <v>62691.200000000004</v>
      </c>
      <c r="H153" s="133">
        <f t="shared" si="8"/>
        <v>50000</v>
      </c>
      <c r="I153" s="133">
        <f t="shared" si="9"/>
        <v>188073.60000000001</v>
      </c>
      <c r="J153" s="142">
        <f t="shared" si="10"/>
        <v>133.10078437377709</v>
      </c>
      <c r="K153" s="25"/>
      <c r="L153" s="141"/>
      <c r="N153" s="141"/>
    </row>
    <row r="154" spans="1:14">
      <c r="A154" s="9">
        <v>142</v>
      </c>
      <c r="B154" s="1" t="s">
        <v>562</v>
      </c>
      <c r="C154" s="9">
        <v>767</v>
      </c>
      <c r="D154" s="1" t="s">
        <v>225</v>
      </c>
      <c r="E154" s="336">
        <v>160.41999999999999</v>
      </c>
      <c r="F154" s="336">
        <v>30.74</v>
      </c>
      <c r="G154" s="336">
        <f t="shared" si="11"/>
        <v>63939.199999999997</v>
      </c>
      <c r="H154" s="133">
        <f t="shared" si="8"/>
        <v>50000</v>
      </c>
      <c r="I154" s="133">
        <f t="shared" si="9"/>
        <v>191817.59999999998</v>
      </c>
      <c r="J154" s="142">
        <f t="shared" si="10"/>
        <v>118.6042333550206</v>
      </c>
      <c r="K154" s="25"/>
      <c r="L154" s="141"/>
      <c r="N154" s="141"/>
    </row>
    <row r="155" spans="1:14">
      <c r="A155" s="9">
        <v>143</v>
      </c>
      <c r="B155" s="1" t="s">
        <v>563</v>
      </c>
      <c r="C155" s="9">
        <v>768</v>
      </c>
      <c r="D155" s="1" t="s">
        <v>225</v>
      </c>
      <c r="E155" s="336">
        <v>260.26</v>
      </c>
      <c r="F155" s="336">
        <v>41.9</v>
      </c>
      <c r="G155" s="336">
        <f t="shared" si="11"/>
        <v>87152</v>
      </c>
      <c r="H155" s="133">
        <f t="shared" si="8"/>
        <v>50000</v>
      </c>
      <c r="I155" s="133">
        <f t="shared" si="9"/>
        <v>261456</v>
      </c>
      <c r="J155" s="142">
        <f t="shared" si="10"/>
        <v>210.48871917263324</v>
      </c>
      <c r="K155" s="25"/>
      <c r="L155" s="141"/>
      <c r="N155" s="141"/>
    </row>
    <row r="156" spans="1:14">
      <c r="A156" s="9">
        <v>144</v>
      </c>
      <c r="B156" s="1" t="s">
        <v>564</v>
      </c>
      <c r="C156" s="9">
        <v>770</v>
      </c>
      <c r="D156" s="1" t="s">
        <v>225</v>
      </c>
      <c r="E156" s="336">
        <v>162.41999999999999</v>
      </c>
      <c r="F156" s="336">
        <v>35.49</v>
      </c>
      <c r="G156" s="336">
        <f t="shared" si="11"/>
        <v>73819.199999999997</v>
      </c>
      <c r="H156" s="133">
        <f t="shared" si="8"/>
        <v>50000</v>
      </c>
      <c r="I156" s="133">
        <f t="shared" si="9"/>
        <v>221457.59999999998</v>
      </c>
      <c r="J156" s="142">
        <f t="shared" si="10"/>
        <v>125.7493235364241</v>
      </c>
      <c r="K156" s="25"/>
      <c r="L156" s="141"/>
      <c r="N156" s="141"/>
    </row>
    <row r="157" spans="1:14">
      <c r="A157" s="9">
        <v>145</v>
      </c>
      <c r="B157" s="1" t="s">
        <v>565</v>
      </c>
      <c r="C157" s="9">
        <v>771</v>
      </c>
      <c r="D157" s="1" t="s">
        <v>225</v>
      </c>
      <c r="E157" s="336">
        <v>162.41999999999999</v>
      </c>
      <c r="F157" s="336">
        <v>35.49</v>
      </c>
      <c r="G157" s="336">
        <f t="shared" si="11"/>
        <v>73819.199999999997</v>
      </c>
      <c r="H157" s="133">
        <f t="shared" si="8"/>
        <v>50000</v>
      </c>
      <c r="I157" s="133">
        <f t="shared" si="9"/>
        <v>221457.59999999998</v>
      </c>
      <c r="J157" s="142">
        <f t="shared" si="10"/>
        <v>125.7493235364241</v>
      </c>
      <c r="K157" s="25"/>
      <c r="L157" s="141"/>
      <c r="N157" s="141"/>
    </row>
    <row r="158" spans="1:14">
      <c r="A158" s="9">
        <v>146</v>
      </c>
      <c r="B158" s="1" t="s">
        <v>566</v>
      </c>
      <c r="C158" s="9">
        <v>772</v>
      </c>
      <c r="D158" s="1" t="s">
        <v>225</v>
      </c>
      <c r="E158" s="336">
        <v>123.78</v>
      </c>
      <c r="F158" s="336">
        <v>36.86</v>
      </c>
      <c r="G158" s="336">
        <f t="shared" si="11"/>
        <v>76668.800000000003</v>
      </c>
      <c r="H158" s="133">
        <f t="shared" si="8"/>
        <v>50000</v>
      </c>
      <c r="I158" s="133">
        <f t="shared" si="9"/>
        <v>230006.40000000002</v>
      </c>
      <c r="J158" s="142">
        <f t="shared" si="10"/>
        <v>96.87205309069661</v>
      </c>
      <c r="K158" s="25"/>
      <c r="L158" s="141"/>
      <c r="N158" s="141"/>
    </row>
    <row r="159" spans="1:14">
      <c r="A159" s="9">
        <v>147</v>
      </c>
      <c r="B159" s="1" t="s">
        <v>567</v>
      </c>
      <c r="C159" s="9">
        <v>773</v>
      </c>
      <c r="D159" s="1" t="s">
        <v>225</v>
      </c>
      <c r="E159" s="336">
        <v>123.78</v>
      </c>
      <c r="F159" s="336">
        <v>23.41</v>
      </c>
      <c r="G159" s="336">
        <f t="shared" si="11"/>
        <v>48692.800000000003</v>
      </c>
      <c r="H159" s="133">
        <f t="shared" si="8"/>
        <v>48692.800000000003</v>
      </c>
      <c r="I159" s="133">
        <f t="shared" si="9"/>
        <v>146078.40000000002</v>
      </c>
      <c r="J159" s="142">
        <f t="shared" si="10"/>
        <v>82.52000000000001</v>
      </c>
      <c r="K159" s="25"/>
      <c r="L159" s="141"/>
      <c r="N159" s="141"/>
    </row>
    <row r="160" spans="1:14">
      <c r="A160" s="9">
        <v>148</v>
      </c>
      <c r="B160" s="1" t="s">
        <v>568</v>
      </c>
      <c r="C160" s="9">
        <v>774</v>
      </c>
      <c r="D160" s="1" t="s">
        <v>225</v>
      </c>
      <c r="E160" s="336">
        <v>180.67000000000002</v>
      </c>
      <c r="F160" s="336">
        <v>34.369999999999997</v>
      </c>
      <c r="G160" s="336">
        <f t="shared" si="11"/>
        <v>71489.599999999991</v>
      </c>
      <c r="H160" s="133">
        <f t="shared" si="8"/>
        <v>50000</v>
      </c>
      <c r="I160" s="133">
        <f t="shared" si="9"/>
        <v>214468.8</v>
      </c>
      <c r="J160" s="142">
        <f t="shared" si="10"/>
        <v>138.54965429004125</v>
      </c>
      <c r="K160" s="25"/>
      <c r="L160" s="141"/>
      <c r="N160" s="141"/>
    </row>
    <row r="161" spans="1:14">
      <c r="A161" s="9">
        <v>149</v>
      </c>
      <c r="B161" s="1" t="s">
        <v>569</v>
      </c>
      <c r="C161" s="9">
        <v>775</v>
      </c>
      <c r="D161" s="1" t="s">
        <v>225</v>
      </c>
      <c r="E161" s="336">
        <v>123.78</v>
      </c>
      <c r="F161" s="336">
        <v>23.41</v>
      </c>
      <c r="G161" s="336">
        <f t="shared" si="11"/>
        <v>48692.800000000003</v>
      </c>
      <c r="H161" s="133">
        <f t="shared" si="8"/>
        <v>48692.800000000003</v>
      </c>
      <c r="I161" s="133">
        <f t="shared" si="9"/>
        <v>146078.40000000002</v>
      </c>
      <c r="J161" s="142">
        <f t="shared" si="10"/>
        <v>82.52000000000001</v>
      </c>
      <c r="K161" s="25"/>
      <c r="L161" s="141"/>
      <c r="N161" s="141"/>
    </row>
    <row r="162" spans="1:14">
      <c r="A162" s="9">
        <v>150</v>
      </c>
      <c r="B162" s="1" t="s">
        <v>570</v>
      </c>
      <c r="C162" s="9">
        <v>777</v>
      </c>
      <c r="D162" s="1" t="s">
        <v>123</v>
      </c>
      <c r="E162" s="336">
        <v>90.33</v>
      </c>
      <c r="F162" s="336">
        <v>0</v>
      </c>
      <c r="G162" s="336">
        <f t="shared" si="11"/>
        <v>0</v>
      </c>
      <c r="H162" s="133">
        <f t="shared" si="8"/>
        <v>0</v>
      </c>
      <c r="I162" s="133">
        <f t="shared" si="9"/>
        <v>0</v>
      </c>
      <c r="J162" s="142">
        <v>0</v>
      </c>
      <c r="K162" s="25"/>
      <c r="L162" s="141"/>
      <c r="N162" s="141"/>
    </row>
    <row r="163" spans="1:14">
      <c r="A163" s="9">
        <v>151</v>
      </c>
      <c r="B163" s="1" t="s">
        <v>571</v>
      </c>
      <c r="C163" s="9">
        <v>778</v>
      </c>
      <c r="D163" s="1" t="s">
        <v>225</v>
      </c>
      <c r="E163" s="336">
        <v>82.52</v>
      </c>
      <c r="F163" s="336">
        <v>22.25</v>
      </c>
      <c r="G163" s="336">
        <f t="shared" si="11"/>
        <v>46280</v>
      </c>
      <c r="H163" s="133">
        <f t="shared" si="8"/>
        <v>46280</v>
      </c>
      <c r="I163" s="133">
        <f t="shared" si="9"/>
        <v>138840</v>
      </c>
      <c r="J163" s="142">
        <f t="shared" si="10"/>
        <v>55.013333333333328</v>
      </c>
      <c r="K163" s="25"/>
      <c r="L163" s="141"/>
      <c r="N163" s="141"/>
    </row>
    <row r="164" spans="1:14">
      <c r="A164" s="9">
        <v>152</v>
      </c>
      <c r="B164" s="1" t="s">
        <v>572</v>
      </c>
      <c r="C164" s="9">
        <v>779</v>
      </c>
      <c r="D164" s="1" t="s">
        <v>225</v>
      </c>
      <c r="E164" s="336">
        <v>61.89</v>
      </c>
      <c r="F164" s="336">
        <v>27.16</v>
      </c>
      <c r="G164" s="336">
        <f t="shared" si="11"/>
        <v>56492.800000000003</v>
      </c>
      <c r="H164" s="133">
        <f t="shared" si="8"/>
        <v>50000</v>
      </c>
      <c r="I164" s="133">
        <f t="shared" si="9"/>
        <v>169478.40000000002</v>
      </c>
      <c r="J164" s="142">
        <f t="shared" si="10"/>
        <v>43.631036025829843</v>
      </c>
      <c r="K164" s="25"/>
      <c r="L164" s="141"/>
      <c r="N164" s="141"/>
    </row>
    <row r="165" spans="1:14">
      <c r="A165" s="9">
        <v>153</v>
      </c>
      <c r="B165" s="1" t="s">
        <v>573</v>
      </c>
      <c r="C165" s="9">
        <v>780</v>
      </c>
      <c r="D165" s="1" t="s">
        <v>225</v>
      </c>
      <c r="E165" s="336">
        <v>70.86</v>
      </c>
      <c r="F165" s="336">
        <v>31.18</v>
      </c>
      <c r="G165" s="336">
        <f t="shared" si="11"/>
        <v>64854.400000000001</v>
      </c>
      <c r="H165" s="133">
        <f t="shared" si="8"/>
        <v>50000</v>
      </c>
      <c r="I165" s="133">
        <f t="shared" si="9"/>
        <v>194563.20000000001</v>
      </c>
      <c r="J165" s="142">
        <f t="shared" si="10"/>
        <v>52.649978783243697</v>
      </c>
      <c r="K165" s="25"/>
      <c r="L165" s="141"/>
      <c r="N165" s="141"/>
    </row>
    <row r="166" spans="1:14">
      <c r="A166" s="9">
        <v>154</v>
      </c>
      <c r="B166" s="1" t="s">
        <v>574</v>
      </c>
      <c r="C166" s="9">
        <v>781</v>
      </c>
      <c r="D166" s="1" t="s">
        <v>225</v>
      </c>
      <c r="E166" s="336">
        <v>116.58</v>
      </c>
      <c r="F166" s="336">
        <v>40.51</v>
      </c>
      <c r="G166" s="336">
        <f t="shared" si="11"/>
        <v>84260.800000000003</v>
      </c>
      <c r="H166" s="133">
        <f t="shared" si="8"/>
        <v>50000</v>
      </c>
      <c r="I166" s="133">
        <f t="shared" si="9"/>
        <v>252782.40000000002</v>
      </c>
      <c r="J166" s="142">
        <f t="shared" si="10"/>
        <v>93.520641437062082</v>
      </c>
      <c r="K166" s="25"/>
      <c r="L166" s="141"/>
      <c r="N166" s="141"/>
    </row>
    <row r="167" spans="1:14">
      <c r="A167" s="9">
        <v>155</v>
      </c>
      <c r="B167" s="1" t="s">
        <v>575</v>
      </c>
      <c r="C167" s="9">
        <v>782</v>
      </c>
      <c r="D167" s="1" t="s">
        <v>123</v>
      </c>
      <c r="E167" s="336">
        <v>273.60000000000002</v>
      </c>
      <c r="F167" s="336">
        <v>0</v>
      </c>
      <c r="G167" s="336">
        <f t="shared" si="11"/>
        <v>0</v>
      </c>
      <c r="H167" s="133">
        <f t="shared" si="8"/>
        <v>0</v>
      </c>
      <c r="I167" s="133">
        <f t="shared" si="9"/>
        <v>0</v>
      </c>
      <c r="J167" s="142">
        <v>0</v>
      </c>
      <c r="K167" s="25"/>
      <c r="L167" s="141"/>
      <c r="N167" s="141"/>
    </row>
    <row r="168" spans="1:14">
      <c r="A168" s="9">
        <v>156</v>
      </c>
      <c r="B168" s="1" t="s">
        <v>576</v>
      </c>
      <c r="C168" s="9">
        <v>783</v>
      </c>
      <c r="D168" s="1" t="s">
        <v>225</v>
      </c>
      <c r="E168" s="336">
        <v>37.19</v>
      </c>
      <c r="F168" s="336">
        <v>39.700000000000003</v>
      </c>
      <c r="G168" s="336">
        <f t="shared" si="11"/>
        <v>82576</v>
      </c>
      <c r="H168" s="133">
        <f t="shared" si="8"/>
        <v>50000</v>
      </c>
      <c r="I168" s="133">
        <f t="shared" si="9"/>
        <v>247728</v>
      </c>
      <c r="J168" s="142">
        <f t="shared" si="10"/>
        <v>29.683783504488794</v>
      </c>
      <c r="K168" s="25"/>
      <c r="L168" s="141"/>
      <c r="N168" s="141"/>
    </row>
    <row r="169" spans="1:14">
      <c r="A169" s="9">
        <v>157</v>
      </c>
      <c r="B169" s="1" t="s">
        <v>577</v>
      </c>
      <c r="C169" s="9">
        <v>784</v>
      </c>
      <c r="D169" s="1" t="s">
        <v>225</v>
      </c>
      <c r="E169" s="336">
        <v>20.63</v>
      </c>
      <c r="F169" s="336">
        <v>22.25</v>
      </c>
      <c r="G169" s="336">
        <f t="shared" si="11"/>
        <v>46280</v>
      </c>
      <c r="H169" s="133">
        <f t="shared" si="8"/>
        <v>46280</v>
      </c>
      <c r="I169" s="133">
        <f t="shared" si="9"/>
        <v>138840</v>
      </c>
      <c r="J169" s="142">
        <f t="shared" si="10"/>
        <v>13.753333333333332</v>
      </c>
      <c r="K169" s="25"/>
      <c r="L169" s="141"/>
      <c r="N169" s="141"/>
    </row>
    <row r="170" spans="1:14">
      <c r="A170" s="9">
        <v>158</v>
      </c>
      <c r="B170" s="1" t="s">
        <v>578</v>
      </c>
      <c r="C170" s="9">
        <v>787</v>
      </c>
      <c r="D170" s="1" t="s">
        <v>225</v>
      </c>
      <c r="E170" s="336">
        <v>0</v>
      </c>
      <c r="F170" s="336">
        <v>36.86</v>
      </c>
      <c r="G170" s="336">
        <f t="shared" si="11"/>
        <v>76668.800000000003</v>
      </c>
      <c r="H170" s="133">
        <f t="shared" si="8"/>
        <v>50000</v>
      </c>
      <c r="I170" s="133">
        <f t="shared" si="9"/>
        <v>230006.40000000002</v>
      </c>
      <c r="J170" s="142">
        <f t="shared" si="10"/>
        <v>0</v>
      </c>
      <c r="K170" s="25"/>
      <c r="L170" s="141"/>
      <c r="N170" s="141"/>
    </row>
    <row r="171" spans="1:14">
      <c r="A171" s="9">
        <v>159</v>
      </c>
      <c r="B171" s="1" t="s">
        <v>579</v>
      </c>
      <c r="C171" s="9">
        <v>788</v>
      </c>
      <c r="D171" s="1" t="s">
        <v>225</v>
      </c>
      <c r="E171" s="336">
        <v>0</v>
      </c>
      <c r="F171" s="336">
        <v>36.86</v>
      </c>
      <c r="G171" s="336">
        <f t="shared" si="11"/>
        <v>76668.800000000003</v>
      </c>
      <c r="H171" s="133">
        <f t="shared" si="8"/>
        <v>50000</v>
      </c>
      <c r="I171" s="133">
        <f t="shared" si="9"/>
        <v>230006.40000000002</v>
      </c>
      <c r="J171" s="142">
        <f t="shared" si="10"/>
        <v>0</v>
      </c>
      <c r="K171" s="25"/>
      <c r="L171" s="141"/>
      <c r="N171" s="141"/>
    </row>
    <row r="172" spans="1:14">
      <c r="A172" s="9">
        <v>160</v>
      </c>
      <c r="B172" s="1" t="s">
        <v>580</v>
      </c>
      <c r="C172" s="9">
        <v>789</v>
      </c>
      <c r="D172" s="1" t="s">
        <v>225</v>
      </c>
      <c r="E172" s="336">
        <v>0</v>
      </c>
      <c r="F172" s="336">
        <v>24.24</v>
      </c>
      <c r="G172" s="336">
        <f t="shared" si="11"/>
        <v>50419.199999999997</v>
      </c>
      <c r="H172" s="133">
        <f t="shared" si="8"/>
        <v>50000</v>
      </c>
      <c r="I172" s="133">
        <f t="shared" si="9"/>
        <v>151257.59999999998</v>
      </c>
      <c r="J172" s="142">
        <f t="shared" si="10"/>
        <v>0</v>
      </c>
      <c r="K172" s="25"/>
      <c r="L172" s="141"/>
      <c r="N172" s="141"/>
    </row>
    <row r="173" spans="1:14">
      <c r="A173" s="9">
        <v>161</v>
      </c>
      <c r="B173" s="1" t="s">
        <v>581</v>
      </c>
      <c r="C173" s="9">
        <v>790</v>
      </c>
      <c r="D173" s="1" t="s">
        <v>225</v>
      </c>
      <c r="E173" s="336">
        <v>0</v>
      </c>
      <c r="F173" s="336">
        <v>24.57</v>
      </c>
      <c r="G173" s="336">
        <f t="shared" si="11"/>
        <v>51105.599999999999</v>
      </c>
      <c r="H173" s="133">
        <f t="shared" si="8"/>
        <v>50000</v>
      </c>
      <c r="I173" s="133">
        <f t="shared" si="9"/>
        <v>153316.79999999999</v>
      </c>
      <c r="J173" s="142">
        <f t="shared" si="10"/>
        <v>0</v>
      </c>
      <c r="K173" s="25"/>
      <c r="L173" s="141"/>
      <c r="N173" s="141"/>
    </row>
    <row r="174" spans="1:14">
      <c r="A174" s="9">
        <v>162</v>
      </c>
      <c r="B174" s="1" t="s">
        <v>582</v>
      </c>
      <c r="C174" s="9">
        <v>791</v>
      </c>
      <c r="D174" s="1" t="s">
        <v>225</v>
      </c>
      <c r="E174" s="336">
        <v>0</v>
      </c>
      <c r="F174" s="336">
        <v>30.74</v>
      </c>
      <c r="G174" s="336">
        <f t="shared" si="11"/>
        <v>63939.199999999997</v>
      </c>
      <c r="H174" s="133">
        <f t="shared" si="8"/>
        <v>50000</v>
      </c>
      <c r="I174" s="133">
        <f t="shared" si="9"/>
        <v>191817.59999999998</v>
      </c>
      <c r="J174" s="142">
        <f t="shared" si="10"/>
        <v>0</v>
      </c>
      <c r="K174" s="25"/>
      <c r="L174" s="141"/>
      <c r="N174" s="141"/>
    </row>
    <row r="175" spans="1:14">
      <c r="A175" s="9">
        <v>163</v>
      </c>
      <c r="B175" s="1" t="s">
        <v>583</v>
      </c>
      <c r="C175" s="9">
        <v>792</v>
      </c>
      <c r="D175" s="1" t="s">
        <v>225</v>
      </c>
      <c r="E175" s="336">
        <v>0</v>
      </c>
      <c r="F175" s="336">
        <v>21.14</v>
      </c>
      <c r="G175" s="336">
        <f t="shared" si="11"/>
        <v>43971.200000000004</v>
      </c>
      <c r="H175" s="133">
        <f t="shared" si="8"/>
        <v>43971.200000000004</v>
      </c>
      <c r="I175" s="133">
        <f t="shared" si="9"/>
        <v>131913.60000000001</v>
      </c>
      <c r="J175" s="142">
        <f t="shared" si="10"/>
        <v>0</v>
      </c>
      <c r="K175" s="25"/>
      <c r="L175" s="141"/>
      <c r="N175" s="141"/>
    </row>
    <row r="176" spans="1:14">
      <c r="A176" s="9">
        <v>164</v>
      </c>
      <c r="B176" s="1" t="s">
        <v>584</v>
      </c>
      <c r="C176" s="9">
        <v>793</v>
      </c>
      <c r="D176" s="1" t="s">
        <v>225</v>
      </c>
      <c r="E176" s="336">
        <v>0</v>
      </c>
      <c r="F176" s="336">
        <v>27.81</v>
      </c>
      <c r="G176" s="336">
        <f t="shared" si="11"/>
        <v>57844.799999999996</v>
      </c>
      <c r="H176" s="133">
        <f t="shared" si="8"/>
        <v>50000</v>
      </c>
      <c r="I176" s="133">
        <f t="shared" si="9"/>
        <v>173534.4</v>
      </c>
      <c r="J176" s="142">
        <f t="shared" si="10"/>
        <v>0</v>
      </c>
      <c r="K176" s="25"/>
      <c r="L176" s="141"/>
      <c r="N176" s="141"/>
    </row>
    <row r="177" spans="1:14">
      <c r="A177" s="9">
        <v>165</v>
      </c>
      <c r="B177" s="1" t="s">
        <v>585</v>
      </c>
      <c r="C177" s="9">
        <v>794</v>
      </c>
      <c r="D177" s="1" t="s">
        <v>225</v>
      </c>
      <c r="E177" s="336">
        <v>0</v>
      </c>
      <c r="F177" s="336">
        <v>21.14</v>
      </c>
      <c r="G177" s="336">
        <f t="shared" si="11"/>
        <v>43971.200000000004</v>
      </c>
      <c r="H177" s="133">
        <f t="shared" si="8"/>
        <v>43971.200000000004</v>
      </c>
      <c r="I177" s="133">
        <f t="shared" si="9"/>
        <v>131913.60000000001</v>
      </c>
      <c r="J177" s="142">
        <f t="shared" si="10"/>
        <v>0</v>
      </c>
      <c r="K177" s="25"/>
      <c r="L177" s="141"/>
      <c r="N177" s="141"/>
    </row>
    <row r="178" spans="1:14">
      <c r="A178" s="9">
        <v>166</v>
      </c>
      <c r="B178" s="147" t="s">
        <v>43</v>
      </c>
      <c r="C178" s="147"/>
      <c r="D178" s="147"/>
      <c r="E178" s="239">
        <f>SUM(E13:E177)</f>
        <v>60690.220000000008</v>
      </c>
      <c r="F178" s="337"/>
      <c r="G178" s="239">
        <f>SUM(G13:G177)</f>
        <v>11902178.199999994</v>
      </c>
      <c r="H178" s="239"/>
      <c r="I178" s="239"/>
      <c r="J178" s="239">
        <f>SUM(J13:J177)</f>
        <v>42749.854463161835</v>
      </c>
      <c r="K178" s="25"/>
      <c r="L178" s="141"/>
      <c r="N178" s="141"/>
    </row>
    <row r="179" spans="1:14">
      <c r="A179" s="9">
        <v>167</v>
      </c>
      <c r="B179" s="9"/>
      <c r="C179" s="9"/>
      <c r="D179" s="9"/>
      <c r="E179" s="133"/>
      <c r="F179" s="125"/>
      <c r="G179" s="141"/>
      <c r="H179" s="133"/>
      <c r="I179" s="133"/>
      <c r="J179" s="142"/>
      <c r="K179" s="25"/>
      <c r="L179" s="141"/>
      <c r="N179" s="141"/>
    </row>
    <row r="180" spans="1:14">
      <c r="A180" s="9">
        <v>168</v>
      </c>
      <c r="B180" s="9"/>
      <c r="C180" s="9"/>
      <c r="D180" s="9"/>
      <c r="E180" s="133"/>
      <c r="J180" s="236"/>
    </row>
    <row r="181" spans="1:14">
      <c r="A181" s="9">
        <v>169</v>
      </c>
      <c r="B181" s="237" t="s">
        <v>299</v>
      </c>
      <c r="C181" s="237"/>
      <c r="D181" s="9"/>
      <c r="E181" s="46" t="s">
        <v>332</v>
      </c>
      <c r="F181" s="10" t="s">
        <v>300</v>
      </c>
      <c r="G181" s="137" t="s">
        <v>225</v>
      </c>
      <c r="H181" s="238" t="s">
        <v>441</v>
      </c>
      <c r="J181" s="236"/>
    </row>
    <row r="182" spans="1:14">
      <c r="A182" s="9">
        <v>170</v>
      </c>
      <c r="B182" s="9"/>
      <c r="C182" s="9"/>
      <c r="D182" s="9"/>
      <c r="E182" s="237"/>
      <c r="F182" s="46"/>
      <c r="H182" s="46"/>
      <c r="J182" s="236"/>
    </row>
    <row r="183" spans="1:14">
      <c r="A183" s="9">
        <v>171</v>
      </c>
    </row>
    <row r="184" spans="1:14">
      <c r="A184" s="9">
        <v>172</v>
      </c>
      <c r="I184" s="46" t="s">
        <v>250</v>
      </c>
      <c r="J184" s="24">
        <f>E178-J178</f>
        <v>17940.365536838173</v>
      </c>
    </row>
    <row r="185" spans="1:14">
      <c r="A185" s="9">
        <v>173</v>
      </c>
      <c r="I185" s="46"/>
    </row>
    <row r="186" spans="1:14">
      <c r="A186" s="9">
        <v>174</v>
      </c>
      <c r="I186" s="46" t="s">
        <v>36</v>
      </c>
      <c r="J186" s="24">
        <f>E178</f>
        <v>60690.220000000008</v>
      </c>
    </row>
    <row r="187" spans="1:14">
      <c r="A187" s="9">
        <v>175</v>
      </c>
      <c r="I187" s="46"/>
      <c r="J187" s="24"/>
    </row>
    <row r="188" spans="1:14">
      <c r="A188" s="9">
        <v>176</v>
      </c>
      <c r="I188" s="46" t="s">
        <v>147</v>
      </c>
      <c r="J188" s="24">
        <f>J184</f>
        <v>17940.365536838173</v>
      </c>
    </row>
    <row r="189" spans="1:14">
      <c r="A189" s="9">
        <v>177</v>
      </c>
      <c r="I189" s="46"/>
      <c r="J189" s="24"/>
    </row>
    <row r="190" spans="1:14">
      <c r="A190" s="9">
        <v>178</v>
      </c>
      <c r="I190" s="46" t="s">
        <v>376</v>
      </c>
      <c r="J190" s="24">
        <f>J188-J186</f>
        <v>-42749.854463161835</v>
      </c>
    </row>
    <row r="191" spans="1:14">
      <c r="A191" s="9">
        <v>179</v>
      </c>
    </row>
    <row r="192" spans="1:14" ht="30" customHeight="1">
      <c r="A192" s="9">
        <v>180</v>
      </c>
      <c r="B192" s="461" t="s">
        <v>251</v>
      </c>
      <c r="C192" s="461"/>
      <c r="D192" s="461"/>
      <c r="E192" s="461"/>
      <c r="F192" s="461"/>
      <c r="G192" s="461"/>
      <c r="H192" s="461"/>
      <c r="I192" s="461"/>
      <c r="J192" s="461"/>
    </row>
    <row r="193" spans="1:11">
      <c r="A193" s="9">
        <v>181</v>
      </c>
    </row>
    <row r="194" spans="1:11">
      <c r="A194" s="9">
        <v>182</v>
      </c>
      <c r="B194" s="81" t="s">
        <v>335</v>
      </c>
      <c r="C194" s="81"/>
      <c r="D194" s="9"/>
      <c r="E194" s="9"/>
      <c r="G194" s="217" t="s">
        <v>125</v>
      </c>
      <c r="H194" s="138" t="s">
        <v>15</v>
      </c>
    </row>
    <row r="195" spans="1:11">
      <c r="A195" s="9">
        <v>183</v>
      </c>
      <c r="D195" s="9"/>
      <c r="E195" s="9"/>
    </row>
    <row r="196" spans="1:11">
      <c r="A196" s="9">
        <v>184</v>
      </c>
      <c r="B196" s="10" t="s">
        <v>116</v>
      </c>
      <c r="D196" s="14"/>
      <c r="E196" s="14" t="s">
        <v>117</v>
      </c>
      <c r="G196" s="218">
        <v>7.9162376565297371E-2</v>
      </c>
      <c r="H196" s="22">
        <f>G196*$J$190</f>
        <v>-3384.1800771244757</v>
      </c>
    </row>
    <row r="197" spans="1:11">
      <c r="A197" s="9">
        <v>185</v>
      </c>
      <c r="B197" s="10" t="s">
        <v>118</v>
      </c>
      <c r="D197" s="14"/>
      <c r="E197" s="14" t="s">
        <v>119</v>
      </c>
      <c r="G197" s="218">
        <v>0.24163090740067283</v>
      </c>
      <c r="H197" s="22">
        <f t="shared" ref="H197:H200" si="12">G197*$J$190</f>
        <v>-10329.686125180498</v>
      </c>
    </row>
    <row r="198" spans="1:11">
      <c r="A198" s="9">
        <v>186</v>
      </c>
      <c r="B198" s="10" t="s">
        <v>120</v>
      </c>
      <c r="D198" s="14"/>
      <c r="E198" s="14" t="s">
        <v>103</v>
      </c>
      <c r="G198" s="218">
        <v>0.10810391683156846</v>
      </c>
      <c r="H198" s="22">
        <f t="shared" si="12"/>
        <v>-4621.4267114473032</v>
      </c>
    </row>
    <row r="199" spans="1:11">
      <c r="A199" s="9">
        <v>187</v>
      </c>
      <c r="B199" s="10" t="s">
        <v>304</v>
      </c>
      <c r="D199" s="14"/>
      <c r="E199" s="14" t="s">
        <v>78</v>
      </c>
      <c r="G199" s="218">
        <v>2.3955366492386103E-2</v>
      </c>
      <c r="H199" s="22">
        <f t="shared" si="12"/>
        <v>-1024.0884311612094</v>
      </c>
    </row>
    <row r="200" spans="1:11">
      <c r="A200" s="9">
        <v>188</v>
      </c>
      <c r="B200" s="10" t="s">
        <v>121</v>
      </c>
      <c r="D200" s="14"/>
      <c r="E200" s="14" t="s">
        <v>115</v>
      </c>
      <c r="G200" s="218">
        <v>0.10589168658007772</v>
      </c>
      <c r="H200" s="22">
        <f t="shared" si="12"/>
        <v>-4526.8541901570698</v>
      </c>
    </row>
    <row r="201" spans="1:11">
      <c r="A201" s="9">
        <v>189</v>
      </c>
      <c r="B201" s="243" t="s">
        <v>374</v>
      </c>
      <c r="C201" s="385"/>
      <c r="D201" s="15"/>
      <c r="E201" s="15"/>
      <c r="F201" s="15"/>
      <c r="G201" s="219">
        <f>SUM(G196:G200)</f>
        <v>0.55874425387000248</v>
      </c>
      <c r="H201" s="242">
        <f>SUM(H196:H200)</f>
        <v>-23886.235535070555</v>
      </c>
      <c r="K201" s="81"/>
    </row>
    <row r="202" spans="1:11">
      <c r="A202" s="9">
        <v>190</v>
      </c>
      <c r="D202" s="9"/>
      <c r="E202" s="9"/>
      <c r="G202" s="218"/>
      <c r="H202" s="22"/>
    </row>
    <row r="203" spans="1:11">
      <c r="A203" s="9">
        <v>191</v>
      </c>
      <c r="B203" s="10" t="s">
        <v>305</v>
      </c>
      <c r="D203" s="14"/>
      <c r="E203" s="14" t="s">
        <v>306</v>
      </c>
      <c r="G203" s="218">
        <v>0.26532065508349417</v>
      </c>
      <c r="H203" s="22">
        <f>G203*$J$190</f>
        <v>-11342.419390890134</v>
      </c>
    </row>
    <row r="204" spans="1:11">
      <c r="A204" s="9">
        <v>192</v>
      </c>
      <c r="B204" s="10" t="s">
        <v>307</v>
      </c>
      <c r="D204" s="14"/>
      <c r="E204" s="14" t="s">
        <v>308</v>
      </c>
      <c r="G204" s="218">
        <v>1.9168932948869864E-2</v>
      </c>
      <c r="H204" s="22">
        <f t="shared" ref="H204:H206" si="13">G204*$J$190</f>
        <v>-819.46909377829434</v>
      </c>
    </row>
    <row r="205" spans="1:11">
      <c r="A205" s="9">
        <v>193</v>
      </c>
      <c r="B205" s="10" t="s">
        <v>309</v>
      </c>
      <c r="D205" s="14"/>
      <c r="E205" s="14" t="s">
        <v>310</v>
      </c>
      <c r="G205" s="218">
        <v>5.5518749294945616E-2</v>
      </c>
      <c r="H205" s="22">
        <f t="shared" si="13"/>
        <v>-2373.4184523356939</v>
      </c>
    </row>
    <row r="206" spans="1:11">
      <c r="A206" s="9">
        <v>194</v>
      </c>
      <c r="B206" s="10" t="s">
        <v>311</v>
      </c>
      <c r="D206" s="14"/>
      <c r="E206" s="14" t="s">
        <v>312</v>
      </c>
      <c r="G206" s="218">
        <v>0.10124740880268777</v>
      </c>
      <c r="H206" s="22">
        <f t="shared" si="13"/>
        <v>-4328.3119910871528</v>
      </c>
    </row>
    <row r="207" spans="1:11">
      <c r="A207" s="9">
        <v>195</v>
      </c>
      <c r="B207" s="15"/>
      <c r="C207" s="15"/>
      <c r="D207" s="15"/>
      <c r="E207" s="15" t="s">
        <v>22</v>
      </c>
      <c r="F207" s="15"/>
      <c r="G207" s="219">
        <f>SUM(G203:G206)</f>
        <v>0.44125574612999741</v>
      </c>
      <c r="H207" s="28">
        <f>SUM(H203:H206)</f>
        <v>-18863.618928091277</v>
      </c>
    </row>
    <row r="208" spans="1:11">
      <c r="A208" s="9">
        <v>196</v>
      </c>
      <c r="D208" s="9"/>
      <c r="E208" s="9"/>
      <c r="G208" s="218"/>
      <c r="H208" s="22"/>
    </row>
    <row r="209" spans="1:8" ht="13.5" thickBot="1">
      <c r="A209" s="9">
        <v>197</v>
      </c>
      <c r="B209" s="19"/>
      <c r="C209" s="19"/>
      <c r="D209" s="19"/>
      <c r="E209" s="220" t="s">
        <v>43</v>
      </c>
      <c r="F209" s="19"/>
      <c r="G209" s="222">
        <f>G201+G207</f>
        <v>0.99999999999999989</v>
      </c>
      <c r="H209" s="221">
        <f>H201+H207</f>
        <v>-42749.854463161828</v>
      </c>
    </row>
    <row r="210" spans="1:8" ht="13.5" thickTop="1"/>
  </sheetData>
  <mergeCells count="4">
    <mergeCell ref="B4:I4"/>
    <mergeCell ref="B5:I5"/>
    <mergeCell ref="B7:I7"/>
    <mergeCell ref="B192:J192"/>
  </mergeCells>
  <printOptions horizontalCentered="1"/>
  <pageMargins left="0.7" right="0.7" top="0.75" bottom="0.75" header="0.3" footer="0.3"/>
  <pageSetup scale="90" fitToHeight="0" orientation="landscape" r:id="rId1"/>
  <headerFooter>
    <oddFooter>&amp;RExhibit  JW-2
Page &amp;P of &amp;N</oddFooter>
  </headerFooter>
  <rowBreaks count="1" manualBreakCount="1">
    <brk id="191"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99A34-2D20-422E-8C85-613B91AE73BE}">
  <sheetPr>
    <pageSetUpPr fitToPage="1"/>
  </sheetPr>
  <dimension ref="A1:M78"/>
  <sheetViews>
    <sheetView view="pageBreakPreview" zoomScaleNormal="100" zoomScaleSheetLayoutView="100" workbookViewId="0">
      <selection sqref="A1:XFD6"/>
    </sheetView>
  </sheetViews>
  <sheetFormatPr defaultColWidth="8.85546875" defaultRowHeight="12.75"/>
  <cols>
    <col min="1" max="1" width="4.42578125" style="14" customWidth="1"/>
    <col min="2" max="2" width="31.85546875" style="10" customWidth="1"/>
    <col min="3" max="3" width="11.5703125" style="46" bestFit="1" customWidth="1"/>
    <col min="4" max="4" width="12" style="10" bestFit="1" customWidth="1"/>
    <col min="5" max="5" width="15.7109375" style="10" customWidth="1"/>
    <col min="6" max="6" width="9.5703125" style="10" bestFit="1" customWidth="1"/>
    <col min="7" max="7" width="9.140625" style="10" bestFit="1" customWidth="1"/>
    <col min="8" max="8" width="10.42578125" style="10" bestFit="1" customWidth="1"/>
    <col min="9" max="9" width="10.28515625" style="10" bestFit="1" customWidth="1"/>
    <col min="10" max="10" width="2.42578125" style="10" customWidth="1"/>
    <col min="11" max="11" width="13.140625" style="10" customWidth="1"/>
    <col min="12" max="12" width="15.85546875" style="10" customWidth="1"/>
    <col min="13" max="13" width="10.5703125" style="10" bestFit="1" customWidth="1"/>
    <col min="14" max="16384" width="8.85546875" style="10"/>
  </cols>
  <sheetData>
    <row r="1" spans="1:13">
      <c r="D1" s="5"/>
      <c r="L1" s="5" t="s">
        <v>711</v>
      </c>
    </row>
    <row r="2" spans="1:13">
      <c r="E2" s="5"/>
    </row>
    <row r="3" spans="1:13">
      <c r="B3" s="447" t="str">
        <f>RevReq!A1</f>
        <v>SOUTH KENTUCKY R.E.C.C.</v>
      </c>
      <c r="C3" s="447"/>
      <c r="D3" s="447"/>
      <c r="E3" s="447"/>
      <c r="F3" s="447"/>
      <c r="G3" s="447"/>
      <c r="H3" s="447"/>
      <c r="I3" s="447"/>
      <c r="J3" s="447"/>
      <c r="K3" s="447"/>
      <c r="L3" s="447"/>
    </row>
    <row r="4" spans="1:13">
      <c r="B4" s="447" t="str">
        <f>RevReq!A3</f>
        <v>For the 12 Months Ended May 2024</v>
      </c>
      <c r="C4" s="447"/>
      <c r="D4" s="447"/>
      <c r="E4" s="447"/>
      <c r="F4" s="447"/>
      <c r="G4" s="447"/>
      <c r="H4" s="447"/>
      <c r="I4" s="447"/>
      <c r="J4" s="447"/>
      <c r="K4" s="447"/>
      <c r="L4" s="447"/>
    </row>
    <row r="6" spans="1:13">
      <c r="B6" s="448" t="s">
        <v>384</v>
      </c>
      <c r="C6" s="448"/>
      <c r="D6" s="448"/>
      <c r="E6" s="448"/>
      <c r="F6" s="448"/>
      <c r="G6" s="448"/>
      <c r="H6" s="448"/>
      <c r="I6" s="448"/>
      <c r="J6" s="448"/>
      <c r="K6" s="448"/>
      <c r="L6" s="448"/>
    </row>
    <row r="7" spans="1:13" ht="25.5">
      <c r="C7" s="351"/>
      <c r="D7" s="135"/>
      <c r="E7" s="135"/>
      <c r="F7" s="135"/>
      <c r="G7" s="135"/>
      <c r="H7" s="135"/>
      <c r="I7" s="135"/>
      <c r="J7" s="6"/>
      <c r="K7" s="271" t="s">
        <v>385</v>
      </c>
    </row>
    <row r="9" spans="1:13" ht="15" customHeight="1">
      <c r="B9" s="272" t="s">
        <v>386</v>
      </c>
      <c r="C9" s="378" t="s">
        <v>387</v>
      </c>
      <c r="D9" s="99" t="s">
        <v>388</v>
      </c>
      <c r="E9" s="99" t="s">
        <v>389</v>
      </c>
      <c r="F9" s="99" t="s">
        <v>1139</v>
      </c>
      <c r="G9" s="99" t="s">
        <v>1140</v>
      </c>
      <c r="H9" s="99" t="s">
        <v>390</v>
      </c>
      <c r="I9" s="99" t="s">
        <v>391</v>
      </c>
      <c r="J9" s="2"/>
      <c r="K9" s="99" t="s">
        <v>391</v>
      </c>
      <c r="L9" s="99" t="s">
        <v>392</v>
      </c>
    </row>
    <row r="10" spans="1:13">
      <c r="A10" s="273" t="s">
        <v>21</v>
      </c>
      <c r="B10" s="274" t="s">
        <v>18</v>
      </c>
      <c r="C10" s="274" t="s">
        <v>20</v>
      </c>
      <c r="D10" s="274" t="s">
        <v>19</v>
      </c>
      <c r="E10" s="274" t="s">
        <v>25</v>
      </c>
      <c r="F10" s="274" t="s">
        <v>47</v>
      </c>
      <c r="G10" s="274" t="s">
        <v>48</v>
      </c>
      <c r="H10" s="274" t="s">
        <v>49</v>
      </c>
      <c r="I10" s="274" t="s">
        <v>50</v>
      </c>
      <c r="J10" s="274"/>
      <c r="K10" s="274" t="s">
        <v>342</v>
      </c>
      <c r="L10" s="274" t="s">
        <v>1141</v>
      </c>
    </row>
    <row r="11" spans="1:13" ht="15" customHeight="1">
      <c r="B11" s="2"/>
      <c r="C11" s="379"/>
      <c r="D11" s="2"/>
      <c r="E11" s="2"/>
      <c r="F11" s="2"/>
      <c r="G11" s="2"/>
      <c r="H11" s="2"/>
      <c r="I11" s="135"/>
      <c r="J11" s="2"/>
      <c r="M11" s="275"/>
    </row>
    <row r="12" spans="1:13">
      <c r="A12" s="14">
        <v>1</v>
      </c>
      <c r="B12" s="276" t="s">
        <v>393</v>
      </c>
      <c r="C12" s="380"/>
      <c r="D12" s="1"/>
      <c r="E12" s="122"/>
      <c r="F12" s="122"/>
      <c r="G12" s="122"/>
      <c r="H12" s="136"/>
      <c r="I12" s="135"/>
      <c r="J12" s="2"/>
      <c r="M12" s="275"/>
    </row>
    <row r="13" spans="1:13">
      <c r="A13" s="14">
        <v>2</v>
      </c>
      <c r="B13" s="2" t="s">
        <v>1172</v>
      </c>
      <c r="C13" s="381">
        <v>478665</v>
      </c>
      <c r="D13" s="277">
        <v>0.22</v>
      </c>
      <c r="E13" s="278">
        <f>C13*D13</f>
        <v>105306.3</v>
      </c>
      <c r="F13" s="277"/>
      <c r="G13" s="278"/>
      <c r="H13" s="277">
        <v>0.78</v>
      </c>
      <c r="I13" s="278">
        <f>C13*H13</f>
        <v>373358.7</v>
      </c>
      <c r="J13" s="2"/>
      <c r="K13" s="279">
        <v>22633.33</v>
      </c>
      <c r="L13" s="280">
        <f>I13+K13</f>
        <v>395992.03</v>
      </c>
      <c r="M13" s="275"/>
    </row>
    <row r="14" spans="1:13">
      <c r="A14" s="14">
        <v>3</v>
      </c>
      <c r="B14" s="2" t="s">
        <v>1173</v>
      </c>
      <c r="C14" s="381">
        <v>577503</v>
      </c>
      <c r="D14" s="277">
        <v>0.26</v>
      </c>
      <c r="E14" s="278">
        <f>C14*D14</f>
        <v>150150.78</v>
      </c>
      <c r="F14" s="277"/>
      <c r="G14" s="278"/>
      <c r="H14" s="277">
        <v>0.74</v>
      </c>
      <c r="I14" s="278">
        <f>C14*H14</f>
        <v>427352.22</v>
      </c>
      <c r="J14" s="2"/>
      <c r="L14" s="280">
        <f t="shared" ref="L14:L18" si="0">I14+K14</f>
        <v>427352.22</v>
      </c>
      <c r="M14" s="275"/>
    </row>
    <row r="15" spans="1:13">
      <c r="A15" s="14">
        <v>4</v>
      </c>
      <c r="B15" s="2" t="s">
        <v>1174</v>
      </c>
      <c r="C15" s="381">
        <v>657788</v>
      </c>
      <c r="D15" s="277">
        <v>0.28000000000000003</v>
      </c>
      <c r="E15" s="278">
        <f>C15*D15</f>
        <v>184180.64</v>
      </c>
      <c r="F15" s="277"/>
      <c r="G15" s="278"/>
      <c r="H15" s="277">
        <v>0.72</v>
      </c>
      <c r="I15" s="278">
        <f>C15*H15</f>
        <v>473607.36</v>
      </c>
      <c r="J15" s="2"/>
      <c r="L15" s="280">
        <f t="shared" si="0"/>
        <v>473607.36</v>
      </c>
      <c r="M15" s="275"/>
    </row>
    <row r="16" spans="1:13">
      <c r="A16" s="14">
        <v>5</v>
      </c>
      <c r="B16" s="2" t="s">
        <v>1175</v>
      </c>
      <c r="C16" s="381">
        <v>704083</v>
      </c>
      <c r="D16" s="355">
        <v>0.34</v>
      </c>
      <c r="E16" s="278">
        <f>C16*D16</f>
        <v>239388.22000000003</v>
      </c>
      <c r="F16" s="355"/>
      <c r="G16" s="356"/>
      <c r="H16" s="277">
        <v>0.65999999999999992</v>
      </c>
      <c r="I16" s="278">
        <f>C16*H16</f>
        <v>464694.77999999997</v>
      </c>
      <c r="J16" s="2"/>
      <c r="K16" s="279">
        <v>89850</v>
      </c>
      <c r="L16" s="280">
        <f t="shared" si="0"/>
        <v>554544.78</v>
      </c>
      <c r="M16" s="275"/>
    </row>
    <row r="17" spans="1:13">
      <c r="A17" s="14">
        <v>12</v>
      </c>
      <c r="B17" s="2" t="s">
        <v>1143</v>
      </c>
      <c r="C17" s="381">
        <f>+E17+G17+I17</f>
        <v>334799.39</v>
      </c>
      <c r="D17" s="355"/>
      <c r="E17" s="278"/>
      <c r="F17" s="355">
        <v>0</v>
      </c>
      <c r="G17" s="356"/>
      <c r="H17" s="277">
        <v>1</v>
      </c>
      <c r="I17" s="356">
        <f>(25466.38*5)+(29712.07*7)-517</f>
        <v>334799.39</v>
      </c>
      <c r="J17" s="2"/>
      <c r="K17" s="279"/>
      <c r="L17" s="280">
        <f t="shared" si="0"/>
        <v>334799.39</v>
      </c>
      <c r="M17" s="275"/>
    </row>
    <row r="18" spans="1:13">
      <c r="A18" s="14">
        <v>13</v>
      </c>
      <c r="B18" s="2" t="s">
        <v>1144</v>
      </c>
      <c r="C18" s="381">
        <f>+E18+G18+I18</f>
        <v>124002.08</v>
      </c>
      <c r="D18" s="355"/>
      <c r="E18" s="278"/>
      <c r="F18" s="355">
        <v>0.85</v>
      </c>
      <c r="G18" s="356">
        <v>91771</v>
      </c>
      <c r="H18" s="277">
        <v>0.15000000000000002</v>
      </c>
      <c r="I18" s="356">
        <f>(1404.9*5)+(3600.94*7)</f>
        <v>32231.08</v>
      </c>
      <c r="J18" s="2"/>
      <c r="K18" s="279"/>
      <c r="L18" s="280">
        <f t="shared" si="0"/>
        <v>32231.08</v>
      </c>
      <c r="M18" s="275"/>
    </row>
    <row r="19" spans="1:13">
      <c r="A19" s="14">
        <v>16</v>
      </c>
      <c r="B19" s="41" t="s">
        <v>43</v>
      </c>
      <c r="C19" s="382">
        <f>SUM(C13:C18)</f>
        <v>2876840.47</v>
      </c>
      <c r="D19" s="282"/>
      <c r="E19" s="281">
        <f>SUM(E13:E18)</f>
        <v>679025.94000000006</v>
      </c>
      <c r="F19" s="282"/>
      <c r="G19" s="281">
        <f>SUM(G13:G18)</f>
        <v>91771</v>
      </c>
      <c r="H19" s="282"/>
      <c r="I19" s="281">
        <f>SUM(I13:I18)</f>
        <v>2106043.5299999998</v>
      </c>
      <c r="J19" s="2"/>
      <c r="K19" s="281">
        <f>SUM(K13:K18)</f>
        <v>112483.33</v>
      </c>
      <c r="L19" s="281">
        <f>SUM(L13:L18)</f>
        <v>2218526.86</v>
      </c>
      <c r="M19" s="275"/>
    </row>
    <row r="20" spans="1:13">
      <c r="A20" s="14">
        <v>17</v>
      </c>
      <c r="B20" s="2"/>
      <c r="C20" s="381"/>
      <c r="D20" s="31"/>
      <c r="E20" s="31"/>
      <c r="F20" s="31"/>
      <c r="G20" s="31"/>
      <c r="H20" s="31"/>
      <c r="I20" s="283"/>
      <c r="J20" s="2"/>
      <c r="M20" s="275"/>
    </row>
    <row r="21" spans="1:13">
      <c r="A21" s="14">
        <v>18</v>
      </c>
      <c r="B21" s="284" t="s">
        <v>397</v>
      </c>
      <c r="C21" s="381"/>
      <c r="D21" s="31"/>
      <c r="E21" s="31"/>
      <c r="F21" s="31"/>
      <c r="G21" s="31"/>
      <c r="H21" s="31"/>
      <c r="I21" s="283"/>
      <c r="J21" s="2"/>
      <c r="M21" s="275"/>
    </row>
    <row r="22" spans="1:13">
      <c r="A22" s="14">
        <v>19</v>
      </c>
      <c r="B22" s="2" t="s">
        <v>1172</v>
      </c>
      <c r="C22" s="381">
        <v>475547</v>
      </c>
      <c r="D22" s="277">
        <v>0.2</v>
      </c>
      <c r="E22" s="278">
        <f>C22*D22</f>
        <v>95109.400000000009</v>
      </c>
      <c r="F22" s="278"/>
      <c r="G22" s="278"/>
      <c r="H22" s="277">
        <f>1-D22</f>
        <v>0.8</v>
      </c>
      <c r="I22" s="278">
        <f>C22*H22</f>
        <v>380437.60000000003</v>
      </c>
      <c r="J22" s="2"/>
      <c r="K22" s="279">
        <f>12*1650</f>
        <v>19800</v>
      </c>
      <c r="L22" s="280">
        <f>I22+K22</f>
        <v>400237.60000000003</v>
      </c>
      <c r="M22" s="275"/>
    </row>
    <row r="23" spans="1:13">
      <c r="A23" s="14">
        <v>20</v>
      </c>
      <c r="B23" s="2" t="s">
        <v>1173</v>
      </c>
      <c r="C23" s="381">
        <v>512634</v>
      </c>
      <c r="D23" s="277">
        <v>0.2</v>
      </c>
      <c r="E23" s="278">
        <f t="shared" ref="E23:E25" si="1">C23*D23</f>
        <v>102526.8</v>
      </c>
      <c r="F23" s="278"/>
      <c r="G23" s="278"/>
      <c r="H23" s="277">
        <f t="shared" ref="H23:H25" si="2">1-D23</f>
        <v>0.8</v>
      </c>
      <c r="I23" s="278">
        <f t="shared" ref="I23:I27" si="3">C23*H23</f>
        <v>410107.2</v>
      </c>
      <c r="J23" s="2"/>
      <c r="K23" s="279"/>
      <c r="L23" s="280">
        <f t="shared" ref="L23:L27" si="4">I23+K23</f>
        <v>410107.2</v>
      </c>
      <c r="M23" s="275"/>
    </row>
    <row r="24" spans="1:13">
      <c r="A24" s="14">
        <v>21</v>
      </c>
      <c r="B24" s="2" t="s">
        <v>1174</v>
      </c>
      <c r="C24" s="381">
        <v>645276</v>
      </c>
      <c r="D24" s="277">
        <v>0.2</v>
      </c>
      <c r="E24" s="278">
        <f t="shared" si="1"/>
        <v>129055.20000000001</v>
      </c>
      <c r="F24" s="278"/>
      <c r="G24" s="278"/>
      <c r="H24" s="277">
        <f t="shared" si="2"/>
        <v>0.8</v>
      </c>
      <c r="I24" s="278">
        <f t="shared" si="3"/>
        <v>516220.80000000005</v>
      </c>
      <c r="J24" s="2"/>
      <c r="K24" s="279"/>
      <c r="L24" s="280">
        <f t="shared" si="4"/>
        <v>516220.80000000005</v>
      </c>
      <c r="M24" s="275"/>
    </row>
    <row r="25" spans="1:13">
      <c r="A25" s="14">
        <v>22</v>
      </c>
      <c r="B25" s="2" t="s">
        <v>1175</v>
      </c>
      <c r="C25" s="383">
        <v>768196</v>
      </c>
      <c r="D25" s="355">
        <v>0.2</v>
      </c>
      <c r="E25" s="278">
        <f t="shared" si="1"/>
        <v>153639.20000000001</v>
      </c>
      <c r="F25" s="356"/>
      <c r="G25" s="356"/>
      <c r="H25" s="277">
        <f t="shared" si="2"/>
        <v>0.8</v>
      </c>
      <c r="I25" s="278">
        <f t="shared" si="3"/>
        <v>614556.80000000005</v>
      </c>
      <c r="J25" s="2"/>
      <c r="K25" s="279">
        <f>29*3300</f>
        <v>95700</v>
      </c>
      <c r="L25" s="280">
        <f t="shared" si="4"/>
        <v>710256.8</v>
      </c>
      <c r="M25" s="275"/>
    </row>
    <row r="26" spans="1:13">
      <c r="A26" s="14">
        <v>29</v>
      </c>
      <c r="B26" s="2" t="s">
        <v>1143</v>
      </c>
      <c r="C26" s="381">
        <v>335966</v>
      </c>
      <c r="D26" s="355"/>
      <c r="E26" s="278"/>
      <c r="F26" s="355">
        <v>0</v>
      </c>
      <c r="G26" s="356">
        <f t="shared" ref="G26" si="5">C26*F26</f>
        <v>0</v>
      </c>
      <c r="H26" s="277">
        <f t="shared" ref="H26:H27" si="6">1-F26-D26</f>
        <v>1</v>
      </c>
      <c r="I26" s="278">
        <f t="shared" si="3"/>
        <v>335966</v>
      </c>
      <c r="J26" s="2"/>
      <c r="K26" s="279"/>
      <c r="L26" s="280">
        <f t="shared" si="4"/>
        <v>335966</v>
      </c>
      <c r="M26" s="275"/>
    </row>
    <row r="27" spans="1:13">
      <c r="A27" s="14">
        <v>30</v>
      </c>
      <c r="B27" s="2" t="s">
        <v>1144</v>
      </c>
      <c r="C27" s="381">
        <v>237552</v>
      </c>
      <c r="D27" s="355"/>
      <c r="E27" s="278"/>
      <c r="F27" s="355">
        <v>0.85</v>
      </c>
      <c r="G27" s="356">
        <f>C27*F27</f>
        <v>201919.19999999998</v>
      </c>
      <c r="H27" s="277">
        <f t="shared" si="6"/>
        <v>0.15000000000000002</v>
      </c>
      <c r="I27" s="278">
        <f t="shared" si="3"/>
        <v>35632.800000000003</v>
      </c>
      <c r="J27" s="2"/>
      <c r="K27" s="279"/>
      <c r="L27" s="280">
        <f t="shared" si="4"/>
        <v>35632.800000000003</v>
      </c>
      <c r="M27" s="275"/>
    </row>
    <row r="28" spans="1:13">
      <c r="A28" s="14">
        <v>31</v>
      </c>
      <c r="B28" s="41" t="s">
        <v>43</v>
      </c>
      <c r="C28" s="382">
        <f>SUM(C22:C27)</f>
        <v>2975171</v>
      </c>
      <c r="D28" s="282"/>
      <c r="E28" s="281">
        <f>SUM(E22:E27)</f>
        <v>480330.60000000003</v>
      </c>
      <c r="F28" s="282"/>
      <c r="G28" s="281">
        <f>SUM(G22:G27)</f>
        <v>201919.19999999998</v>
      </c>
      <c r="H28" s="282"/>
      <c r="I28" s="281">
        <f>SUM(I22:I27)</f>
        <v>2292921.2000000002</v>
      </c>
      <c r="J28" s="2"/>
      <c r="K28" s="281">
        <f>SUM(K22:K27)</f>
        <v>115500</v>
      </c>
      <c r="L28" s="281">
        <f>SUM(L22:L27)</f>
        <v>2408421.2000000002</v>
      </c>
      <c r="M28" s="275"/>
    </row>
    <row r="29" spans="1:13">
      <c r="A29" s="14">
        <v>32</v>
      </c>
      <c r="B29" s="2"/>
      <c r="C29" s="381"/>
      <c r="D29" s="31"/>
      <c r="E29" s="31"/>
      <c r="F29" s="31"/>
      <c r="G29" s="31"/>
      <c r="H29" s="31"/>
      <c r="I29" s="31"/>
      <c r="J29" s="2"/>
      <c r="K29" s="160"/>
      <c r="L29" s="160"/>
      <c r="M29" s="275"/>
    </row>
    <row r="30" spans="1:13" ht="13.5" thickBot="1">
      <c r="A30" s="14">
        <v>33</v>
      </c>
      <c r="B30" s="285" t="s">
        <v>15</v>
      </c>
      <c r="C30" s="384"/>
      <c r="D30" s="49"/>
      <c r="E30" s="49"/>
      <c r="F30" s="49"/>
      <c r="G30" s="49"/>
      <c r="H30" s="49"/>
      <c r="I30" s="286"/>
      <c r="J30" s="2"/>
      <c r="K30" s="19"/>
      <c r="L30" s="287">
        <f>L28-L19</f>
        <v>189894.34000000032</v>
      </c>
    </row>
    <row r="31" spans="1:13" ht="13.5" thickTop="1">
      <c r="A31" s="14">
        <v>34</v>
      </c>
    </row>
    <row r="32" spans="1:13">
      <c r="A32" s="14">
        <v>35</v>
      </c>
      <c r="B32" s="448" t="s">
        <v>398</v>
      </c>
      <c r="C32" s="448"/>
      <c r="D32" s="448"/>
      <c r="E32" s="448"/>
      <c r="F32" s="448"/>
      <c r="G32" s="448"/>
      <c r="H32" s="448"/>
      <c r="I32" s="448"/>
      <c r="J32" s="6"/>
    </row>
    <row r="33" spans="1:12">
      <c r="A33" s="14">
        <v>36</v>
      </c>
      <c r="B33" s="2"/>
      <c r="D33" s="2"/>
      <c r="E33" s="2"/>
      <c r="F33" s="2"/>
      <c r="G33" s="2"/>
      <c r="H33" s="2"/>
      <c r="I33" s="2"/>
      <c r="J33" s="2"/>
    </row>
    <row r="34" spans="1:12" ht="15" customHeight="1">
      <c r="A34" s="14">
        <v>37</v>
      </c>
      <c r="B34" s="272" t="s">
        <v>386</v>
      </c>
      <c r="C34" s="378" t="s">
        <v>387</v>
      </c>
      <c r="D34" s="99" t="s">
        <v>388</v>
      </c>
      <c r="E34" s="99" t="s">
        <v>389</v>
      </c>
      <c r="F34" s="99" t="s">
        <v>1139</v>
      </c>
      <c r="G34" s="99" t="s">
        <v>1140</v>
      </c>
      <c r="H34" s="99" t="s">
        <v>390</v>
      </c>
      <c r="I34" s="99" t="s">
        <v>391</v>
      </c>
      <c r="J34" s="2"/>
    </row>
    <row r="35" spans="1:12">
      <c r="A35" s="14">
        <v>38</v>
      </c>
      <c r="B35" s="274" t="s">
        <v>18</v>
      </c>
      <c r="C35" s="274" t="s">
        <v>20</v>
      </c>
      <c r="D35" s="274" t="s">
        <v>19</v>
      </c>
      <c r="E35" s="274" t="s">
        <v>25</v>
      </c>
      <c r="F35" s="274" t="s">
        <v>47</v>
      </c>
      <c r="G35" s="274" t="s">
        <v>48</v>
      </c>
      <c r="H35" s="274" t="s">
        <v>49</v>
      </c>
      <c r="I35" s="274" t="s">
        <v>50</v>
      </c>
      <c r="J35" s="2"/>
    </row>
    <row r="36" spans="1:12">
      <c r="A36" s="14">
        <v>39</v>
      </c>
      <c r="B36" s="2"/>
      <c r="C36" s="379"/>
      <c r="D36" s="2"/>
      <c r="E36" s="2"/>
      <c r="F36" s="2"/>
      <c r="G36" s="2"/>
      <c r="H36" s="2"/>
      <c r="I36" s="135"/>
      <c r="J36" s="2"/>
    </row>
    <row r="37" spans="1:12">
      <c r="A37" s="14">
        <v>40</v>
      </c>
      <c r="B37" s="276" t="s">
        <v>393</v>
      </c>
      <c r="C37" s="380"/>
      <c r="D37" s="1"/>
      <c r="E37" s="122"/>
      <c r="F37" s="122"/>
      <c r="G37" s="122"/>
      <c r="H37" s="136"/>
      <c r="I37" s="135"/>
      <c r="J37" s="2"/>
    </row>
    <row r="38" spans="1:12">
      <c r="A38" s="14">
        <v>41</v>
      </c>
      <c r="B38" s="2" t="s">
        <v>242</v>
      </c>
      <c r="C38" s="381">
        <v>13024.66</v>
      </c>
      <c r="D38" s="277">
        <v>0.5</v>
      </c>
      <c r="E38" s="278">
        <f>C38*D38</f>
        <v>6512.33</v>
      </c>
      <c r="F38" s="278"/>
      <c r="G38" s="278"/>
      <c r="H38" s="277">
        <v>0.5</v>
      </c>
      <c r="I38" s="278">
        <f>C38*H38</f>
        <v>6512.33</v>
      </c>
      <c r="J38" s="2"/>
      <c r="L38" s="357"/>
    </row>
    <row r="39" spans="1:12">
      <c r="A39" s="14">
        <v>42</v>
      </c>
      <c r="B39" s="2" t="s">
        <v>394</v>
      </c>
      <c r="C39" s="381">
        <v>11779.54</v>
      </c>
      <c r="D39" s="277">
        <v>0.5</v>
      </c>
      <c r="E39" s="278">
        <f t="shared" ref="E39:E42" si="7">C39*D39</f>
        <v>5889.77</v>
      </c>
      <c r="F39" s="278"/>
      <c r="G39" s="278"/>
      <c r="H39" s="277">
        <v>0.5</v>
      </c>
      <c r="I39" s="278">
        <f>C39*H39</f>
        <v>5889.77</v>
      </c>
      <c r="J39" s="2"/>
      <c r="L39" s="357"/>
    </row>
    <row r="40" spans="1:12">
      <c r="A40" s="14">
        <v>43</v>
      </c>
      <c r="B40" s="2" t="s">
        <v>395</v>
      </c>
      <c r="C40" s="381">
        <v>18127.62</v>
      </c>
      <c r="D40" s="355">
        <v>0.5</v>
      </c>
      <c r="E40" s="278">
        <f t="shared" si="7"/>
        <v>9063.81</v>
      </c>
      <c r="F40" s="356"/>
      <c r="G40" s="356"/>
      <c r="H40" s="355">
        <v>0.5</v>
      </c>
      <c r="I40" s="356">
        <f>C40*H40</f>
        <v>9063.81</v>
      </c>
      <c r="J40" s="2"/>
      <c r="L40" s="357"/>
    </row>
    <row r="41" spans="1:12">
      <c r="A41" s="14">
        <v>44</v>
      </c>
      <c r="B41" s="2" t="s">
        <v>396</v>
      </c>
      <c r="C41" s="381">
        <v>37134.94</v>
      </c>
      <c r="D41" s="355">
        <v>0.5</v>
      </c>
      <c r="E41" s="278">
        <f t="shared" si="7"/>
        <v>18567.47</v>
      </c>
      <c r="F41" s="356"/>
      <c r="G41" s="356"/>
      <c r="H41" s="355">
        <v>0.5</v>
      </c>
      <c r="I41" s="356">
        <f>C41*H41</f>
        <v>18567.47</v>
      </c>
      <c r="J41" s="2"/>
      <c r="L41" s="357"/>
    </row>
    <row r="42" spans="1:12">
      <c r="A42" s="14">
        <v>45</v>
      </c>
      <c r="B42" s="2" t="s">
        <v>1142</v>
      </c>
      <c r="C42" s="383">
        <v>45122</v>
      </c>
      <c r="D42" s="277">
        <v>0</v>
      </c>
      <c r="E42" s="278">
        <f t="shared" si="7"/>
        <v>0</v>
      </c>
      <c r="F42" s="355">
        <v>1</v>
      </c>
      <c r="G42" s="356">
        <f>C42*F42</f>
        <v>45122</v>
      </c>
      <c r="H42" s="355">
        <v>0</v>
      </c>
      <c r="I42" s="356">
        <f>C42*H42</f>
        <v>0</v>
      </c>
      <c r="J42" s="2"/>
    </row>
    <row r="43" spans="1:12">
      <c r="A43" s="14">
        <v>46</v>
      </c>
      <c r="B43" s="41" t="s">
        <v>43</v>
      </c>
      <c r="C43" s="382">
        <f>SUM(C38:C42)</f>
        <v>125188.76000000001</v>
      </c>
      <c r="D43" s="282"/>
      <c r="E43" s="282">
        <f>SUM(E38:E42)</f>
        <v>40033.380000000005</v>
      </c>
      <c r="F43" s="282"/>
      <c r="G43" s="282">
        <f>SUM(G42)</f>
        <v>45122</v>
      </c>
      <c r="H43" s="282"/>
      <c r="I43" s="282">
        <f>SUM(I38:I42)</f>
        <v>40033.380000000005</v>
      </c>
      <c r="J43" s="2"/>
    </row>
    <row r="44" spans="1:12">
      <c r="A44" s="14">
        <v>47</v>
      </c>
      <c r="B44" s="2"/>
      <c r="C44" s="381"/>
      <c r="D44" s="31"/>
      <c r="E44" s="31"/>
      <c r="F44" s="31"/>
      <c r="G44" s="31"/>
      <c r="H44" s="31"/>
      <c r="I44" s="283"/>
      <c r="J44" s="2"/>
    </row>
    <row r="45" spans="1:12">
      <c r="A45" s="14">
        <v>48</v>
      </c>
      <c r="B45" s="284" t="s">
        <v>397</v>
      </c>
      <c r="C45" s="381"/>
      <c r="D45" s="31"/>
      <c r="E45" s="31"/>
      <c r="F45" s="31"/>
      <c r="G45" s="31"/>
      <c r="H45" s="31"/>
      <c r="I45" s="283"/>
      <c r="J45" s="2"/>
    </row>
    <row r="46" spans="1:12">
      <c r="A46" s="14">
        <v>49</v>
      </c>
      <c r="B46" s="2" t="s">
        <v>242</v>
      </c>
      <c r="C46" s="381">
        <v>14864.469342778801</v>
      </c>
      <c r="D46" s="277">
        <v>0.5</v>
      </c>
      <c r="E46" s="278">
        <f>C46*D46</f>
        <v>7432.2346713894003</v>
      </c>
      <c r="F46" s="278"/>
      <c r="G46" s="278"/>
      <c r="H46" s="277">
        <v>0.5</v>
      </c>
      <c r="I46" s="278">
        <f>(16*11.95*12)+(27*15.31*12)</f>
        <v>7254.84</v>
      </c>
      <c r="J46" s="2"/>
    </row>
    <row r="47" spans="1:12">
      <c r="A47" s="14">
        <v>50</v>
      </c>
      <c r="B47" s="2" t="s">
        <v>394</v>
      </c>
      <c r="C47" s="381">
        <v>10848.631319546399</v>
      </c>
      <c r="D47" s="277">
        <v>0.5</v>
      </c>
      <c r="E47" s="278">
        <f>C47*D47</f>
        <v>5424.3156597731995</v>
      </c>
      <c r="F47" s="278"/>
      <c r="G47" s="278"/>
      <c r="H47" s="277">
        <v>0.5</v>
      </c>
      <c r="I47" s="278">
        <f>(6*21.15*12)+(12*27.1*12)</f>
        <v>5425.2000000000007</v>
      </c>
      <c r="J47" s="2"/>
    </row>
    <row r="48" spans="1:12">
      <c r="A48" s="14">
        <v>51</v>
      </c>
      <c r="B48" s="2" t="s">
        <v>395</v>
      </c>
      <c r="C48" s="381">
        <v>18704.247661443598</v>
      </c>
      <c r="D48" s="277">
        <v>0.5</v>
      </c>
      <c r="E48" s="278">
        <f>C48*D48</f>
        <v>9352.1238307217991</v>
      </c>
      <c r="F48" s="278"/>
      <c r="G48" s="278"/>
      <c r="H48" s="277">
        <v>0.5</v>
      </c>
      <c r="I48" s="278">
        <f>(9*24.1*12)+(18*29.92*12)</f>
        <v>9065.52</v>
      </c>
      <c r="J48" s="2"/>
    </row>
    <row r="49" spans="1:13">
      <c r="A49" s="14">
        <v>52</v>
      </c>
      <c r="B49" s="2" t="s">
        <v>396</v>
      </c>
      <c r="C49" s="383">
        <v>39412.222436775599</v>
      </c>
      <c r="D49" s="355">
        <v>0.5</v>
      </c>
      <c r="E49" s="356">
        <f>C49*D49</f>
        <v>19706.111218387799</v>
      </c>
      <c r="F49" s="356"/>
      <c r="G49" s="356"/>
      <c r="H49" s="355">
        <v>0.5</v>
      </c>
      <c r="I49" s="356">
        <f>(16*37.84*12)+(22*47.15*12)</f>
        <v>19712.879999999997</v>
      </c>
      <c r="J49" s="2"/>
    </row>
    <row r="50" spans="1:13">
      <c r="A50" s="14">
        <v>53</v>
      </c>
      <c r="B50" s="2" t="s">
        <v>1142</v>
      </c>
      <c r="C50" s="383">
        <v>46689.96</v>
      </c>
      <c r="D50" s="277">
        <v>0</v>
      </c>
      <c r="E50" s="356">
        <f>C50*D50</f>
        <v>0</v>
      </c>
      <c r="F50" s="355">
        <v>1</v>
      </c>
      <c r="G50" s="356">
        <f>C50*F50</f>
        <v>46689.96</v>
      </c>
      <c r="H50" s="277">
        <v>0</v>
      </c>
      <c r="I50" s="356">
        <f>C50*H50</f>
        <v>0</v>
      </c>
      <c r="J50" s="2"/>
    </row>
    <row r="51" spans="1:13">
      <c r="A51" s="14">
        <v>54</v>
      </c>
      <c r="B51" s="41" t="s">
        <v>43</v>
      </c>
      <c r="C51" s="382">
        <f>SUM(C46:C50)</f>
        <v>130519.53076054438</v>
      </c>
      <c r="D51" s="282"/>
      <c r="E51" s="282">
        <f>SUM(E46:E50)</f>
        <v>41914.785380272195</v>
      </c>
      <c r="F51" s="282"/>
      <c r="G51" s="282">
        <f>SUM(G50)</f>
        <v>46689.96</v>
      </c>
      <c r="H51" s="282"/>
      <c r="I51" s="282">
        <f>SUM(I46:I50)</f>
        <v>41458.44</v>
      </c>
      <c r="J51" s="2"/>
    </row>
    <row r="52" spans="1:13">
      <c r="A52" s="14">
        <v>55</v>
      </c>
      <c r="B52" s="2"/>
      <c r="C52" s="381"/>
      <c r="D52" s="31"/>
      <c r="E52" s="31"/>
      <c r="F52" s="31"/>
      <c r="G52" s="31"/>
      <c r="H52" s="31"/>
      <c r="I52" s="31"/>
      <c r="J52" s="2"/>
    </row>
    <row r="53" spans="1:13" ht="13.5" thickBot="1">
      <c r="A53" s="14">
        <v>56</v>
      </c>
      <c r="B53" s="285" t="s">
        <v>15</v>
      </c>
      <c r="C53" s="384"/>
      <c r="D53" s="49"/>
      <c r="E53" s="49"/>
      <c r="F53" s="49"/>
      <c r="G53" s="49"/>
      <c r="H53" s="49"/>
      <c r="I53" s="286">
        <f>I51-I43</f>
        <v>1425.0599999999977</v>
      </c>
      <c r="J53" s="2"/>
    </row>
    <row r="54" spans="1:13" ht="13.5" thickTop="1">
      <c r="A54" s="14">
        <v>57</v>
      </c>
    </row>
    <row r="55" spans="1:13" ht="13.5" thickBot="1">
      <c r="A55" s="14">
        <v>58</v>
      </c>
      <c r="B55" s="285" t="s">
        <v>1145</v>
      </c>
      <c r="C55" s="384"/>
      <c r="D55" s="49"/>
      <c r="E55" s="49"/>
      <c r="F55" s="49"/>
      <c r="G55" s="49"/>
      <c r="H55" s="49"/>
      <c r="I55" s="338">
        <f>L30+I53</f>
        <v>191319.40000000031</v>
      </c>
      <c r="J55" s="2"/>
    </row>
    <row r="56" spans="1:13" ht="13.5" thickTop="1">
      <c r="A56" s="14">
        <v>59</v>
      </c>
    </row>
    <row r="57" spans="1:13">
      <c r="A57" s="14">
        <v>60</v>
      </c>
    </row>
    <row r="58" spans="1:13">
      <c r="A58" s="14">
        <v>61</v>
      </c>
      <c r="B58" s="10" t="s">
        <v>298</v>
      </c>
    </row>
    <row r="59" spans="1:13">
      <c r="A59" s="14">
        <v>62</v>
      </c>
    </row>
    <row r="60" spans="1:13" ht="43.5" customHeight="1">
      <c r="A60" s="14">
        <v>63</v>
      </c>
      <c r="B60" s="453" t="s">
        <v>399</v>
      </c>
      <c r="C60" s="453"/>
      <c r="D60" s="453"/>
      <c r="E60" s="453"/>
      <c r="F60" s="453"/>
      <c r="G60" s="453"/>
      <c r="H60" s="453"/>
      <c r="I60" s="453"/>
    </row>
    <row r="61" spans="1:13">
      <c r="A61" s="14">
        <v>64</v>
      </c>
      <c r="B61" s="288"/>
    </row>
    <row r="62" spans="1:13" s="2" customFormat="1">
      <c r="A62" s="14">
        <v>65</v>
      </c>
      <c r="B62" s="81" t="s">
        <v>335</v>
      </c>
      <c r="C62" s="81"/>
      <c r="D62" s="9"/>
      <c r="E62" s="9"/>
      <c r="F62" s="10"/>
      <c r="G62" s="217" t="s">
        <v>125</v>
      </c>
      <c r="H62" s="138" t="s">
        <v>15</v>
      </c>
      <c r="I62" s="44"/>
      <c r="J62" s="44"/>
      <c r="K62" s="44"/>
      <c r="L62" s="44"/>
      <c r="M62" s="183"/>
    </row>
    <row r="63" spans="1:13" s="2" customFormat="1" ht="3.75" customHeight="1">
      <c r="A63" s="14">
        <v>66</v>
      </c>
      <c r="B63" s="10"/>
      <c r="C63" s="10"/>
      <c r="D63" s="9"/>
      <c r="E63" s="9"/>
      <c r="F63" s="10"/>
      <c r="G63" s="10"/>
      <c r="H63" s="10"/>
    </row>
    <row r="64" spans="1:13" s="2" customFormat="1">
      <c r="A64" s="14">
        <v>67</v>
      </c>
      <c r="B64" s="10" t="s">
        <v>116</v>
      </c>
      <c r="C64" s="10"/>
      <c r="D64" s="14"/>
      <c r="E64" s="14" t="s">
        <v>117</v>
      </c>
      <c r="F64" s="10"/>
      <c r="G64" s="218">
        <v>7.9162376565297371E-2</v>
      </c>
      <c r="H64" s="22">
        <f>G64*$I$55</f>
        <v>15145.298387046778</v>
      </c>
      <c r="I64" s="96"/>
      <c r="L64" s="169"/>
    </row>
    <row r="65" spans="1:13" s="2" customFormat="1">
      <c r="A65" s="14">
        <v>68</v>
      </c>
      <c r="B65" s="10" t="s">
        <v>118</v>
      </c>
      <c r="C65" s="10"/>
      <c r="D65" s="14"/>
      <c r="E65" s="14" t="s">
        <v>119</v>
      </c>
      <c r="F65" s="10"/>
      <c r="G65" s="218">
        <v>0.24163090740067283</v>
      </c>
      <c r="H65" s="22">
        <f t="shared" ref="H65:H68" si="8">G65*$I$55</f>
        <v>46228.680225352364</v>
      </c>
      <c r="I65" s="96"/>
      <c r="L65" s="169"/>
    </row>
    <row r="66" spans="1:13" s="2" customFormat="1">
      <c r="A66" s="14">
        <v>69</v>
      </c>
      <c r="B66" s="10" t="s">
        <v>120</v>
      </c>
      <c r="C66" s="10"/>
      <c r="D66" s="14"/>
      <c r="E66" s="14" t="s">
        <v>103</v>
      </c>
      <c r="F66" s="10"/>
      <c r="G66" s="218">
        <v>0.10810391683156846</v>
      </c>
      <c r="H66" s="22">
        <f t="shared" si="8"/>
        <v>20682.376505865614</v>
      </c>
      <c r="I66" s="96"/>
      <c r="L66" s="169"/>
    </row>
    <row r="67" spans="1:13" s="2" customFormat="1">
      <c r="A67" s="14">
        <v>70</v>
      </c>
      <c r="B67" s="10" t="s">
        <v>304</v>
      </c>
      <c r="C67" s="10"/>
      <c r="D67" s="14"/>
      <c r="E67" s="14" t="s">
        <v>78</v>
      </c>
      <c r="F67" s="10"/>
      <c r="G67" s="218">
        <v>2.3955366492386103E-2</v>
      </c>
      <c r="H67" s="22">
        <f t="shared" si="8"/>
        <v>4583.1263441034216</v>
      </c>
      <c r="I67" s="96"/>
      <c r="L67" s="169"/>
    </row>
    <row r="68" spans="1:13" s="2" customFormat="1">
      <c r="A68" s="14">
        <v>71</v>
      </c>
      <c r="B68" s="10" t="s">
        <v>121</v>
      </c>
      <c r="C68" s="10"/>
      <c r="D68" s="14"/>
      <c r="E68" s="14" t="s">
        <v>115</v>
      </c>
      <c r="F68" s="10"/>
      <c r="G68" s="218">
        <v>0.10589168658007772</v>
      </c>
      <c r="H68" s="22">
        <f t="shared" si="8"/>
        <v>20259.133941488555</v>
      </c>
      <c r="I68" s="96"/>
      <c r="L68" s="169"/>
    </row>
    <row r="69" spans="1:13" s="2" customFormat="1" ht="15" customHeight="1">
      <c r="A69" s="14">
        <v>72</v>
      </c>
      <c r="B69" s="243" t="s">
        <v>374</v>
      </c>
      <c r="C69" s="385"/>
      <c r="D69" s="15"/>
      <c r="E69" s="15"/>
      <c r="F69" s="15"/>
      <c r="G69" s="219">
        <f>SUM(G64:G68)</f>
        <v>0.55874425387000248</v>
      </c>
      <c r="H69" s="358">
        <f>SUM(H64:H68)</f>
        <v>106898.61540385675</v>
      </c>
      <c r="I69" s="96"/>
      <c r="L69" s="359"/>
    </row>
    <row r="70" spans="1:13" s="2" customFormat="1" ht="5.25" customHeight="1">
      <c r="A70" s="14">
        <v>73</v>
      </c>
      <c r="B70" s="10"/>
      <c r="C70" s="10"/>
      <c r="D70" s="9"/>
      <c r="E70" s="9"/>
      <c r="F70" s="10"/>
      <c r="G70" s="218"/>
      <c r="H70" s="22"/>
      <c r="I70" s="96"/>
    </row>
    <row r="71" spans="1:13" s="2" customFormat="1">
      <c r="A71" s="14">
        <v>74</v>
      </c>
      <c r="B71" s="10" t="s">
        <v>305</v>
      </c>
      <c r="C71" s="10"/>
      <c r="D71" s="14"/>
      <c r="E71" s="14" t="s">
        <v>306</v>
      </c>
      <c r="F71" s="10"/>
      <c r="G71" s="218">
        <v>0.26532065508349417</v>
      </c>
      <c r="H71" s="22">
        <f t="shared" ref="H71:H74" si="9">G71*$I$55</f>
        <v>50760.98853818114</v>
      </c>
      <c r="I71" s="96"/>
      <c r="L71" s="169"/>
    </row>
    <row r="72" spans="1:13" s="2" customFormat="1">
      <c r="A72" s="14">
        <v>75</v>
      </c>
      <c r="B72" s="10" t="s">
        <v>307</v>
      </c>
      <c r="C72" s="10"/>
      <c r="D72" s="14"/>
      <c r="E72" s="14" t="s">
        <v>308</v>
      </c>
      <c r="F72" s="10"/>
      <c r="G72" s="218">
        <v>1.9168932948869864E-2</v>
      </c>
      <c r="H72" s="22">
        <f t="shared" si="9"/>
        <v>3667.3887504180193</v>
      </c>
      <c r="I72" s="96"/>
      <c r="L72" s="169"/>
    </row>
    <row r="73" spans="1:13" s="2" customFormat="1">
      <c r="A73" s="14">
        <v>76</v>
      </c>
      <c r="B73" s="10" t="s">
        <v>309</v>
      </c>
      <c r="C73" s="10"/>
      <c r="D73" s="14"/>
      <c r="E73" s="14" t="s">
        <v>310</v>
      </c>
      <c r="F73" s="10"/>
      <c r="G73" s="218">
        <v>5.5518749294945616E-2</v>
      </c>
      <c r="H73" s="22">
        <f t="shared" si="9"/>
        <v>10621.813803859435</v>
      </c>
      <c r="I73" s="96"/>
      <c r="L73" s="169"/>
    </row>
    <row r="74" spans="1:13" s="2" customFormat="1">
      <c r="A74" s="14">
        <v>77</v>
      </c>
      <c r="B74" s="10" t="s">
        <v>311</v>
      </c>
      <c r="C74" s="10"/>
      <c r="D74" s="14"/>
      <c r="E74" s="14" t="s">
        <v>312</v>
      </c>
      <c r="F74" s="10"/>
      <c r="G74" s="218">
        <v>0.10124740880268777</v>
      </c>
      <c r="H74" s="22">
        <f t="shared" si="9"/>
        <v>19370.593503684977</v>
      </c>
      <c r="I74" s="96"/>
      <c r="L74" s="169"/>
    </row>
    <row r="75" spans="1:13" s="2" customFormat="1" ht="15" customHeight="1">
      <c r="A75" s="14">
        <v>78</v>
      </c>
      <c r="B75" s="15"/>
      <c r="C75" s="15"/>
      <c r="D75" s="15"/>
      <c r="E75" s="15" t="s">
        <v>22</v>
      </c>
      <c r="F75" s="15"/>
      <c r="G75" s="219">
        <f>SUM(G71:G74)</f>
        <v>0.44125574612999741</v>
      </c>
      <c r="H75" s="28">
        <f>SUM(H71:H74)</f>
        <v>84420.784596143567</v>
      </c>
      <c r="I75" s="96"/>
      <c r="L75" s="169"/>
    </row>
    <row r="76" spans="1:13" s="2" customFormat="1" ht="5.25" customHeight="1">
      <c r="A76" s="14">
        <v>79</v>
      </c>
      <c r="B76" s="10"/>
      <c r="C76" s="10"/>
      <c r="D76" s="9"/>
      <c r="E76" s="9"/>
      <c r="F76" s="10"/>
      <c r="G76" s="218"/>
      <c r="H76" s="22"/>
      <c r="I76" s="34"/>
    </row>
    <row r="77" spans="1:13" s="2" customFormat="1" ht="15" customHeight="1" thickBot="1">
      <c r="A77" s="14">
        <v>80</v>
      </c>
      <c r="B77" s="19"/>
      <c r="C77" s="19"/>
      <c r="D77" s="19"/>
      <c r="E77" s="220" t="s">
        <v>43</v>
      </c>
      <c r="F77" s="19"/>
      <c r="G77" s="222">
        <f>G69+G75</f>
        <v>0.99999999999999989</v>
      </c>
      <c r="H77" s="221">
        <f>H69+H75</f>
        <v>191319.40000000031</v>
      </c>
      <c r="I77" s="34"/>
      <c r="L77" s="306"/>
      <c r="M77" s="306"/>
    </row>
    <row r="78" spans="1:13" ht="13.5" thickTop="1"/>
  </sheetData>
  <mergeCells count="5">
    <mergeCell ref="B32:I32"/>
    <mergeCell ref="B60:I60"/>
    <mergeCell ref="B3:L3"/>
    <mergeCell ref="B4:L4"/>
    <mergeCell ref="B6:L6"/>
  </mergeCells>
  <printOptions horizontalCentered="1"/>
  <pageMargins left="0.7" right="0.7" top="0.75" bottom="0.75" header="0.3" footer="0.3"/>
  <pageSetup scale="62" fitToHeight="0" orientation="portrait" r:id="rId1"/>
  <headerFooter>
    <oddFooter>&amp;RExhibit  JW-2
Page &amp;P of &amp;N</oddFooter>
  </headerFooter>
  <ignoredErrors>
    <ignoredError sqref="B10:L10 C35:I35"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C75B9-136C-420F-88A5-EA93419448F3}">
  <sheetPr>
    <pageSetUpPr fitToPage="1"/>
  </sheetPr>
  <dimension ref="A1:P24"/>
  <sheetViews>
    <sheetView view="pageBreakPreview" zoomScaleNormal="100" zoomScaleSheetLayoutView="100" workbookViewId="0">
      <selection activeCell="G5" sqref="G5"/>
    </sheetView>
  </sheetViews>
  <sheetFormatPr defaultRowHeight="12.75"/>
  <cols>
    <col min="1" max="1" width="9.28515625" style="14" bestFit="1" customWidth="1"/>
    <col min="2" max="2" width="12.7109375" style="10" customWidth="1"/>
    <col min="3" max="3" width="12" style="133" bestFit="1" customWidth="1"/>
    <col min="4" max="4" width="9.28515625" style="10" bestFit="1" customWidth="1"/>
    <col min="5" max="5" width="9.140625" style="10" hidden="1" customWidth="1"/>
    <col min="6" max="6" width="9.28515625" style="10" bestFit="1" customWidth="1"/>
    <col min="7" max="7" width="11" style="10" customWidth="1"/>
    <col min="8" max="8" width="12" style="10" customWidth="1"/>
    <col min="9" max="9" width="14" style="10" customWidth="1"/>
    <col min="10" max="10" width="13.5703125" style="10" customWidth="1"/>
    <col min="11" max="11" width="14.5703125" style="10" customWidth="1"/>
    <col min="12" max="12" width="14.42578125" style="10" customWidth="1"/>
    <col min="13" max="13" width="11.28515625" style="133" bestFit="1" customWidth="1"/>
    <col min="14" max="14" width="10.85546875" style="10" customWidth="1"/>
    <col min="15" max="15" width="11.5703125" style="10" bestFit="1" customWidth="1"/>
    <col min="16" max="16" width="9.7109375" style="10" bestFit="1" customWidth="1"/>
    <col min="17" max="17" width="11" style="10" bestFit="1" customWidth="1"/>
    <col min="18" max="16384" width="9.140625" style="10"/>
  </cols>
  <sheetData>
    <row r="1" spans="1:16">
      <c r="C1" s="10"/>
      <c r="M1" s="10"/>
      <c r="O1" s="5" t="s">
        <v>1219</v>
      </c>
    </row>
    <row r="2" spans="1:16" ht="20.25" customHeight="1">
      <c r="C2" s="10"/>
      <c r="G2" s="5"/>
      <c r="M2" s="10"/>
    </row>
    <row r="3" spans="1:16">
      <c r="B3" s="447" t="str">
        <f>RevReq!A1</f>
        <v>SOUTH KENTUCKY R.E.C.C.</v>
      </c>
      <c r="C3" s="447"/>
      <c r="D3" s="447"/>
      <c r="E3" s="447"/>
      <c r="F3" s="447"/>
      <c r="G3" s="447"/>
      <c r="H3" s="447"/>
      <c r="I3" s="447"/>
      <c r="J3" s="447"/>
      <c r="K3" s="447"/>
      <c r="L3" s="447"/>
      <c r="M3" s="447"/>
      <c r="N3" s="447"/>
      <c r="O3" s="447"/>
      <c r="P3" s="447"/>
    </row>
    <row r="4" spans="1:16">
      <c r="B4" s="447" t="str">
        <f>RevReq!A3</f>
        <v>For the 12 Months Ended May 2024</v>
      </c>
      <c r="C4" s="447"/>
      <c r="D4" s="447"/>
      <c r="E4" s="447"/>
      <c r="F4" s="447"/>
      <c r="G4" s="447"/>
      <c r="H4" s="447"/>
      <c r="I4" s="447"/>
      <c r="J4" s="447"/>
      <c r="K4" s="447"/>
      <c r="L4" s="447"/>
      <c r="M4" s="447"/>
      <c r="N4" s="447"/>
      <c r="O4" s="447"/>
      <c r="P4" s="447"/>
    </row>
    <row r="5" spans="1:16">
      <c r="C5" s="10"/>
      <c r="M5" s="10"/>
    </row>
    <row r="6" spans="1:16" s="6" customFormat="1" ht="15" customHeight="1">
      <c r="A6" s="427"/>
      <c r="B6" s="448" t="s">
        <v>1204</v>
      </c>
      <c r="C6" s="448"/>
      <c r="D6" s="448"/>
      <c r="E6" s="448"/>
      <c r="F6" s="448"/>
      <c r="G6" s="448"/>
      <c r="H6" s="448"/>
      <c r="I6" s="448"/>
      <c r="J6" s="448"/>
      <c r="K6" s="448"/>
      <c r="L6" s="448"/>
      <c r="M6" s="448"/>
      <c r="N6" s="448"/>
      <c r="O6" s="448"/>
      <c r="P6" s="448"/>
    </row>
    <row r="7" spans="1:16">
      <c r="A7" s="14" t="s">
        <v>21</v>
      </c>
      <c r="C7" s="10"/>
      <c r="E7" s="9"/>
      <c r="F7" s="9"/>
      <c r="H7" s="46"/>
      <c r="M7" s="10"/>
    </row>
    <row r="8" spans="1:16">
      <c r="A8" s="14">
        <v>1</v>
      </c>
      <c r="B8" s="10" t="s">
        <v>1196</v>
      </c>
    </row>
    <row r="9" spans="1:16">
      <c r="A9" s="14">
        <f>A8+1</f>
        <v>2</v>
      </c>
      <c r="B9" s="10" t="s">
        <v>1188</v>
      </c>
    </row>
    <row r="10" spans="1:16">
      <c r="A10" s="14">
        <f t="shared" ref="A10:A18" si="0">A9+1</f>
        <v>3</v>
      </c>
    </row>
    <row r="11" spans="1:16" s="27" customFormat="1" ht="38.25">
      <c r="A11" s="14">
        <f t="shared" si="0"/>
        <v>4</v>
      </c>
      <c r="B11" s="27" t="s">
        <v>1150</v>
      </c>
      <c r="C11" s="428" t="s">
        <v>1149</v>
      </c>
    </row>
    <row r="12" spans="1:16">
      <c r="A12" s="14">
        <f t="shared" si="0"/>
        <v>5</v>
      </c>
      <c r="B12" s="9">
        <v>14</v>
      </c>
      <c r="C12" s="133">
        <f>B12*17.55</f>
        <v>245.70000000000002</v>
      </c>
    </row>
    <row r="13" spans="1:16">
      <c r="A13" s="14">
        <f t="shared" si="0"/>
        <v>6</v>
      </c>
    </row>
    <row r="14" spans="1:16" ht="51">
      <c r="A14" s="14">
        <f t="shared" si="0"/>
        <v>7</v>
      </c>
      <c r="B14" s="430" t="s">
        <v>1158</v>
      </c>
      <c r="C14" s="430" t="s">
        <v>1151</v>
      </c>
      <c r="D14" s="430" t="s">
        <v>1152</v>
      </c>
      <c r="E14" s="430" t="s">
        <v>1153</v>
      </c>
      <c r="F14" s="430" t="s">
        <v>1205</v>
      </c>
      <c r="G14" s="430" t="s">
        <v>1155</v>
      </c>
      <c r="H14" s="430" t="s">
        <v>1206</v>
      </c>
      <c r="I14" s="430" t="s">
        <v>1161</v>
      </c>
      <c r="J14" s="430" t="s">
        <v>1160</v>
      </c>
      <c r="K14" s="431" t="s">
        <v>1156</v>
      </c>
      <c r="L14" s="430" t="s">
        <v>1157</v>
      </c>
      <c r="M14" s="430" t="s">
        <v>1207</v>
      </c>
      <c r="N14" s="140" t="s">
        <v>1133</v>
      </c>
      <c r="O14" s="430" t="s">
        <v>1220</v>
      </c>
    </row>
    <row r="15" spans="1:16">
      <c r="A15" s="14">
        <f t="shared" si="0"/>
        <v>8</v>
      </c>
    </row>
    <row r="16" spans="1:16">
      <c r="A16" s="14">
        <f t="shared" si="0"/>
        <v>9</v>
      </c>
      <c r="B16" s="25">
        <f>(8*B12)/60</f>
        <v>1.8666666666666667</v>
      </c>
      <c r="C16" s="133">
        <v>44.11</v>
      </c>
      <c r="D16" s="133">
        <f>C16*B16</f>
        <v>82.338666666666668</v>
      </c>
      <c r="E16" s="133">
        <f>D16/B12</f>
        <v>5.8813333333333331</v>
      </c>
      <c r="F16" s="10">
        <f>2*B12</f>
        <v>28</v>
      </c>
      <c r="G16" s="133">
        <v>46.27</v>
      </c>
      <c r="H16" s="133">
        <f>F16*G16</f>
        <v>1295.5600000000002</v>
      </c>
      <c r="I16" s="133">
        <v>23.88</v>
      </c>
      <c r="J16" s="133">
        <f>F16*I16</f>
        <v>668.64</v>
      </c>
      <c r="K16" s="133">
        <f>H16+J16</f>
        <v>1964.2000000000003</v>
      </c>
      <c r="L16" s="133">
        <f>K16+D16</f>
        <v>2046.538666666667</v>
      </c>
      <c r="M16" s="141">
        <f>L16/B12</f>
        <v>146.18133333333336</v>
      </c>
      <c r="N16" s="236">
        <f>ROUNDUP(M16,-1)</f>
        <v>150</v>
      </c>
      <c r="O16" s="141">
        <f>N16*B12</f>
        <v>2100</v>
      </c>
    </row>
    <row r="17" spans="1:15">
      <c r="A17" s="14">
        <f t="shared" si="0"/>
        <v>10</v>
      </c>
    </row>
    <row r="18" spans="1:15">
      <c r="A18" s="14">
        <f t="shared" si="0"/>
        <v>11</v>
      </c>
      <c r="M18" s="10" t="s">
        <v>15</v>
      </c>
      <c r="O18" s="432">
        <f>O16-C12</f>
        <v>1854.3</v>
      </c>
    </row>
    <row r="19" spans="1:15">
      <c r="M19" s="10"/>
      <c r="O19" s="133"/>
    </row>
    <row r="20" spans="1:15">
      <c r="M20" s="10"/>
      <c r="O20" s="133"/>
    </row>
    <row r="21" spans="1:15">
      <c r="M21" s="10"/>
      <c r="O21" s="133"/>
    </row>
    <row r="22" spans="1:15">
      <c r="M22" s="10"/>
      <c r="O22" s="133"/>
    </row>
    <row r="23" spans="1:15">
      <c r="M23" s="10"/>
      <c r="O23" s="133"/>
    </row>
    <row r="24" spans="1:15">
      <c r="M24" s="10"/>
      <c r="O24" s="432"/>
    </row>
  </sheetData>
  <mergeCells count="3">
    <mergeCell ref="B3:P3"/>
    <mergeCell ref="B4:P4"/>
    <mergeCell ref="B6:P6"/>
  </mergeCells>
  <pageMargins left="0.7" right="0.7" top="0.75" bottom="0.75" header="0.3" footer="0.3"/>
  <pageSetup scale="74" orientation="landscape" r:id="rId1"/>
  <headerFooter>
    <oddFooter>&amp;RExhibit  JW-2
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99D70-751E-4071-B559-07FF307A6752}">
  <sheetPr>
    <pageSetUpPr fitToPage="1"/>
  </sheetPr>
  <dimension ref="A1:P32"/>
  <sheetViews>
    <sheetView view="pageBreakPreview" zoomScaleNormal="130" zoomScaleSheetLayoutView="100" workbookViewId="0">
      <selection activeCell="C19" sqref="C19:C22"/>
    </sheetView>
  </sheetViews>
  <sheetFormatPr defaultRowHeight="12.75"/>
  <cols>
    <col min="1" max="1" width="4.5703125" style="14" customWidth="1"/>
    <col min="2" max="2" width="40.7109375" style="10" customWidth="1"/>
    <col min="3" max="3" width="13.5703125" style="10" bestFit="1" customWidth="1"/>
    <col min="4" max="5" width="11.42578125" style="10" customWidth="1"/>
    <col min="6" max="6" width="14.5703125" style="10" customWidth="1"/>
    <col min="7" max="7" width="14.42578125" style="10" customWidth="1"/>
    <col min="8" max="8" width="10.7109375" style="133" bestFit="1" customWidth="1"/>
    <col min="9" max="9" width="9.42578125" style="9" bestFit="1" customWidth="1"/>
    <col min="10" max="10" width="14.42578125" style="10" bestFit="1" customWidth="1"/>
    <col min="11" max="11" width="9.42578125" style="13" customWidth="1"/>
    <col min="12" max="12" width="11.28515625" style="10" bestFit="1" customWidth="1"/>
    <col min="13" max="16384" width="9.140625" style="10"/>
  </cols>
  <sheetData>
    <row r="1" spans="1:16">
      <c r="H1" s="10"/>
      <c r="K1" s="10"/>
      <c r="L1" s="5" t="s">
        <v>1221</v>
      </c>
    </row>
    <row r="2" spans="1:16" ht="20.25" customHeight="1">
      <c r="G2" s="5"/>
      <c r="H2" s="10"/>
      <c r="K2" s="10"/>
    </row>
    <row r="3" spans="1:16">
      <c r="B3" s="447" t="str">
        <f>RevReq!A1</f>
        <v>SOUTH KENTUCKY R.E.C.C.</v>
      </c>
      <c r="C3" s="447"/>
      <c r="D3" s="447"/>
      <c r="E3" s="447"/>
      <c r="F3" s="447"/>
      <c r="G3" s="447"/>
      <c r="H3" s="447"/>
      <c r="I3" s="447"/>
      <c r="J3" s="447"/>
      <c r="K3" s="447"/>
      <c r="L3" s="447"/>
      <c r="M3" s="7"/>
      <c r="N3" s="7"/>
      <c r="O3" s="7"/>
      <c r="P3" s="7"/>
    </row>
    <row r="4" spans="1:16">
      <c r="B4" s="447" t="str">
        <f>RevReq!A3</f>
        <v>For the 12 Months Ended May 2024</v>
      </c>
      <c r="C4" s="447"/>
      <c r="D4" s="447"/>
      <c r="E4" s="447"/>
      <c r="F4" s="447"/>
      <c r="G4" s="447"/>
      <c r="H4" s="447"/>
      <c r="I4" s="447"/>
      <c r="J4" s="447"/>
      <c r="K4" s="447"/>
      <c r="L4" s="447"/>
      <c r="M4" s="7"/>
      <c r="N4" s="7"/>
      <c r="O4" s="7"/>
      <c r="P4" s="7"/>
    </row>
    <row r="5" spans="1:16">
      <c r="H5" s="10"/>
      <c r="K5" s="10"/>
    </row>
    <row r="6" spans="1:16" s="6" customFormat="1" ht="15" customHeight="1">
      <c r="A6" s="427"/>
      <c r="B6" s="448" t="s">
        <v>1176</v>
      </c>
      <c r="C6" s="448"/>
      <c r="D6" s="448"/>
      <c r="E6" s="448"/>
      <c r="F6" s="448"/>
      <c r="G6" s="448"/>
      <c r="H6" s="448"/>
      <c r="I6" s="448"/>
      <c r="J6" s="448"/>
      <c r="K6" s="448"/>
      <c r="L6" s="448"/>
      <c r="M6" s="135"/>
      <c r="N6" s="135"/>
      <c r="O6" s="135"/>
      <c r="P6" s="135"/>
    </row>
    <row r="7" spans="1:16">
      <c r="A7" s="14" t="s">
        <v>21</v>
      </c>
      <c r="E7" s="9"/>
      <c r="F7" s="9"/>
      <c r="H7" s="46"/>
      <c r="K7" s="10"/>
    </row>
    <row r="8" spans="1:16">
      <c r="A8" s="14">
        <v>1</v>
      </c>
      <c r="B8" s="10" t="s">
        <v>1192</v>
      </c>
    </row>
    <row r="9" spans="1:16">
      <c r="A9" s="14">
        <f>A8+1</f>
        <v>2</v>
      </c>
    </row>
    <row r="10" spans="1:16" s="433" customFormat="1" ht="38.25">
      <c r="A10" s="14">
        <f t="shared" ref="A10:A26" si="0">A9+1</f>
        <v>3</v>
      </c>
      <c r="B10" s="433" t="s">
        <v>1</v>
      </c>
      <c r="C10" s="434" t="s">
        <v>1165</v>
      </c>
      <c r="E10" s="430" t="s">
        <v>1171</v>
      </c>
      <c r="H10" s="435"/>
      <c r="I10" s="27"/>
      <c r="K10" s="436"/>
    </row>
    <row r="11" spans="1:16">
      <c r="A11" s="14">
        <f t="shared" si="0"/>
        <v>4</v>
      </c>
      <c r="B11" s="10" t="s">
        <v>1164</v>
      </c>
      <c r="C11" s="133">
        <v>38171.25</v>
      </c>
      <c r="D11" s="141"/>
      <c r="E11" s="22">
        <v>2175</v>
      </c>
      <c r="F11" s="141"/>
    </row>
    <row r="12" spans="1:16">
      <c r="A12" s="14">
        <f t="shared" si="0"/>
        <v>5</v>
      </c>
      <c r="B12" s="10" t="s">
        <v>1167</v>
      </c>
      <c r="C12" s="133">
        <v>3450</v>
      </c>
      <c r="E12" s="22">
        <v>20</v>
      </c>
      <c r="F12" s="141"/>
    </row>
    <row r="13" spans="1:16">
      <c r="A13" s="14">
        <f t="shared" si="0"/>
        <v>6</v>
      </c>
      <c r="C13" s="437">
        <f>SUM(C11:C12)</f>
        <v>41621.25</v>
      </c>
    </row>
    <row r="14" spans="1:16">
      <c r="A14" s="14">
        <f t="shared" si="0"/>
        <v>7</v>
      </c>
    </row>
    <row r="15" spans="1:16">
      <c r="A15" s="14">
        <f t="shared" si="0"/>
        <v>8</v>
      </c>
    </row>
    <row r="16" spans="1:16">
      <c r="A16" s="14">
        <f t="shared" si="0"/>
        <v>9</v>
      </c>
      <c r="B16" s="10" t="s">
        <v>1163</v>
      </c>
    </row>
    <row r="17" spans="1:12">
      <c r="A17" s="14">
        <f t="shared" si="0"/>
        <v>10</v>
      </c>
    </row>
    <row r="18" spans="1:12" s="27" customFormat="1" ht="38.25">
      <c r="A18" s="14">
        <f t="shared" si="0"/>
        <v>11</v>
      </c>
      <c r="C18" s="27" t="s">
        <v>1154</v>
      </c>
      <c r="D18" s="27" t="s">
        <v>1155</v>
      </c>
      <c r="E18" s="27" t="s">
        <v>1162</v>
      </c>
      <c r="F18" s="27" t="s">
        <v>1161</v>
      </c>
      <c r="G18" s="27" t="s">
        <v>1160</v>
      </c>
      <c r="H18" s="438" t="s">
        <v>1159</v>
      </c>
      <c r="I18" s="27" t="s">
        <v>1209</v>
      </c>
      <c r="J18" s="27" t="s">
        <v>1170</v>
      </c>
      <c r="K18" s="439" t="s">
        <v>1208</v>
      </c>
      <c r="L18" s="27" t="s">
        <v>1222</v>
      </c>
    </row>
    <row r="19" spans="1:12">
      <c r="A19" s="14">
        <f t="shared" si="0"/>
        <v>12</v>
      </c>
      <c r="B19" s="81" t="s">
        <v>1166</v>
      </c>
      <c r="C19" s="9">
        <v>2</v>
      </c>
      <c r="D19" s="133">
        <v>46.27</v>
      </c>
      <c r="E19" s="133">
        <f>C19*D19</f>
        <v>92.54</v>
      </c>
      <c r="F19" s="133">
        <v>23.88</v>
      </c>
      <c r="G19" s="133">
        <f>C19*F19</f>
        <v>47.76</v>
      </c>
      <c r="H19" s="133">
        <f>E19+G19</f>
        <v>140.30000000000001</v>
      </c>
      <c r="I19" s="444">
        <v>1475</v>
      </c>
      <c r="J19" s="141">
        <f>H19*I19</f>
        <v>206942.50000000003</v>
      </c>
      <c r="K19" s="443">
        <f>ROUND((J19/I19),0)</f>
        <v>140</v>
      </c>
      <c r="L19" s="24">
        <f>K19*I19</f>
        <v>206500</v>
      </c>
    </row>
    <row r="20" spans="1:12">
      <c r="A20" s="14">
        <f t="shared" si="0"/>
        <v>13</v>
      </c>
      <c r="B20" s="10" t="s">
        <v>1168</v>
      </c>
      <c r="C20" s="9">
        <f>C19*2</f>
        <v>4</v>
      </c>
      <c r="D20" s="141">
        <f>D19*1.5</f>
        <v>69.405000000000001</v>
      </c>
      <c r="E20" s="141">
        <f>C20*D20</f>
        <v>277.62</v>
      </c>
      <c r="F20" s="133">
        <v>23.88</v>
      </c>
      <c r="G20" s="133">
        <f>C20*F20</f>
        <v>95.52</v>
      </c>
      <c r="H20" s="133">
        <f>E20+G20</f>
        <v>373.14</v>
      </c>
      <c r="K20" s="440"/>
    </row>
    <row r="21" spans="1:12">
      <c r="A21" s="14">
        <f t="shared" si="0"/>
        <v>14</v>
      </c>
      <c r="B21" s="10" t="s">
        <v>1169</v>
      </c>
      <c r="C21" s="9">
        <f>C19*2</f>
        <v>4</v>
      </c>
      <c r="D21" s="141">
        <f>D19*2</f>
        <v>92.54</v>
      </c>
      <c r="E21" s="141">
        <f>C21*D21</f>
        <v>370.16</v>
      </c>
      <c r="F21" s="133">
        <v>23.88</v>
      </c>
      <c r="G21" s="133">
        <f>C21*F21</f>
        <v>95.52</v>
      </c>
      <c r="H21" s="133">
        <f>E21+G21</f>
        <v>465.68</v>
      </c>
      <c r="K21" s="440"/>
    </row>
    <row r="22" spans="1:12">
      <c r="A22" s="14">
        <f t="shared" si="0"/>
        <v>15</v>
      </c>
      <c r="B22" s="81" t="s">
        <v>1193</v>
      </c>
      <c r="C22" s="9"/>
      <c r="H22" s="133">
        <f>(H20*0.85)+(H21*0.15)</f>
        <v>387.02099999999996</v>
      </c>
      <c r="I22" s="9">
        <v>20</v>
      </c>
      <c r="J22" s="141">
        <f>H22*I22</f>
        <v>7740.4199999999992</v>
      </c>
      <c r="K22" s="441">
        <f>ROUND((J22/I22),0)</f>
        <v>387</v>
      </c>
    </row>
    <row r="23" spans="1:12">
      <c r="A23" s="14">
        <f t="shared" si="0"/>
        <v>16</v>
      </c>
      <c r="J23" s="437">
        <f>SUM(J19:J22)</f>
        <v>214682.92000000004</v>
      </c>
    </row>
    <row r="24" spans="1:12">
      <c r="A24" s="14">
        <f t="shared" si="0"/>
        <v>17</v>
      </c>
    </row>
    <row r="25" spans="1:12">
      <c r="A25" s="14">
        <f t="shared" si="0"/>
        <v>18</v>
      </c>
    </row>
    <row r="26" spans="1:12">
      <c r="A26" s="14">
        <f t="shared" si="0"/>
        <v>19</v>
      </c>
      <c r="J26" s="10" t="s">
        <v>15</v>
      </c>
      <c r="L26" s="429">
        <f>J23-C13</f>
        <v>173061.67000000004</v>
      </c>
    </row>
    <row r="27" spans="1:12">
      <c r="L27" s="24"/>
    </row>
    <row r="28" spans="1:12">
      <c r="L28" s="24"/>
    </row>
    <row r="29" spans="1:12">
      <c r="L29" s="24"/>
    </row>
    <row r="30" spans="1:12">
      <c r="L30" s="24"/>
    </row>
    <row r="31" spans="1:12">
      <c r="L31" s="24"/>
    </row>
    <row r="32" spans="1:12">
      <c r="L32" s="429"/>
    </row>
  </sheetData>
  <mergeCells count="3">
    <mergeCell ref="B3:L3"/>
    <mergeCell ref="B4:L4"/>
    <mergeCell ref="B6:L6"/>
  </mergeCells>
  <pageMargins left="0.7" right="0.7" top="0.75" bottom="0.75" header="0.3" footer="0.3"/>
  <pageSetup scale="74" orientation="landscape" r:id="rId1"/>
  <headerFooter>
    <oddFooter>&amp;RExhibit  JW-2
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32547-B950-4446-94A6-AB72F515F721}">
  <dimension ref="A1:P27"/>
  <sheetViews>
    <sheetView view="pageBreakPreview" zoomScaleNormal="120" zoomScaleSheetLayoutView="100" workbookViewId="0">
      <selection activeCell="B18" sqref="B18"/>
    </sheetView>
  </sheetViews>
  <sheetFormatPr defaultRowHeight="12.75"/>
  <cols>
    <col min="1" max="1" width="7.5703125" style="14" customWidth="1"/>
    <col min="2" max="2" width="14.85546875" style="10" customWidth="1"/>
    <col min="3" max="3" width="12.5703125" style="10" customWidth="1"/>
    <col min="4" max="4" width="10.140625" style="10" customWidth="1"/>
    <col min="5" max="5" width="13.28515625" style="10" bestFit="1" customWidth="1"/>
    <col min="6" max="6" width="19.140625" style="10" bestFit="1" customWidth="1"/>
    <col min="7" max="7" width="15.42578125" style="13" customWidth="1"/>
    <col min="8" max="8" width="18" style="10" bestFit="1" customWidth="1"/>
    <col min="9" max="16384" width="9.140625" style="10"/>
  </cols>
  <sheetData>
    <row r="1" spans="1:16">
      <c r="G1" s="10"/>
      <c r="H1" s="5" t="s">
        <v>1224</v>
      </c>
    </row>
    <row r="2" spans="1:16" ht="20.25" customHeight="1">
      <c r="G2" s="5"/>
    </row>
    <row r="3" spans="1:16">
      <c r="B3" s="447" t="str">
        <f>RevReq!A1</f>
        <v>SOUTH KENTUCKY R.E.C.C.</v>
      </c>
      <c r="C3" s="447"/>
      <c r="D3" s="447"/>
      <c r="E3" s="447"/>
      <c r="F3" s="447"/>
      <c r="G3" s="447"/>
      <c r="H3" s="447"/>
      <c r="I3" s="7"/>
      <c r="J3" s="7"/>
      <c r="K3" s="7"/>
      <c r="L3" s="7"/>
      <c r="M3" s="7"/>
      <c r="N3" s="7"/>
      <c r="O3" s="7"/>
      <c r="P3" s="7"/>
    </row>
    <row r="4" spans="1:16">
      <c r="B4" s="447" t="str">
        <f>RevReq!A3</f>
        <v>For the 12 Months Ended May 2024</v>
      </c>
      <c r="C4" s="447"/>
      <c r="D4" s="447"/>
      <c r="E4" s="447"/>
      <c r="F4" s="447"/>
      <c r="G4" s="447"/>
      <c r="H4" s="447"/>
      <c r="I4" s="7"/>
      <c r="J4" s="7"/>
      <c r="K4" s="7"/>
      <c r="L4" s="7"/>
      <c r="M4" s="7"/>
      <c r="N4" s="7"/>
      <c r="O4" s="7"/>
      <c r="P4" s="7"/>
    </row>
    <row r="5" spans="1:16">
      <c r="G5" s="10"/>
    </row>
    <row r="6" spans="1:16" s="6" customFormat="1" ht="15" customHeight="1">
      <c r="A6" s="427"/>
      <c r="B6" s="448" t="s">
        <v>1223</v>
      </c>
      <c r="C6" s="448"/>
      <c r="D6" s="448"/>
      <c r="E6" s="448"/>
      <c r="F6" s="448"/>
      <c r="G6" s="448"/>
      <c r="H6" s="448"/>
      <c r="I6" s="135"/>
      <c r="J6" s="135"/>
      <c r="K6" s="135"/>
      <c r="L6" s="135"/>
      <c r="M6" s="135"/>
      <c r="N6" s="135"/>
      <c r="O6" s="135"/>
      <c r="P6" s="135"/>
    </row>
    <row r="7" spans="1:16">
      <c r="A7" s="14" t="s">
        <v>21</v>
      </c>
      <c r="E7" s="9"/>
      <c r="F7" s="9"/>
      <c r="G7" s="10"/>
      <c r="H7" s="46"/>
    </row>
    <row r="8" spans="1:16">
      <c r="A8" s="14">
        <v>1</v>
      </c>
      <c r="B8" s="10" t="s">
        <v>1191</v>
      </c>
    </row>
    <row r="9" spans="1:16">
      <c r="A9" s="14">
        <f>1+A8</f>
        <v>2</v>
      </c>
      <c r="B9" s="10" t="s">
        <v>1226</v>
      </c>
    </row>
    <row r="10" spans="1:16">
      <c r="A10" s="14">
        <f t="shared" ref="A10:A11" si="0">1+A9</f>
        <v>3</v>
      </c>
      <c r="B10" s="10" t="s">
        <v>1227</v>
      </c>
    </row>
    <row r="11" spans="1:16">
      <c r="A11" s="14">
        <f t="shared" si="0"/>
        <v>4</v>
      </c>
    </row>
    <row r="12" spans="1:16" ht="25.5">
      <c r="A12" s="14">
        <f t="shared" ref="A12:A21" si="1">1+A11</f>
        <v>5</v>
      </c>
      <c r="B12" s="433" t="s">
        <v>1178</v>
      </c>
      <c r="C12" s="433" t="s">
        <v>1180</v>
      </c>
    </row>
    <row r="13" spans="1:16">
      <c r="A13" s="14">
        <f t="shared" si="1"/>
        <v>6</v>
      </c>
      <c r="B13" s="317">
        <v>0</v>
      </c>
      <c r="C13" s="9" t="s">
        <v>1194</v>
      </c>
    </row>
    <row r="14" spans="1:16">
      <c r="A14" s="14">
        <f t="shared" si="1"/>
        <v>7</v>
      </c>
    </row>
    <row r="15" spans="1:16">
      <c r="A15" s="14">
        <f t="shared" si="1"/>
        <v>8</v>
      </c>
    </row>
    <row r="16" spans="1:16">
      <c r="A16" s="14">
        <f t="shared" si="1"/>
        <v>9</v>
      </c>
    </row>
    <row r="17" spans="1:8" ht="36.75" customHeight="1">
      <c r="A17" s="14">
        <f t="shared" si="1"/>
        <v>10</v>
      </c>
      <c r="B17" s="27" t="s">
        <v>1187</v>
      </c>
      <c r="C17" s="9" t="s">
        <v>1181</v>
      </c>
      <c r="D17" s="9" t="s">
        <v>1182</v>
      </c>
      <c r="E17" s="9" t="s">
        <v>1183</v>
      </c>
      <c r="F17" s="9" t="s">
        <v>1184</v>
      </c>
      <c r="G17" s="442" t="s">
        <v>1133</v>
      </c>
      <c r="H17" s="27" t="s">
        <v>1225</v>
      </c>
    </row>
    <row r="18" spans="1:8">
      <c r="A18" s="14">
        <f t="shared" si="1"/>
        <v>11</v>
      </c>
      <c r="B18" s="9">
        <v>700</v>
      </c>
      <c r="C18" s="10">
        <v>0.5</v>
      </c>
      <c r="D18" s="133">
        <f>(28.37+42.06)/2</f>
        <v>35.215000000000003</v>
      </c>
      <c r="E18" s="133">
        <f>B18*C18*D18</f>
        <v>12325.250000000002</v>
      </c>
      <c r="F18" s="133">
        <f>E18/B18</f>
        <v>17.607500000000002</v>
      </c>
      <c r="G18" s="432">
        <f>ROUNDUP(F18,-1)</f>
        <v>20</v>
      </c>
      <c r="H18" s="141">
        <f>G18*B18</f>
        <v>14000</v>
      </c>
    </row>
    <row r="19" spans="1:8">
      <c r="A19" s="14">
        <f t="shared" si="1"/>
        <v>12</v>
      </c>
    </row>
    <row r="20" spans="1:8">
      <c r="A20" s="14">
        <f t="shared" si="1"/>
        <v>13</v>
      </c>
    </row>
    <row r="21" spans="1:8">
      <c r="A21" s="14">
        <f t="shared" si="1"/>
        <v>14</v>
      </c>
      <c r="F21" s="10" t="s">
        <v>15</v>
      </c>
      <c r="H21" s="141">
        <f>H18-B13</f>
        <v>14000</v>
      </c>
    </row>
    <row r="23" spans="1:8">
      <c r="H23" s="141"/>
    </row>
    <row r="25" spans="1:8">
      <c r="H25" s="141"/>
    </row>
    <row r="27" spans="1:8">
      <c r="H27" s="236"/>
    </row>
  </sheetData>
  <mergeCells count="3">
    <mergeCell ref="B3:H3"/>
    <mergeCell ref="B4:H4"/>
    <mergeCell ref="B6:H6"/>
  </mergeCells>
  <pageMargins left="0.7" right="0.7" top="0.75" bottom="0.75" header="0.3" footer="0.3"/>
  <pageSetup scale="81" orientation="portrait" r:id="rId1"/>
  <headerFooter>
    <oddFooter>&amp;RExhibit  JW-2
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9D8A6-B0C6-4B05-8591-701089E6F49D}">
  <dimension ref="A1:Q26"/>
  <sheetViews>
    <sheetView view="pageBreakPreview" zoomScaleNormal="120" zoomScaleSheetLayoutView="100" workbookViewId="0">
      <selection activeCell="B7" sqref="B7"/>
    </sheetView>
  </sheetViews>
  <sheetFormatPr defaultRowHeight="12.75"/>
  <cols>
    <col min="1" max="1" width="9.140625" style="14"/>
    <col min="2" max="2" width="18" style="10" customWidth="1"/>
    <col min="3" max="3" width="21.28515625" style="10" customWidth="1"/>
    <col min="4" max="4" width="16" style="10" customWidth="1"/>
    <col min="5" max="5" width="11.28515625" style="10" customWidth="1"/>
    <col min="6" max="6" width="11.5703125" style="10" bestFit="1" customWidth="1"/>
    <col min="7" max="16384" width="9.140625" style="10"/>
  </cols>
  <sheetData>
    <row r="1" spans="1:17">
      <c r="B1" s="14"/>
      <c r="G1" s="5" t="s">
        <v>1228</v>
      </c>
    </row>
    <row r="2" spans="1:17" ht="20.25" customHeight="1">
      <c r="B2" s="14"/>
      <c r="H2" s="5"/>
    </row>
    <row r="3" spans="1:17">
      <c r="B3" s="447" t="str">
        <f>RevReq!A1</f>
        <v>SOUTH KENTUCKY R.E.C.C.</v>
      </c>
      <c r="C3" s="447"/>
      <c r="D3" s="447"/>
      <c r="E3" s="447"/>
      <c r="F3" s="447"/>
      <c r="G3" s="447"/>
      <c r="H3" s="7"/>
      <c r="I3" s="7"/>
      <c r="J3" s="7"/>
      <c r="K3" s="7"/>
      <c r="L3" s="7"/>
      <c r="M3" s="7"/>
      <c r="N3" s="7"/>
      <c r="O3" s="7"/>
      <c r="P3" s="7"/>
      <c r="Q3" s="7"/>
    </row>
    <row r="4" spans="1:17">
      <c r="B4" s="447" t="str">
        <f>RevReq!A3</f>
        <v>For the 12 Months Ended May 2024</v>
      </c>
      <c r="C4" s="447"/>
      <c r="D4" s="447"/>
      <c r="E4" s="447"/>
      <c r="F4" s="447"/>
      <c r="G4" s="447"/>
      <c r="H4" s="7"/>
      <c r="I4" s="7"/>
      <c r="J4" s="7"/>
      <c r="K4" s="7"/>
      <c r="L4" s="7"/>
      <c r="M4" s="7"/>
      <c r="N4" s="7"/>
      <c r="O4" s="7"/>
      <c r="P4" s="7"/>
      <c r="Q4" s="7"/>
    </row>
    <row r="6" spans="1:17" s="6" customFormat="1" ht="15" customHeight="1">
      <c r="A6" s="427"/>
      <c r="B6" s="448" t="s">
        <v>1232</v>
      </c>
      <c r="C6" s="448"/>
      <c r="D6" s="448"/>
      <c r="E6" s="448"/>
      <c r="F6" s="448"/>
      <c r="G6" s="448"/>
      <c r="H6" s="135"/>
      <c r="I6" s="135"/>
      <c r="J6" s="135"/>
      <c r="K6" s="135"/>
      <c r="L6" s="135"/>
      <c r="M6" s="135"/>
      <c r="N6" s="135"/>
      <c r="O6" s="135"/>
      <c r="P6" s="135"/>
      <c r="Q6" s="135"/>
    </row>
    <row r="7" spans="1:17">
      <c r="A7" s="14" t="s">
        <v>21</v>
      </c>
      <c r="F7" s="9"/>
      <c r="G7" s="9"/>
      <c r="I7" s="46"/>
    </row>
    <row r="8" spans="1:17">
      <c r="A8" s="14">
        <v>1</v>
      </c>
      <c r="B8" s="10" t="s">
        <v>1185</v>
      </c>
    </row>
    <row r="9" spans="1:17">
      <c r="A9" s="14">
        <f>A8+1</f>
        <v>2</v>
      </c>
      <c r="B9" s="10" t="s">
        <v>1229</v>
      </c>
    </row>
    <row r="10" spans="1:17">
      <c r="A10" s="14">
        <f t="shared" ref="A10:A20" si="0">A9+1</f>
        <v>3</v>
      </c>
      <c r="B10" s="10" t="s">
        <v>1230</v>
      </c>
    </row>
    <row r="11" spans="1:17">
      <c r="A11" s="14">
        <f t="shared" si="0"/>
        <v>4</v>
      </c>
    </row>
    <row r="12" spans="1:17">
      <c r="A12" s="14">
        <f t="shared" si="0"/>
        <v>5</v>
      </c>
      <c r="B12" s="10" t="s">
        <v>1178</v>
      </c>
      <c r="C12" s="10" t="s">
        <v>1180</v>
      </c>
    </row>
    <row r="13" spans="1:17">
      <c r="A13" s="14">
        <f t="shared" si="0"/>
        <v>6</v>
      </c>
      <c r="B13" s="133">
        <v>0</v>
      </c>
      <c r="C13" s="9" t="s">
        <v>1194</v>
      </c>
    </row>
    <row r="14" spans="1:17">
      <c r="A14" s="14">
        <f t="shared" si="0"/>
        <v>7</v>
      </c>
    </row>
    <row r="15" spans="1:17">
      <c r="A15" s="14">
        <f t="shared" si="0"/>
        <v>8</v>
      </c>
    </row>
    <row r="16" spans="1:17" ht="38.25">
      <c r="A16" s="14">
        <f t="shared" si="0"/>
        <v>9</v>
      </c>
      <c r="C16" s="27" t="s">
        <v>1187</v>
      </c>
      <c r="D16" s="433" t="s">
        <v>1186</v>
      </c>
      <c r="E16" s="139" t="s">
        <v>1133</v>
      </c>
      <c r="F16" s="27" t="s">
        <v>1179</v>
      </c>
    </row>
    <row r="17" spans="1:7">
      <c r="A17" s="14">
        <f t="shared" si="0"/>
        <v>10</v>
      </c>
      <c r="C17" s="9">
        <v>20</v>
      </c>
      <c r="D17" s="133">
        <f>(30.91*10)*C17</f>
        <v>6182</v>
      </c>
      <c r="E17" s="432">
        <f>ROUNDDOWN(D17/C17,-1)</f>
        <v>300</v>
      </c>
      <c r="F17" s="141">
        <f>E17*C17</f>
        <v>6000</v>
      </c>
      <c r="G17" s="141"/>
    </row>
    <row r="18" spans="1:7">
      <c r="A18" s="14">
        <f t="shared" si="0"/>
        <v>11</v>
      </c>
    </row>
    <row r="19" spans="1:7">
      <c r="A19" s="14">
        <f t="shared" si="0"/>
        <v>12</v>
      </c>
    </row>
    <row r="20" spans="1:7">
      <c r="A20" s="14">
        <f t="shared" si="0"/>
        <v>13</v>
      </c>
      <c r="D20" s="10" t="s">
        <v>15</v>
      </c>
      <c r="F20" s="141">
        <f>F17-B13</f>
        <v>6000</v>
      </c>
    </row>
    <row r="22" spans="1:7">
      <c r="F22" s="141"/>
    </row>
    <row r="24" spans="1:7">
      <c r="F24" s="141"/>
    </row>
    <row r="26" spans="1:7">
      <c r="F26" s="236"/>
    </row>
  </sheetData>
  <mergeCells count="3">
    <mergeCell ref="B3:G3"/>
    <mergeCell ref="B4:G4"/>
    <mergeCell ref="B6:G6"/>
  </mergeCells>
  <pageMargins left="0.7" right="0.7" top="0.75" bottom="0.75" header="0.3" footer="0.3"/>
  <pageSetup scale="92" orientation="portrait" r:id="rId1"/>
  <headerFooter>
    <oddFooter>&amp;RExhibit  JW-2
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06F31-68FC-475E-84BA-59B7354CB201}">
  <dimension ref="A1:R25"/>
  <sheetViews>
    <sheetView view="pageBreakPreview" zoomScaleNormal="120" zoomScaleSheetLayoutView="100" workbookViewId="0">
      <selection activeCell="B16" sqref="B16"/>
    </sheetView>
  </sheetViews>
  <sheetFormatPr defaultRowHeight="12.75"/>
  <cols>
    <col min="1" max="1" width="9.28515625" style="14" bestFit="1" customWidth="1"/>
    <col min="2" max="2" width="13.140625" style="10" customWidth="1"/>
    <col min="3" max="3" width="13.5703125" style="10" customWidth="1"/>
    <col min="4" max="4" width="11.85546875" style="10" bestFit="1" customWidth="1"/>
    <col min="5" max="5" width="15.28515625" style="10" bestFit="1" customWidth="1"/>
    <col min="6" max="6" width="13.5703125" style="10" customWidth="1"/>
    <col min="7" max="7" width="15.140625" style="10" customWidth="1"/>
    <col min="8" max="8" width="10.85546875" style="10" customWidth="1"/>
    <col min="9" max="9" width="11" style="10" customWidth="1"/>
    <col min="10" max="10" width="13.28515625" style="10" bestFit="1" customWidth="1"/>
    <col min="11" max="16384" width="9.140625" style="10"/>
  </cols>
  <sheetData>
    <row r="1" spans="1:18">
      <c r="B1" s="14"/>
      <c r="C1" s="14"/>
      <c r="J1" s="5" t="s">
        <v>1231</v>
      </c>
    </row>
    <row r="2" spans="1:18" ht="20.25" customHeight="1">
      <c r="B2" s="14"/>
      <c r="C2" s="14"/>
      <c r="I2" s="5"/>
    </row>
    <row r="3" spans="1:18">
      <c r="B3" s="14"/>
      <c r="C3" s="447" t="str">
        <f>RevReq!A1</f>
        <v>SOUTH KENTUCKY R.E.C.C.</v>
      </c>
      <c r="D3" s="447"/>
      <c r="E3" s="447"/>
      <c r="F3" s="447"/>
      <c r="G3" s="447"/>
      <c r="H3" s="447"/>
      <c r="I3" s="7"/>
      <c r="J3" s="7"/>
      <c r="K3" s="7"/>
      <c r="L3" s="7"/>
      <c r="M3" s="7"/>
      <c r="N3" s="7"/>
      <c r="O3" s="7"/>
      <c r="P3" s="7"/>
      <c r="Q3" s="7"/>
      <c r="R3" s="7"/>
    </row>
    <row r="4" spans="1:18">
      <c r="B4" s="14"/>
      <c r="C4" s="447" t="str">
        <f>RevReq!A3</f>
        <v>For the 12 Months Ended May 2024</v>
      </c>
      <c r="D4" s="447"/>
      <c r="E4" s="447"/>
      <c r="F4" s="447"/>
      <c r="G4" s="447"/>
      <c r="H4" s="447"/>
      <c r="I4" s="7"/>
      <c r="J4" s="7"/>
      <c r="K4" s="7"/>
      <c r="L4" s="7"/>
      <c r="M4" s="7"/>
      <c r="N4" s="7"/>
      <c r="O4" s="7"/>
      <c r="P4" s="7"/>
      <c r="Q4" s="7"/>
      <c r="R4" s="7"/>
    </row>
    <row r="5" spans="1:18">
      <c r="B5" s="14"/>
    </row>
    <row r="6" spans="1:18" s="6" customFormat="1" ht="15" customHeight="1">
      <c r="A6" s="427"/>
      <c r="B6" s="427"/>
      <c r="C6" s="448" t="s">
        <v>1195</v>
      </c>
      <c r="D6" s="448"/>
      <c r="E6" s="448"/>
      <c r="F6" s="448"/>
      <c r="G6" s="448"/>
      <c r="H6" s="448"/>
      <c r="I6" s="135"/>
      <c r="J6" s="135"/>
      <c r="K6" s="135"/>
      <c r="L6" s="135"/>
      <c r="M6" s="135"/>
      <c r="N6" s="135"/>
      <c r="O6" s="135"/>
      <c r="P6" s="135"/>
      <c r="Q6" s="135"/>
      <c r="R6" s="135"/>
    </row>
    <row r="7" spans="1:18">
      <c r="A7" s="14" t="s">
        <v>21</v>
      </c>
      <c r="G7" s="9"/>
      <c r="H7" s="9"/>
      <c r="J7" s="46"/>
    </row>
    <row r="8" spans="1:18">
      <c r="A8" s="14">
        <v>1</v>
      </c>
      <c r="B8" s="10" t="s">
        <v>1195</v>
      </c>
    </row>
    <row r="9" spans="1:18">
      <c r="A9" s="14">
        <f>1+A8</f>
        <v>2</v>
      </c>
    </row>
    <row r="10" spans="1:18" ht="37.5" customHeight="1">
      <c r="A10" s="14">
        <f t="shared" ref="A10:A19" si="0">1+A9</f>
        <v>3</v>
      </c>
      <c r="B10" s="433" t="s">
        <v>1178</v>
      </c>
      <c r="C10" s="433" t="s">
        <v>1180</v>
      </c>
    </row>
    <row r="11" spans="1:18">
      <c r="A11" s="14">
        <f t="shared" si="0"/>
        <v>4</v>
      </c>
      <c r="B11" s="133">
        <v>10416</v>
      </c>
      <c r="C11" s="9">
        <v>1680</v>
      </c>
    </row>
    <row r="12" spans="1:18">
      <c r="A12" s="14">
        <f t="shared" si="0"/>
        <v>5</v>
      </c>
    </row>
    <row r="13" spans="1:18">
      <c r="A13" s="14">
        <f t="shared" si="0"/>
        <v>6</v>
      </c>
    </row>
    <row r="14" spans="1:18">
      <c r="A14" s="14">
        <f t="shared" si="0"/>
        <v>7</v>
      </c>
      <c r="B14" s="10" t="s">
        <v>1197</v>
      </c>
    </row>
    <row r="15" spans="1:18" s="27" customFormat="1" ht="38.25">
      <c r="A15" s="14">
        <f t="shared" si="0"/>
        <v>8</v>
      </c>
      <c r="B15" s="27" t="s">
        <v>1198</v>
      </c>
      <c r="C15" s="27" t="s">
        <v>1199</v>
      </c>
      <c r="D15" s="27" t="s">
        <v>1182</v>
      </c>
      <c r="E15" s="27" t="s">
        <v>1200</v>
      </c>
      <c r="F15" s="27" t="s">
        <v>1201</v>
      </c>
      <c r="G15" s="27" t="s">
        <v>1203</v>
      </c>
      <c r="H15" s="27" t="s">
        <v>1202</v>
      </c>
      <c r="I15" s="139" t="s">
        <v>1133</v>
      </c>
      <c r="J15" s="27" t="s">
        <v>1225</v>
      </c>
    </row>
    <row r="16" spans="1:18">
      <c r="A16" s="14">
        <f t="shared" si="0"/>
        <v>9</v>
      </c>
      <c r="B16" s="9">
        <v>6</v>
      </c>
      <c r="C16" s="10">
        <f>2080*0.06</f>
        <v>124.8</v>
      </c>
      <c r="D16" s="133">
        <v>28.37</v>
      </c>
      <c r="E16" s="133">
        <f>D16*C16</f>
        <v>3540.576</v>
      </c>
      <c r="F16" s="133">
        <f>E16/C11</f>
        <v>2.1074857142857142</v>
      </c>
      <c r="G16" s="133">
        <v>1</v>
      </c>
      <c r="H16" s="141">
        <f>F16+B16+G16</f>
        <v>9.1074857142857137</v>
      </c>
      <c r="I16" s="236">
        <f>ROUNDUP(H16,0)</f>
        <v>10</v>
      </c>
      <c r="J16" s="141">
        <f>I16*C11</f>
        <v>16800</v>
      </c>
    </row>
    <row r="17" spans="1:10">
      <c r="A17" s="14">
        <f t="shared" si="0"/>
        <v>10</v>
      </c>
    </row>
    <row r="18" spans="1:10">
      <c r="A18" s="14">
        <f t="shared" si="0"/>
        <v>11</v>
      </c>
    </row>
    <row r="19" spans="1:10">
      <c r="A19" s="14">
        <f t="shared" si="0"/>
        <v>12</v>
      </c>
      <c r="H19" s="10" t="s">
        <v>15</v>
      </c>
      <c r="I19" s="13"/>
      <c r="J19" s="141">
        <f>J16-B11</f>
        <v>6384</v>
      </c>
    </row>
    <row r="20" spans="1:10">
      <c r="I20" s="13"/>
    </row>
    <row r="21" spans="1:10">
      <c r="I21" s="13"/>
      <c r="J21" s="141"/>
    </row>
    <row r="22" spans="1:10">
      <c r="I22" s="13"/>
    </row>
    <row r="23" spans="1:10">
      <c r="I23" s="13"/>
      <c r="J23" s="141"/>
    </row>
    <row r="24" spans="1:10">
      <c r="I24" s="13"/>
    </row>
    <row r="25" spans="1:10">
      <c r="I25" s="13"/>
      <c r="J25" s="236"/>
    </row>
  </sheetData>
  <mergeCells count="3">
    <mergeCell ref="C3:H3"/>
    <mergeCell ref="C4:H4"/>
    <mergeCell ref="C6:H6"/>
  </mergeCells>
  <pageMargins left="0.7" right="0.7" top="0.75" bottom="0.75" header="0.3" footer="0.3"/>
  <pageSetup scale="65" orientation="portrait" r:id="rId1"/>
  <headerFooter>
    <oddFooter>&amp;RExhibit  JW-2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30</vt:i4>
      </vt:variant>
    </vt:vector>
  </HeadingPairs>
  <TitlesOfParts>
    <vt:vector size="55" baseType="lpstr">
      <vt:lpstr>RevReq</vt:lpstr>
      <vt:lpstr>Adj List</vt:lpstr>
      <vt:lpstr>Adj BS</vt:lpstr>
      <vt:lpstr>Adj IS</vt:lpstr>
      <vt:lpstr>1.01 FAC</vt:lpstr>
      <vt:lpstr>1.02 ES</vt:lpstr>
      <vt:lpstr>1.03 RC</vt:lpstr>
      <vt:lpstr>1.04 CUST</vt:lpstr>
      <vt:lpstr>1.05 Depr</vt:lpstr>
      <vt:lpstr>1.06 Donat&amp;Promo</vt:lpstr>
      <vt:lpstr>1.07 FEMA</vt:lpstr>
      <vt:lpstr>1.08 Dir</vt:lpstr>
      <vt:lpstr> 1.09 RS401k</vt:lpstr>
      <vt:lpstr>1.10 Wages</vt:lpstr>
      <vt:lpstr>1.11 Prof</vt:lpstr>
      <vt:lpstr>1.12 GTCC</vt:lpstr>
      <vt:lpstr>1.13PayrTx</vt:lpstr>
      <vt:lpstr>1.14 Int</vt:lpstr>
      <vt:lpstr>1.15 Life Ins</vt:lpstr>
      <vt:lpstr>1.16 Health</vt:lpstr>
      <vt:lpstr>1.17 Meter Test</vt:lpstr>
      <vt:lpstr>1.18 Trip Charge</vt:lpstr>
      <vt:lpstr>1.19 Remote Reconnect&lt;60</vt:lpstr>
      <vt:lpstr>1.20 Remote Reconnect 61-365</vt:lpstr>
      <vt:lpstr>1.21 Returned Check</vt:lpstr>
      <vt:lpstr>' 1.09 RS401k'!Print_Area</vt:lpstr>
      <vt:lpstr>'1.01 FAC'!Print_Area</vt:lpstr>
      <vt:lpstr>'1.02 ES'!Print_Area</vt:lpstr>
      <vt:lpstr>'1.03 RC'!Print_Area</vt:lpstr>
      <vt:lpstr>'1.04 CUST'!Print_Area</vt:lpstr>
      <vt:lpstr>'1.05 Depr'!Print_Area</vt:lpstr>
      <vt:lpstr>'1.07 FEMA'!Print_Area</vt:lpstr>
      <vt:lpstr>'1.08 Dir'!Print_Area</vt:lpstr>
      <vt:lpstr>'1.10 Wages'!Print_Area</vt:lpstr>
      <vt:lpstr>'1.11 Prof'!Print_Area</vt:lpstr>
      <vt:lpstr>'1.12 GTCC'!Print_Area</vt:lpstr>
      <vt:lpstr>'1.13PayrTx'!Print_Area</vt:lpstr>
      <vt:lpstr>'1.14 Int'!Print_Area</vt:lpstr>
      <vt:lpstr>'1.15 Life Ins'!Print_Area</vt:lpstr>
      <vt:lpstr>'1.17 Meter Test'!Print_Area</vt:lpstr>
      <vt:lpstr>'1.18 Trip Charge'!Print_Area</vt:lpstr>
      <vt:lpstr>'Adj BS'!Print_Area</vt:lpstr>
      <vt:lpstr>'Adj IS'!Print_Area</vt:lpstr>
      <vt:lpstr>'Adj List'!Print_Area</vt:lpstr>
      <vt:lpstr>RevReq!Print_Area</vt:lpstr>
      <vt:lpstr>' 1.09 RS401k'!Print_Titles</vt:lpstr>
      <vt:lpstr>'1.04 CUST'!Print_Titles</vt:lpstr>
      <vt:lpstr>'1.05 Depr'!Print_Titles</vt:lpstr>
      <vt:lpstr>'1.06 Donat&amp;Promo'!Print_Titles</vt:lpstr>
      <vt:lpstr>'1.10 Wages'!Print_Titles</vt:lpstr>
      <vt:lpstr>'1.11 Prof'!Print_Titles</vt:lpstr>
      <vt:lpstr>'1.13PayrTx'!Print_Titles</vt:lpstr>
      <vt:lpstr>'1.14 Int'!Print_Titles</vt:lpstr>
      <vt:lpstr>'1.15 Life Ins'!Print_Titles</vt:lpstr>
      <vt:lpstr>'1.16 Health'!Print_Titles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Wolfram</dc:creator>
  <cp:lastModifiedBy>John Wolfram</cp:lastModifiedBy>
  <cp:lastPrinted>2025-01-30T17:43:47Z</cp:lastPrinted>
  <dcterms:created xsi:type="dcterms:W3CDTF">2012-11-02T18:45:21Z</dcterms:created>
  <dcterms:modified xsi:type="dcterms:W3CDTF">2025-02-02T22:19:44Z</dcterms:modified>
</cp:coreProperties>
</file>