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South KY/2023 Rate Case No. 2024-00xxx/COSS and Rates/"/>
    </mc:Choice>
  </mc:AlternateContent>
  <xr:revisionPtr revIDLastSave="149" documentId="8_{3A73CD45-5521-4A28-98A7-D20838F17048}" xr6:coauthVersionLast="47" xr6:coauthVersionMax="47" xr10:uidLastSave="{9CC81868-1C4F-4421-818F-1AE382F018B6}"/>
  <bookViews>
    <workbookView xWindow="-120" yWindow="-120" windowWidth="29040" windowHeight="15720" activeTab="1" xr2:uid="{5A56C961-47FC-4CB4-AEDD-3C6FC9A16749}"/>
  </bookViews>
  <sheets>
    <sheet name="Summary" sheetId="2" r:id="rId1"/>
    <sheet name="Billing Detail" sheetId="1" r:id="rId2"/>
    <sheet name="Incr-R" sheetId="5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1">'Billing Detail'!$A$1:$M$136</definedName>
    <definedName name="_xlnm.Print_Area" localSheetId="2">'Incr-R'!$A$1:$M$40</definedName>
    <definedName name="_xlnm.Print_Area" localSheetId="0">Summary!$A$1:$J$18</definedName>
    <definedName name="_xlnm.Print_Titles" localSheetId="1">'Billing Detail'!$1:$5</definedName>
    <definedName name="_xlnm.Print_Titles" localSheetId="2">'Incr-R'!$1:$1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D12" i="2"/>
  <c r="D11" i="2"/>
  <c r="D10" i="2"/>
  <c r="D9" i="2"/>
  <c r="D8" i="2"/>
  <c r="D7" i="2"/>
  <c r="D6" i="2"/>
  <c r="C40" i="5"/>
  <c r="L117" i="1"/>
  <c r="A117" i="1"/>
  <c r="E7" i="5"/>
  <c r="D7" i="5"/>
  <c r="D11" i="5" s="1"/>
  <c r="H7" i="5"/>
  <c r="H23" i="5" s="1"/>
  <c r="E8" i="5"/>
  <c r="A1" i="5"/>
  <c r="C10" i="5"/>
  <c r="C9" i="5"/>
  <c r="H25" i="5" l="1"/>
  <c r="H31" i="5"/>
  <c r="H33" i="5"/>
  <c r="H27" i="5"/>
  <c r="H18" i="5"/>
  <c r="H20" i="5"/>
  <c r="H14" i="5"/>
  <c r="H22" i="5"/>
  <c r="E10" i="5"/>
  <c r="D32" i="5"/>
  <c r="D30" i="5"/>
  <c r="D35" i="5"/>
  <c r="D15" i="5"/>
  <c r="D34" i="5"/>
  <c r="D37" i="5"/>
  <c r="D13" i="5"/>
  <c r="D38" i="5"/>
  <c r="D8" i="5"/>
  <c r="D10" i="5"/>
  <c r="C11" i="5"/>
  <c r="H26" i="5"/>
  <c r="H28" i="5"/>
  <c r="H30" i="5"/>
  <c r="H35" i="5"/>
  <c r="H38" i="5"/>
  <c r="D36" i="5"/>
  <c r="D28" i="5"/>
  <c r="D20" i="5"/>
  <c r="D12" i="5"/>
  <c r="D33" i="5"/>
  <c r="D25" i="5"/>
  <c r="D17" i="5"/>
  <c r="D9" i="5"/>
  <c r="D14" i="5"/>
  <c r="D16" i="5"/>
  <c r="D18" i="5"/>
  <c r="H34" i="5"/>
  <c r="H36" i="5"/>
  <c r="H9" i="5"/>
  <c r="H11" i="5"/>
  <c r="D19" i="5"/>
  <c r="D21" i="5"/>
  <c r="D23" i="5"/>
  <c r="E9" i="5"/>
  <c r="H10" i="5"/>
  <c r="H12" i="5"/>
  <c r="D22" i="5"/>
  <c r="D24" i="5"/>
  <c r="D26" i="5"/>
  <c r="H32" i="5"/>
  <c r="H24" i="5"/>
  <c r="H16" i="5"/>
  <c r="H8" i="5"/>
  <c r="H37" i="5"/>
  <c r="H29" i="5"/>
  <c r="H21" i="5"/>
  <c r="H13" i="5"/>
  <c r="H15" i="5"/>
  <c r="H17" i="5"/>
  <c r="H19" i="5"/>
  <c r="D27" i="5"/>
  <c r="D29" i="5"/>
  <c r="D31" i="5"/>
  <c r="C12" i="5" l="1"/>
  <c r="E11" i="5"/>
  <c r="E12" i="5" l="1"/>
  <c r="C13" i="5"/>
  <c r="C14" i="5" l="1"/>
  <c r="E13" i="5"/>
  <c r="C15" i="5" l="1"/>
  <c r="E14" i="5"/>
  <c r="C16" i="5" l="1"/>
  <c r="E15" i="5"/>
  <c r="C17" i="5" l="1"/>
  <c r="E16" i="5"/>
  <c r="C18" i="5" l="1"/>
  <c r="E17" i="5"/>
  <c r="C19" i="5" l="1"/>
  <c r="E18" i="5"/>
  <c r="C20" i="5" l="1"/>
  <c r="E19" i="5"/>
  <c r="C21" i="5" l="1"/>
  <c r="E20" i="5"/>
  <c r="C22" i="5" l="1"/>
  <c r="E21" i="5"/>
  <c r="C23" i="5" l="1"/>
  <c r="E22" i="5"/>
  <c r="C24" i="5" l="1"/>
  <c r="E23" i="5"/>
  <c r="C25" i="5" l="1"/>
  <c r="E24" i="5"/>
  <c r="C26" i="5" l="1"/>
  <c r="E25" i="5"/>
  <c r="C27" i="5" l="1"/>
  <c r="E26" i="5"/>
  <c r="C28" i="5" l="1"/>
  <c r="E27" i="5"/>
  <c r="C29" i="5" l="1"/>
  <c r="E28" i="5"/>
  <c r="C30" i="5" l="1"/>
  <c r="E29" i="5"/>
  <c r="C31" i="5" l="1"/>
  <c r="E30" i="5"/>
  <c r="C32" i="5" l="1"/>
  <c r="E31" i="5"/>
  <c r="E32" i="5" l="1"/>
  <c r="C33" i="5"/>
  <c r="C34" i="5" l="1"/>
  <c r="E33" i="5"/>
  <c r="C35" i="5" l="1"/>
  <c r="E34" i="5"/>
  <c r="C36" i="5" l="1"/>
  <c r="E35" i="5"/>
  <c r="C37" i="5" l="1"/>
  <c r="E36" i="5"/>
  <c r="C38" i="5" l="1"/>
  <c r="E37" i="5"/>
  <c r="E38" i="5" l="1"/>
  <c r="J9" i="1" l="1"/>
  <c r="I7" i="5" s="1"/>
  <c r="I11" i="5" l="1"/>
  <c r="I10" i="5"/>
  <c r="I8" i="5"/>
  <c r="I9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E80" i="1"/>
  <c r="E66" i="1" l="1"/>
  <c r="G131" i="1" l="1"/>
  <c r="G129" i="1"/>
  <c r="G128" i="1"/>
  <c r="I108" i="1" l="1"/>
  <c r="I96" i="1"/>
  <c r="I84" i="1"/>
  <c r="I68" i="1"/>
  <c r="I52" i="1"/>
  <c r="I36" i="1"/>
  <c r="I23" i="1"/>
  <c r="I11" i="1"/>
  <c r="I13" i="1"/>
  <c r="M120" i="1"/>
  <c r="M121" i="1"/>
  <c r="H16" i="2"/>
  <c r="J14" i="2"/>
  <c r="J106" i="1"/>
  <c r="J105" i="1"/>
  <c r="J94" i="1"/>
  <c r="J93" i="1"/>
  <c r="J82" i="1"/>
  <c r="J81" i="1"/>
  <c r="J80" i="1"/>
  <c r="J79" i="1"/>
  <c r="J78" i="1"/>
  <c r="J77" i="1"/>
  <c r="J66" i="1"/>
  <c r="J65" i="1"/>
  <c r="J64" i="1"/>
  <c r="J63" i="1"/>
  <c r="J62" i="1"/>
  <c r="J61" i="1"/>
  <c r="J50" i="1"/>
  <c r="J49" i="1"/>
  <c r="J48" i="1"/>
  <c r="J47" i="1"/>
  <c r="J46" i="1"/>
  <c r="J45" i="1"/>
  <c r="J34" i="1"/>
  <c r="J33" i="1"/>
  <c r="J32" i="1"/>
  <c r="J21" i="1"/>
  <c r="J20" i="1"/>
  <c r="E74" i="1" l="1"/>
  <c r="E58" i="1" l="1"/>
  <c r="E102" i="1" l="1"/>
  <c r="G65" i="1"/>
  <c r="G81" i="1"/>
  <c r="G80" i="1"/>
  <c r="G79" i="1"/>
  <c r="G78" i="1"/>
  <c r="G64" i="1"/>
  <c r="E29" i="1"/>
  <c r="I79" i="1"/>
  <c r="I80" i="1"/>
  <c r="I78" i="1"/>
  <c r="I81" i="1"/>
  <c r="I65" i="1"/>
  <c r="I64" i="1"/>
  <c r="I63" i="1" l="1"/>
  <c r="M63" i="1" s="1"/>
  <c r="G63" i="1"/>
  <c r="I62" i="1"/>
  <c r="G62" i="1"/>
  <c r="I46" i="1"/>
  <c r="M46" i="1" s="1"/>
  <c r="G46" i="1"/>
  <c r="I47" i="1"/>
  <c r="G47" i="1"/>
  <c r="I48" i="1"/>
  <c r="G48" i="1"/>
  <c r="I49" i="1"/>
  <c r="G49" i="1"/>
  <c r="I33" i="1"/>
  <c r="G33" i="1"/>
  <c r="G13" i="1"/>
  <c r="I45" i="1" l="1"/>
  <c r="G45" i="1"/>
  <c r="E114" i="1"/>
  <c r="E90" i="1"/>
  <c r="E42" i="1"/>
  <c r="E17" i="1" l="1"/>
  <c r="I106" i="1" l="1"/>
  <c r="C12" i="2"/>
  <c r="C13" i="2"/>
  <c r="B13" i="2"/>
  <c r="B12" i="2"/>
  <c r="K108" i="1" l="1"/>
  <c r="L108" i="1" s="1"/>
  <c r="M108" i="1" s="1"/>
  <c r="G112" i="1"/>
  <c r="I111" i="1"/>
  <c r="I110" i="1"/>
  <c r="I109" i="1"/>
  <c r="G106" i="1"/>
  <c r="I105" i="1"/>
  <c r="G105" i="1"/>
  <c r="K110" i="1" l="1"/>
  <c r="L110" i="1" s="1"/>
  <c r="M110" i="1"/>
  <c r="K111" i="1"/>
  <c r="L111" i="1" s="1"/>
  <c r="M111" i="1"/>
  <c r="K109" i="1"/>
  <c r="L109" i="1" s="1"/>
  <c r="M109" i="1" s="1"/>
  <c r="G107" i="1"/>
  <c r="I112" i="1"/>
  <c r="I107" i="1"/>
  <c r="K112" i="1" l="1"/>
  <c r="L112" i="1" s="1"/>
  <c r="M112" i="1" s="1"/>
  <c r="G113" i="1"/>
  <c r="I113" i="1"/>
  <c r="G100" i="1"/>
  <c r="I99" i="1"/>
  <c r="I98" i="1"/>
  <c r="I97" i="1"/>
  <c r="K96" i="1"/>
  <c r="I94" i="1"/>
  <c r="G94" i="1"/>
  <c r="I93" i="1"/>
  <c r="G93" i="1"/>
  <c r="K97" i="1" l="1"/>
  <c r="L97" i="1" s="1"/>
  <c r="M97" i="1" s="1"/>
  <c r="K98" i="1"/>
  <c r="L98" i="1" s="1"/>
  <c r="M98" i="1"/>
  <c r="K99" i="1"/>
  <c r="L99" i="1" s="1"/>
  <c r="M99" i="1"/>
  <c r="I114" i="1"/>
  <c r="F13" i="2"/>
  <c r="G114" i="1"/>
  <c r="E13" i="2"/>
  <c r="G95" i="1"/>
  <c r="I95" i="1"/>
  <c r="L96" i="1"/>
  <c r="M96" i="1" s="1"/>
  <c r="I100" i="1"/>
  <c r="K100" i="1" l="1"/>
  <c r="L100" i="1" s="1"/>
  <c r="M100" i="1" s="1"/>
  <c r="G101" i="1"/>
  <c r="I101" i="1"/>
  <c r="I102" i="1" l="1"/>
  <c r="F12" i="2"/>
  <c r="G102" i="1"/>
  <c r="E12" i="2"/>
  <c r="G54" i="1"/>
  <c r="G130" i="1" s="1"/>
  <c r="C8" i="2" l="1"/>
  <c r="B8" i="2"/>
  <c r="I50" i="1"/>
  <c r="G50" i="1"/>
  <c r="I34" i="1"/>
  <c r="G34" i="1"/>
  <c r="G40" i="1" l="1"/>
  <c r="I39" i="1"/>
  <c r="I38" i="1"/>
  <c r="I37" i="1"/>
  <c r="K36" i="1"/>
  <c r="I32" i="1"/>
  <c r="G32" i="1"/>
  <c r="I21" i="1"/>
  <c r="G21" i="1"/>
  <c r="K37" i="1" l="1"/>
  <c r="L37" i="1" s="1"/>
  <c r="M37" i="1" s="1"/>
  <c r="K38" i="1"/>
  <c r="L38" i="1" s="1"/>
  <c r="M38" i="1"/>
  <c r="K39" i="1"/>
  <c r="L39" i="1" s="1"/>
  <c r="M39" i="1"/>
  <c r="I35" i="1"/>
  <c r="G35" i="1"/>
  <c r="L36" i="1"/>
  <c r="M36" i="1" s="1"/>
  <c r="I40" i="1"/>
  <c r="K40" i="1" l="1"/>
  <c r="L40" i="1" s="1"/>
  <c r="M40" i="1" s="1"/>
  <c r="G41" i="1"/>
  <c r="I41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I42" i="1" l="1"/>
  <c r="F8" i="2"/>
  <c r="G42" i="1"/>
  <c r="E8" i="2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I87" i="1"/>
  <c r="I85" i="1"/>
  <c r="I71" i="1"/>
  <c r="I70" i="1"/>
  <c r="M70" i="1" s="1"/>
  <c r="I69" i="1"/>
  <c r="I55" i="1"/>
  <c r="I54" i="1"/>
  <c r="M54" i="1" s="1"/>
  <c r="I53" i="1"/>
  <c r="I26" i="1"/>
  <c r="K26" i="1" s="1"/>
  <c r="L26" i="1" s="1"/>
  <c r="M26" i="1" s="1"/>
  <c r="I24" i="1"/>
  <c r="I14" i="1"/>
  <c r="I12" i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31" i="1"/>
  <c r="I131" i="1"/>
  <c r="I129" i="1"/>
  <c r="K71" i="1"/>
  <c r="L71" i="1" s="1"/>
  <c r="M71" i="1" s="1"/>
  <c r="K85" i="1"/>
  <c r="K87" i="1"/>
  <c r="L87" i="1" s="1"/>
  <c r="M87" i="1"/>
  <c r="K53" i="1"/>
  <c r="K55" i="1"/>
  <c r="L55" i="1" s="1"/>
  <c r="M55" i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K13" i="1"/>
  <c r="K12" i="1"/>
  <c r="K70" i="1"/>
  <c r="K14" i="1"/>
  <c r="K131" i="1" s="1"/>
  <c r="K69" i="1"/>
  <c r="K54" i="1"/>
  <c r="K24" i="1"/>
  <c r="G27" i="1"/>
  <c r="G88" i="1"/>
  <c r="I25" i="1"/>
  <c r="I86" i="1"/>
  <c r="M86" i="1" s="1"/>
  <c r="G15" i="1"/>
  <c r="G72" i="1"/>
  <c r="G56" i="1"/>
  <c r="I130" i="1" l="1"/>
  <c r="L14" i="1"/>
  <c r="L131" i="1" s="1"/>
  <c r="K25" i="1"/>
  <c r="M25" i="1"/>
  <c r="I72" i="1"/>
  <c r="I15" i="1"/>
  <c r="F7" i="5" s="1"/>
  <c r="I56" i="1"/>
  <c r="I88" i="1"/>
  <c r="K86" i="1"/>
  <c r="I27" i="1"/>
  <c r="F8" i="5" l="1"/>
  <c r="G8" i="5" s="1"/>
  <c r="F9" i="5"/>
  <c r="G9" i="5" s="1"/>
  <c r="F10" i="5"/>
  <c r="G10" i="5" s="1"/>
  <c r="F11" i="5"/>
  <c r="G11" i="5" s="1"/>
  <c r="F12" i="5"/>
  <c r="G12" i="5" s="1"/>
  <c r="F13" i="5"/>
  <c r="G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F33" i="5"/>
  <c r="G33" i="5" s="1"/>
  <c r="F34" i="5"/>
  <c r="G34" i="5" s="1"/>
  <c r="F35" i="5"/>
  <c r="G35" i="5" s="1"/>
  <c r="F36" i="5"/>
  <c r="G36" i="5" s="1"/>
  <c r="F37" i="5"/>
  <c r="G37" i="5" s="1"/>
  <c r="F38" i="5"/>
  <c r="G38" i="5" s="1"/>
  <c r="M14" i="1"/>
  <c r="M131" i="1" s="1"/>
  <c r="C7" i="2"/>
  <c r="C9" i="2"/>
  <c r="C10" i="2"/>
  <c r="C11" i="2"/>
  <c r="B14" i="2"/>
  <c r="B11" i="2"/>
  <c r="B10" i="2"/>
  <c r="B9" i="2"/>
  <c r="B7" i="2"/>
  <c r="C6" i="2"/>
  <c r="B6" i="2"/>
  <c r="L54" i="1"/>
  <c r="L53" i="1"/>
  <c r="M53" i="1" s="1"/>
  <c r="K52" i="1"/>
  <c r="L24" i="1"/>
  <c r="M24" i="1" s="1"/>
  <c r="K23" i="1"/>
  <c r="I20" i="1"/>
  <c r="G20" i="1"/>
  <c r="L70" i="1"/>
  <c r="L69" i="1"/>
  <c r="M69" i="1" s="1"/>
  <c r="K68" i="1"/>
  <c r="I66" i="1"/>
  <c r="G66" i="1"/>
  <c r="I61" i="1"/>
  <c r="G61" i="1"/>
  <c r="L86" i="1"/>
  <c r="L85" i="1"/>
  <c r="M85" i="1" s="1"/>
  <c r="K84" i="1"/>
  <c r="I82" i="1"/>
  <c r="G82" i="1"/>
  <c r="I77" i="1"/>
  <c r="G77" i="1"/>
  <c r="L84" i="1" l="1"/>
  <c r="M84" i="1" s="1"/>
  <c r="K88" i="1"/>
  <c r="L68" i="1"/>
  <c r="M68" i="1" s="1"/>
  <c r="K72" i="1"/>
  <c r="L52" i="1"/>
  <c r="M52" i="1" s="1"/>
  <c r="K56" i="1"/>
  <c r="L23" i="1"/>
  <c r="M23" i="1" s="1"/>
  <c r="K27" i="1"/>
  <c r="L27" i="1" s="1"/>
  <c r="M27" i="1" s="1"/>
  <c r="G132" i="1"/>
  <c r="G51" i="1"/>
  <c r="I51" i="1"/>
  <c r="G22" i="1"/>
  <c r="L25" i="1"/>
  <c r="I22" i="1"/>
  <c r="G67" i="1"/>
  <c r="G83" i="1"/>
  <c r="I67" i="1"/>
  <c r="I83" i="1"/>
  <c r="G122" i="1"/>
  <c r="K120" i="1"/>
  <c r="K130" i="1" s="1"/>
  <c r="K119" i="1"/>
  <c r="K129" i="1" s="1"/>
  <c r="K11" i="1"/>
  <c r="I9" i="1"/>
  <c r="I8" i="1"/>
  <c r="G9" i="1"/>
  <c r="G8" i="1"/>
  <c r="A2" i="1"/>
  <c r="A1" i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I118" i="1" l="1"/>
  <c r="I122" i="1" s="1"/>
  <c r="K15" i="1"/>
  <c r="J7" i="5" s="1"/>
  <c r="L119" i="1"/>
  <c r="M119" i="1" s="1"/>
  <c r="L120" i="1"/>
  <c r="L12" i="1"/>
  <c r="L13" i="1"/>
  <c r="G57" i="1"/>
  <c r="G28" i="1"/>
  <c r="I28" i="1"/>
  <c r="I73" i="1"/>
  <c r="I89" i="1"/>
  <c r="G89" i="1"/>
  <c r="G73" i="1"/>
  <c r="I57" i="1"/>
  <c r="L56" i="1"/>
  <c r="M56" i="1" s="1"/>
  <c r="L72" i="1"/>
  <c r="M72" i="1" s="1"/>
  <c r="L88" i="1"/>
  <c r="M88" i="1" s="1"/>
  <c r="G10" i="1"/>
  <c r="G127" i="1" s="1"/>
  <c r="I10" i="1"/>
  <c r="L11" i="1"/>
  <c r="M11" i="1" s="1"/>
  <c r="M13" i="1" l="1"/>
  <c r="M130" i="1" s="1"/>
  <c r="L130" i="1"/>
  <c r="M12" i="1"/>
  <c r="M129" i="1" s="1"/>
  <c r="L129" i="1"/>
  <c r="J10" i="5"/>
  <c r="K10" i="5" s="1"/>
  <c r="L10" i="5" s="1"/>
  <c r="M10" i="5" s="1"/>
  <c r="J8" i="5"/>
  <c r="K8" i="5" s="1"/>
  <c r="L8" i="5" s="1"/>
  <c r="M8" i="5" s="1"/>
  <c r="J9" i="5"/>
  <c r="K9" i="5" s="1"/>
  <c r="L9" i="5" s="1"/>
  <c r="M9" i="5" s="1"/>
  <c r="J11" i="5"/>
  <c r="K11" i="5" s="1"/>
  <c r="L11" i="5" s="1"/>
  <c r="M11" i="5" s="1"/>
  <c r="J12" i="5"/>
  <c r="K12" i="5" s="1"/>
  <c r="L12" i="5" s="1"/>
  <c r="M12" i="5" s="1"/>
  <c r="J13" i="5"/>
  <c r="K13" i="5" s="1"/>
  <c r="L13" i="5" s="1"/>
  <c r="M13" i="5" s="1"/>
  <c r="J14" i="5"/>
  <c r="K14" i="5" s="1"/>
  <c r="L14" i="5" s="1"/>
  <c r="M14" i="5" s="1"/>
  <c r="J15" i="5"/>
  <c r="K15" i="5" s="1"/>
  <c r="L15" i="5" s="1"/>
  <c r="M15" i="5" s="1"/>
  <c r="J16" i="5"/>
  <c r="K16" i="5" s="1"/>
  <c r="L16" i="5" s="1"/>
  <c r="M16" i="5" s="1"/>
  <c r="J17" i="5"/>
  <c r="K17" i="5" s="1"/>
  <c r="L17" i="5" s="1"/>
  <c r="M17" i="5" s="1"/>
  <c r="J18" i="5"/>
  <c r="K18" i="5" s="1"/>
  <c r="L18" i="5" s="1"/>
  <c r="M18" i="5" s="1"/>
  <c r="J19" i="5"/>
  <c r="K19" i="5" s="1"/>
  <c r="L19" i="5" s="1"/>
  <c r="M19" i="5" s="1"/>
  <c r="J20" i="5"/>
  <c r="K20" i="5" s="1"/>
  <c r="L20" i="5" s="1"/>
  <c r="M20" i="5" s="1"/>
  <c r="J21" i="5"/>
  <c r="K21" i="5" s="1"/>
  <c r="L21" i="5" s="1"/>
  <c r="M21" i="5" s="1"/>
  <c r="J22" i="5"/>
  <c r="K22" i="5" s="1"/>
  <c r="L22" i="5" s="1"/>
  <c r="M22" i="5" s="1"/>
  <c r="J23" i="5"/>
  <c r="K23" i="5" s="1"/>
  <c r="L23" i="5" s="1"/>
  <c r="M23" i="5" s="1"/>
  <c r="J24" i="5"/>
  <c r="K24" i="5" s="1"/>
  <c r="L24" i="5" s="1"/>
  <c r="M24" i="5" s="1"/>
  <c r="J25" i="5"/>
  <c r="K25" i="5" s="1"/>
  <c r="L25" i="5" s="1"/>
  <c r="M25" i="5" s="1"/>
  <c r="J26" i="5"/>
  <c r="K26" i="5" s="1"/>
  <c r="L26" i="5" s="1"/>
  <c r="M26" i="5" s="1"/>
  <c r="J27" i="5"/>
  <c r="K27" i="5" s="1"/>
  <c r="L27" i="5" s="1"/>
  <c r="M27" i="5" s="1"/>
  <c r="J28" i="5"/>
  <c r="K28" i="5" s="1"/>
  <c r="L28" i="5" s="1"/>
  <c r="M28" i="5" s="1"/>
  <c r="J29" i="5"/>
  <c r="K29" i="5" s="1"/>
  <c r="L29" i="5" s="1"/>
  <c r="M29" i="5" s="1"/>
  <c r="J30" i="5"/>
  <c r="K30" i="5" s="1"/>
  <c r="L30" i="5" s="1"/>
  <c r="M30" i="5" s="1"/>
  <c r="J31" i="5"/>
  <c r="K31" i="5" s="1"/>
  <c r="L31" i="5" s="1"/>
  <c r="M31" i="5" s="1"/>
  <c r="J32" i="5"/>
  <c r="K32" i="5" s="1"/>
  <c r="L32" i="5" s="1"/>
  <c r="M32" i="5" s="1"/>
  <c r="J33" i="5"/>
  <c r="K33" i="5" s="1"/>
  <c r="L33" i="5" s="1"/>
  <c r="M33" i="5" s="1"/>
  <c r="J34" i="5"/>
  <c r="K34" i="5" s="1"/>
  <c r="L34" i="5" s="1"/>
  <c r="M34" i="5" s="1"/>
  <c r="J35" i="5"/>
  <c r="K35" i="5" s="1"/>
  <c r="L35" i="5" s="1"/>
  <c r="M35" i="5" s="1"/>
  <c r="J36" i="5"/>
  <c r="K36" i="5" s="1"/>
  <c r="L36" i="5" s="1"/>
  <c r="M36" i="5" s="1"/>
  <c r="J37" i="5"/>
  <c r="K37" i="5" s="1"/>
  <c r="L37" i="5" s="1"/>
  <c r="M37" i="5" s="1"/>
  <c r="J38" i="5"/>
  <c r="K38" i="5" s="1"/>
  <c r="L38" i="5" s="1"/>
  <c r="M38" i="5" s="1"/>
  <c r="I127" i="1"/>
  <c r="I128" i="1"/>
  <c r="I132" i="1" s="1"/>
  <c r="K118" i="1"/>
  <c r="G90" i="1"/>
  <c r="E11" i="2"/>
  <c r="I90" i="1"/>
  <c r="F11" i="2"/>
  <c r="I58" i="1"/>
  <c r="F9" i="2"/>
  <c r="I74" i="1"/>
  <c r="F10" i="2"/>
  <c r="I29" i="1"/>
  <c r="F7" i="2"/>
  <c r="G29" i="1"/>
  <c r="E7" i="2"/>
  <c r="G58" i="1"/>
  <c r="E9" i="2"/>
  <c r="G74" i="1"/>
  <c r="E10" i="2"/>
  <c r="G133" i="1"/>
  <c r="G123" i="1"/>
  <c r="G16" i="1"/>
  <c r="E6" i="2" s="1"/>
  <c r="I123" i="1"/>
  <c r="I16" i="1"/>
  <c r="L15" i="1"/>
  <c r="M15" i="1" s="1"/>
  <c r="I133" i="1" l="1"/>
  <c r="E15" i="2" s="1"/>
  <c r="K128" i="1"/>
  <c r="K132" i="1" s="1"/>
  <c r="L118" i="1"/>
  <c r="K122" i="1"/>
  <c r="L122" i="1" s="1"/>
  <c r="M122" i="1" s="1"/>
  <c r="E14" i="2"/>
  <c r="F15" i="2"/>
  <c r="F14" i="2"/>
  <c r="I17" i="1"/>
  <c r="F6" i="2"/>
  <c r="G17" i="1"/>
  <c r="M118" i="1" l="1"/>
  <c r="M128" i="1" s="1"/>
  <c r="L128" i="1"/>
  <c r="L132" i="1" s="1"/>
  <c r="M132" i="1" s="1"/>
  <c r="K45" i="1"/>
  <c r="K94" i="1"/>
  <c r="K61" i="1"/>
  <c r="K77" i="1"/>
  <c r="K93" i="1"/>
  <c r="K106" i="1"/>
  <c r="K80" i="1"/>
  <c r="L106" i="1" l="1"/>
  <c r="M106" i="1" s="1"/>
  <c r="K79" i="1"/>
  <c r="K50" i="1"/>
  <c r="K49" i="1"/>
  <c r="K81" i="1"/>
  <c r="L77" i="1"/>
  <c r="M77" i="1" s="1"/>
  <c r="K78" i="1"/>
  <c r="K63" i="1"/>
  <c r="L63" i="1" s="1"/>
  <c r="K46" i="1"/>
  <c r="K64" i="1"/>
  <c r="L64" i="1" s="1"/>
  <c r="M64" i="1" s="1"/>
  <c r="L61" i="1"/>
  <c r="M61" i="1" s="1"/>
  <c r="L80" i="1"/>
  <c r="M80" i="1" s="1"/>
  <c r="K48" i="1"/>
  <c r="L94" i="1"/>
  <c r="M94" i="1" s="1"/>
  <c r="K47" i="1"/>
  <c r="K82" i="1"/>
  <c r="L45" i="1"/>
  <c r="M45" i="1" s="1"/>
  <c r="K62" i="1"/>
  <c r="L62" i="1" s="1"/>
  <c r="M62" i="1" s="1"/>
  <c r="K65" i="1"/>
  <c r="L65" i="1" s="1"/>
  <c r="M65" i="1" s="1"/>
  <c r="K66" i="1"/>
  <c r="L66" i="1" s="1"/>
  <c r="M66" i="1" s="1"/>
  <c r="L93" i="1"/>
  <c r="M93" i="1" s="1"/>
  <c r="K95" i="1"/>
  <c r="K105" i="1"/>
  <c r="K83" i="1" l="1"/>
  <c r="K89" i="1" s="1"/>
  <c r="K20" i="1"/>
  <c r="K21" i="1"/>
  <c r="L49" i="1"/>
  <c r="M49" i="1" s="1"/>
  <c r="L50" i="1"/>
  <c r="M50" i="1" s="1"/>
  <c r="L95" i="1"/>
  <c r="M95" i="1" s="1"/>
  <c r="L47" i="1"/>
  <c r="M47" i="1" s="1"/>
  <c r="L46" i="1"/>
  <c r="L48" i="1"/>
  <c r="M48" i="1" s="1"/>
  <c r="L67" i="1"/>
  <c r="M67" i="1" s="1"/>
  <c r="L105" i="1"/>
  <c r="M105" i="1" s="1"/>
  <c r="K107" i="1"/>
  <c r="K51" i="1"/>
  <c r="K67" i="1"/>
  <c r="L79" i="1"/>
  <c r="M79" i="1" s="1"/>
  <c r="L81" i="1"/>
  <c r="M81" i="1" s="1"/>
  <c r="K101" i="1"/>
  <c r="L82" i="1"/>
  <c r="M82" i="1" s="1"/>
  <c r="L78" i="1"/>
  <c r="M78" i="1" s="1"/>
  <c r="L83" i="1" l="1"/>
  <c r="M83" i="1" s="1"/>
  <c r="L51" i="1"/>
  <c r="M51" i="1" s="1"/>
  <c r="L21" i="1"/>
  <c r="M21" i="1" s="1"/>
  <c r="K22" i="1"/>
  <c r="L20" i="1"/>
  <c r="M20" i="1" s="1"/>
  <c r="L107" i="1"/>
  <c r="M107" i="1" s="1"/>
  <c r="K73" i="1"/>
  <c r="G11" i="2"/>
  <c r="L89" i="1"/>
  <c r="M89" i="1" s="1"/>
  <c r="I11" i="2" s="1"/>
  <c r="K90" i="1"/>
  <c r="L90" i="1" s="1"/>
  <c r="K102" i="1"/>
  <c r="L102" i="1" s="1"/>
  <c r="L101" i="1"/>
  <c r="M101" i="1" s="1"/>
  <c r="I12" i="2" s="1"/>
  <c r="G12" i="2"/>
  <c r="K57" i="1"/>
  <c r="K123" i="1"/>
  <c r="K113" i="1"/>
  <c r="M117" i="1"/>
  <c r="J12" i="2" l="1"/>
  <c r="M102" i="1"/>
  <c r="J11" i="2"/>
  <c r="M90" i="1"/>
  <c r="L22" i="1"/>
  <c r="M22" i="1" s="1"/>
  <c r="K28" i="1"/>
  <c r="G13" i="2"/>
  <c r="L113" i="1"/>
  <c r="M113" i="1" s="1"/>
  <c r="I13" i="2" s="1"/>
  <c r="K114" i="1"/>
  <c r="L114" i="1" s="1"/>
  <c r="K74" i="1"/>
  <c r="L74" i="1" s="1"/>
  <c r="L73" i="1"/>
  <c r="M73" i="1" s="1"/>
  <c r="I10" i="2" s="1"/>
  <c r="G10" i="2"/>
  <c r="G14" i="2"/>
  <c r="L123" i="1"/>
  <c r="M123" i="1" s="1"/>
  <c r="I14" i="2" s="1"/>
  <c r="G9" i="2"/>
  <c r="L57" i="1"/>
  <c r="M57" i="1" s="1"/>
  <c r="I9" i="2" s="1"/>
  <c r="K58" i="1"/>
  <c r="L58" i="1" s="1"/>
  <c r="H12" i="2"/>
  <c r="H11" i="2"/>
  <c r="J13" i="2" l="1"/>
  <c r="M114" i="1"/>
  <c r="J10" i="2"/>
  <c r="M74" i="1"/>
  <c r="J9" i="2"/>
  <c r="M58" i="1"/>
  <c r="L28" i="1"/>
  <c r="M28" i="1" s="1"/>
  <c r="I7" i="2" s="1"/>
  <c r="K29" i="1"/>
  <c r="L29" i="1" s="1"/>
  <c r="G7" i="2"/>
  <c r="H13" i="2"/>
  <c r="H14" i="2"/>
  <c r="H9" i="2"/>
  <c r="H10" i="2"/>
  <c r="J7" i="2" l="1"/>
  <c r="M29" i="1"/>
  <c r="H7" i="2"/>
  <c r="K33" i="1" l="1"/>
  <c r="K34" i="1"/>
  <c r="K32" i="1"/>
  <c r="L32" i="1" l="1"/>
  <c r="M32" i="1" s="1"/>
  <c r="K35" i="1"/>
  <c r="L33" i="1"/>
  <c r="M33" i="1" s="1"/>
  <c r="L34" i="1"/>
  <c r="M34" i="1" s="1"/>
  <c r="L35" i="1" l="1"/>
  <c r="M35" i="1" s="1"/>
  <c r="K41" i="1"/>
  <c r="G8" i="2" l="1"/>
  <c r="K42" i="1"/>
  <c r="L42" i="1" s="1"/>
  <c r="L41" i="1"/>
  <c r="M41" i="1" s="1"/>
  <c r="I8" i="2" s="1"/>
  <c r="J8" i="2" l="1"/>
  <c r="M42" i="1"/>
  <c r="H8" i="2"/>
  <c r="K8" i="1" l="1"/>
  <c r="K9" i="1"/>
  <c r="L9" i="1" l="1"/>
  <c r="M9" i="1" s="1"/>
  <c r="K10" i="1"/>
  <c r="K127" i="1" s="1"/>
  <c r="L8" i="1"/>
  <c r="M8" i="1" l="1"/>
  <c r="L10" i="1"/>
  <c r="K16" i="1"/>
  <c r="K133" i="1"/>
  <c r="G15" i="2" s="1"/>
  <c r="M10" i="1" l="1"/>
  <c r="M127" i="1" s="1"/>
  <c r="L127" i="1"/>
  <c r="L133" i="1" s="1"/>
  <c r="G6" i="2"/>
  <c r="L16" i="1"/>
  <c r="M16" i="1" s="1"/>
  <c r="I6" i="2" s="1"/>
  <c r="K17" i="1"/>
  <c r="L17" i="1" s="1"/>
  <c r="J6" i="2" l="1"/>
  <c r="M17" i="1"/>
  <c r="H6" i="2"/>
  <c r="L136" i="1" l="1"/>
  <c r="M133" i="1"/>
  <c r="I15" i="2" s="1"/>
  <c r="H15" i="2"/>
  <c r="H17" i="2" l="1"/>
  <c r="H18" i="2" s="1"/>
  <c r="O5" i="1"/>
</calcChain>
</file>

<file path=xl/sharedStrings.xml><?xml version="1.0" encoding="utf-8"?>
<sst xmlns="http://schemas.openxmlformats.org/spreadsheetml/2006/main" count="178" uniqueCount="87">
  <si>
    <t>#</t>
  </si>
  <si>
    <t>Item</t>
  </si>
  <si>
    <t>Present Revenue</t>
  </si>
  <si>
    <t>Proposed Revenue</t>
  </si>
  <si>
    <t>Total Base Rates</t>
  </si>
  <si>
    <t>Total Riders</t>
  </si>
  <si>
    <t>Total Revenue</t>
  </si>
  <si>
    <t>Code</t>
  </si>
  <si>
    <t>Classification</t>
  </si>
  <si>
    <t>Billing Component</t>
  </si>
  <si>
    <t>Billing Units</t>
  </si>
  <si>
    <t>Increase $</t>
  </si>
  <si>
    <t>%</t>
  </si>
  <si>
    <t>Average</t>
  </si>
  <si>
    <t>TOTAL REVENUE</t>
  </si>
  <si>
    <t>Proposed Rate</t>
  </si>
  <si>
    <t xml:space="preserve">       Present Rate</t>
  </si>
  <si>
    <t xml:space="preserve">            Present Revenue</t>
  </si>
  <si>
    <t xml:space="preserve">    FAC</t>
  </si>
  <si>
    <t xml:space="preserve">    ES</t>
  </si>
  <si>
    <t>TOTALS</t>
  </si>
  <si>
    <t xml:space="preserve">    Misc Adj</t>
  </si>
  <si>
    <t>Lighting</t>
  </si>
  <si>
    <t xml:space="preserve">    Other</t>
  </si>
  <si>
    <t xml:space="preserve">    Prepay Daily Charges</t>
  </si>
  <si>
    <t>Energy Charge per kWh</t>
  </si>
  <si>
    <t>Demand Charge per kW</t>
  </si>
  <si>
    <t>Increase</t>
  </si>
  <si>
    <t>Total</t>
  </si>
  <si>
    <t>NA</t>
  </si>
  <si>
    <t>B</t>
  </si>
  <si>
    <t xml:space="preserve">    Envirowatts + NM</t>
  </si>
  <si>
    <t xml:space="preserve">    Prepay Fees</t>
  </si>
  <si>
    <t>Residential, Farm and Non-Farm Service</t>
  </si>
  <si>
    <t>Small Commercial Rate</t>
  </si>
  <si>
    <t>LP</t>
  </si>
  <si>
    <t>Large Power Rate (500 KW to 4,999 KW)</t>
  </si>
  <si>
    <t>LP-1</t>
  </si>
  <si>
    <t>Large Power Rate (Excess of 50 kVA)</t>
  </si>
  <si>
    <t>Substation Charge 500-999 kW</t>
  </si>
  <si>
    <t>Substation Charge 1000-2999 kW</t>
  </si>
  <si>
    <t>Substation Charge 3000-7499 kW</t>
  </si>
  <si>
    <t>Large Power Rate (5,000 KW to 9,999 KW)</t>
  </si>
  <si>
    <t>LP-2</t>
  </si>
  <si>
    <t>SOUTH KENTUCKY RECC</t>
  </si>
  <si>
    <t>Substation Charge 7500-14799 kW</t>
  </si>
  <si>
    <t>Energy Charge-All Remaining - per kWh</t>
  </si>
  <si>
    <t>Energy Charge-First 400 - per kWh</t>
  </si>
  <si>
    <t>Large Power Rate (500 KW to 2,999 KW)</t>
  </si>
  <si>
    <t>LP-3</t>
  </si>
  <si>
    <t>Demand Charge per kW - Contract</t>
  </si>
  <si>
    <t>Demand Charge per kW - Excess</t>
  </si>
  <si>
    <t>Optional Power Service</t>
  </si>
  <si>
    <t>OPS</t>
  </si>
  <si>
    <t>All Electric Schools</t>
  </si>
  <si>
    <t>AES</t>
  </si>
  <si>
    <t xml:space="preserve">A </t>
  </si>
  <si>
    <t>STL-DSTL-OLS</t>
  </si>
  <si>
    <t>Test Year Rate</t>
  </si>
  <si>
    <t>Test Year Revenue</t>
  </si>
  <si>
    <t>Metering Charge</t>
  </si>
  <si>
    <t>Consumer Charge</t>
  </si>
  <si>
    <t>Incr(Decr)</t>
  </si>
  <si>
    <t>Avg Bill Incr per Mon</t>
  </si>
  <si>
    <t>Target</t>
  </si>
  <si>
    <t>Variance</t>
  </si>
  <si>
    <t>Present and Proposed Rates</t>
  </si>
  <si>
    <t>FAC Roll in</t>
  </si>
  <si>
    <t>Lights</t>
  </si>
  <si>
    <t>Target Revenue Increase</t>
  </si>
  <si>
    <t>Estimated Monthly Rate Increase by KWH</t>
  </si>
  <si>
    <t>Residential</t>
  </si>
  <si>
    <t>Monthly</t>
  </si>
  <si>
    <t>kWh</t>
  </si>
  <si>
    <t>Customer</t>
  </si>
  <si>
    <t xml:space="preserve">Energy </t>
  </si>
  <si>
    <t>Riders</t>
  </si>
  <si>
    <t xml:space="preserve">Customer </t>
  </si>
  <si>
    <t>Energy</t>
  </si>
  <si>
    <t>$</t>
  </si>
  <si>
    <t>Present Rates</t>
  </si>
  <si>
    <t>Proposed Rates</t>
  </si>
  <si>
    <t>*</t>
  </si>
  <si>
    <t>kWh Average Residential Monthly Usage</t>
  </si>
  <si>
    <t>Avg kWh/Mon</t>
  </si>
  <si>
    <t>Rate Rounding Variance $</t>
  </si>
  <si>
    <t>Rate Rounding Variance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</si>
</sst>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.000000_);_(* \(#,##0.000000\);_(* &quot;-&quot;??_);_(@_)"/>
    <numFmt numFmtId="171" formatCode="0.00000"/>
    <numFmt numFmtId="172" formatCode="0.0%"/>
    <numFmt numFmtId="173" formatCode="_(* #,##0.0000_);_(* \(#,##0.00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i/>
      <u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color rgb="FF7030A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i/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0" applyNumberFormat="0" applyAlignment="0" applyProtection="0"/>
    <xf numFmtId="0" fontId="18" fillId="7" borderId="11" applyNumberFormat="0" applyAlignment="0" applyProtection="0"/>
    <xf numFmtId="0" fontId="19" fillId="7" borderId="10" applyNumberFormat="0" applyAlignment="0" applyProtection="0"/>
    <xf numFmtId="0" fontId="20" fillId="0" borderId="12" applyNumberFormat="0" applyFill="0" applyAlignment="0" applyProtection="0"/>
    <xf numFmtId="0" fontId="21" fillId="8" borderId="13" applyNumberFormat="0" applyAlignment="0" applyProtection="0"/>
    <xf numFmtId="0" fontId="22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0" fontId="2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right" wrapText="1"/>
    </xf>
    <xf numFmtId="43" fontId="3" fillId="0" borderId="0" xfId="1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wrapText="1"/>
    </xf>
    <xf numFmtId="0" fontId="3" fillId="0" borderId="5" xfId="0" applyFont="1" applyBorder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/>
    <xf numFmtId="164" fontId="3" fillId="0" borderId="0" xfId="1" applyNumberFormat="1" applyFont="1" applyAlignment="1"/>
    <xf numFmtId="10" fontId="3" fillId="0" borderId="0" xfId="3" applyNumberFormat="1" applyFont="1" applyAlignment="1"/>
    <xf numFmtId="165" fontId="3" fillId="0" borderId="0" xfId="2" applyNumberFormat="1" applyFont="1" applyAlignment="1"/>
    <xf numFmtId="0" fontId="3" fillId="0" borderId="2" xfId="0" applyFont="1" applyBorder="1"/>
    <xf numFmtId="165" fontId="3" fillId="0" borderId="2" xfId="0" applyNumberFormat="1" applyFont="1" applyBorder="1"/>
    <xf numFmtId="165" fontId="3" fillId="0" borderId="0" xfId="2" applyNumberFormat="1" applyFont="1" applyBorder="1" applyAlignment="1"/>
    <xf numFmtId="43" fontId="3" fillId="0" borderId="0" xfId="0" applyNumberFormat="1" applyFont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3" applyNumberFormat="1" applyFont="1" applyBorder="1"/>
    <xf numFmtId="164" fontId="3" fillId="0" borderId="0" xfId="1" applyNumberFormat="1" applyFont="1" applyAlignment="1">
      <alignment horizontal="right"/>
    </xf>
    <xf numFmtId="0" fontId="3" fillId="0" borderId="6" xfId="0" applyFont="1" applyBorder="1" applyAlignment="1">
      <alignment horizontal="left"/>
    </xf>
    <xf numFmtId="165" fontId="4" fillId="0" borderId="0" xfId="2" applyNumberFormat="1" applyFont="1" applyBorder="1" applyAlignment="1"/>
    <xf numFmtId="172" fontId="3" fillId="0" borderId="0" xfId="3" applyNumberFormat="1" applyFont="1" applyAlignment="1"/>
    <xf numFmtId="172" fontId="3" fillId="0" borderId="2" xfId="3" applyNumberFormat="1" applyFont="1" applyBorder="1"/>
    <xf numFmtId="43" fontId="3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173" fontId="3" fillId="0" borderId="0" xfId="1" applyNumberFormat="1" applyFont="1"/>
    <xf numFmtId="165" fontId="3" fillId="0" borderId="0" xfId="0" applyNumberFormat="1" applyFont="1"/>
    <xf numFmtId="44" fontId="3" fillId="0" borderId="0" xfId="2" applyFont="1" applyAlignment="1"/>
    <xf numFmtId="0" fontId="8" fillId="0" borderId="16" xfId="46" applyFont="1" applyBorder="1" applyAlignment="1">
      <alignment horizontal="center" vertical="center"/>
    </xf>
    <xf numFmtId="0" fontId="8" fillId="0" borderId="17" xfId="46" applyFont="1" applyBorder="1" applyAlignment="1">
      <alignment horizontal="center" vertical="center"/>
    </xf>
    <xf numFmtId="0" fontId="8" fillId="0" borderId="22" xfId="46" applyFont="1" applyBorder="1" applyAlignment="1">
      <alignment horizontal="center" vertical="center"/>
    </xf>
    <xf numFmtId="0" fontId="8" fillId="0" borderId="23" xfId="46" applyFont="1" applyBorder="1" applyAlignment="1">
      <alignment horizontal="center" vertical="center"/>
    </xf>
    <xf numFmtId="0" fontId="8" fillId="0" borderId="1" xfId="46" applyFont="1" applyBorder="1" applyAlignment="1">
      <alignment horizontal="center" vertical="center"/>
    </xf>
    <xf numFmtId="0" fontId="8" fillId="0" borderId="24" xfId="46" applyFont="1" applyBorder="1" applyAlignment="1">
      <alignment horizontal="center" vertical="center"/>
    </xf>
    <xf numFmtId="0" fontId="8" fillId="0" borderId="0" xfId="46" applyFont="1"/>
    <xf numFmtId="0" fontId="8" fillId="0" borderId="25" xfId="46" applyFont="1" applyBorder="1" applyAlignment="1">
      <alignment horizontal="center" vertical="center"/>
    </xf>
    <xf numFmtId="0" fontId="8" fillId="0" borderId="26" xfId="46" applyFont="1" applyBorder="1" applyAlignment="1">
      <alignment horizontal="center" vertical="center"/>
    </xf>
    <xf numFmtId="44" fontId="27" fillId="0" borderId="26" xfId="46" applyNumberFormat="1" applyFont="1" applyBorder="1" applyAlignment="1">
      <alignment horizontal="center" vertical="center"/>
    </xf>
    <xf numFmtId="0" fontId="27" fillId="0" borderId="26" xfId="46" applyFont="1" applyBorder="1" applyAlignment="1">
      <alignment horizontal="center" vertical="center"/>
    </xf>
    <xf numFmtId="0" fontId="8" fillId="0" borderId="27" xfId="46" applyFont="1" applyBorder="1" applyAlignment="1">
      <alignment horizontal="center" vertical="center"/>
    </xf>
    <xf numFmtId="44" fontId="6" fillId="0" borderId="30" xfId="49" applyFont="1" applyBorder="1"/>
    <xf numFmtId="44" fontId="6" fillId="0" borderId="31" xfId="49" applyFont="1" applyBorder="1"/>
    <xf numFmtId="172" fontId="6" fillId="0" borderId="32" xfId="50" applyNumberFormat="1" applyFont="1" applyBorder="1"/>
    <xf numFmtId="44" fontId="6" fillId="34" borderId="30" xfId="49" applyFont="1" applyFill="1" applyBorder="1"/>
    <xf numFmtId="44" fontId="6" fillId="34" borderId="31" xfId="49" applyFont="1" applyFill="1" applyBorder="1"/>
    <xf numFmtId="172" fontId="6" fillId="34" borderId="32" xfId="50" applyNumberFormat="1" applyFont="1" applyFill="1" applyBorder="1"/>
    <xf numFmtId="44" fontId="6" fillId="0" borderId="33" xfId="49" applyFont="1" applyBorder="1"/>
    <xf numFmtId="44" fontId="6" fillId="0" borderId="35" xfId="49" applyFont="1" applyBorder="1"/>
    <xf numFmtId="172" fontId="6" fillId="0" borderId="36" xfId="50" applyNumberFormat="1" applyFont="1" applyBorder="1"/>
    <xf numFmtId="44" fontId="9" fillId="0" borderId="0" xfId="46" applyNumberFormat="1" applyFont="1"/>
    <xf numFmtId="0" fontId="28" fillId="0" borderId="0" xfId="46" applyFont="1"/>
    <xf numFmtId="0" fontId="6" fillId="0" borderId="0" xfId="46" applyAlignment="1">
      <alignment horizontal="center"/>
    </xf>
    <xf numFmtId="0" fontId="6" fillId="0" borderId="0" xfId="46"/>
    <xf numFmtId="0" fontId="28" fillId="0" borderId="0" xfId="47" applyFont="1"/>
    <xf numFmtId="0" fontId="28" fillId="0" borderId="0" xfId="46" applyFont="1" applyAlignment="1">
      <alignment horizontal="left"/>
    </xf>
    <xf numFmtId="0" fontId="6" fillId="0" borderId="28" xfId="46" applyBorder="1" applyAlignment="1">
      <alignment horizontal="center"/>
    </xf>
    <xf numFmtId="164" fontId="29" fillId="0" borderId="29" xfId="48" applyNumberFormat="1" applyFont="1" applyBorder="1"/>
    <xf numFmtId="44" fontId="6" fillId="0" borderId="30" xfId="46" applyNumberFormat="1" applyBorder="1"/>
    <xf numFmtId="44" fontId="6" fillId="0" borderId="0" xfId="46" applyNumberFormat="1"/>
    <xf numFmtId="44" fontId="6" fillId="0" borderId="31" xfId="46" applyNumberFormat="1" applyBorder="1"/>
    <xf numFmtId="0" fontId="6" fillId="34" borderId="28" xfId="46" applyFill="1" applyBorder="1" applyAlignment="1">
      <alignment horizontal="center"/>
    </xf>
    <xf numFmtId="164" fontId="29" fillId="34" borderId="29" xfId="48" applyNumberFormat="1" applyFont="1" applyFill="1" applyBorder="1"/>
    <xf numFmtId="44" fontId="6" fillId="34" borderId="30" xfId="46" applyNumberFormat="1" applyFill="1" applyBorder="1"/>
    <xf numFmtId="44" fontId="6" fillId="34" borderId="0" xfId="46" applyNumberFormat="1" applyFill="1"/>
    <xf numFmtId="44" fontId="6" fillId="34" borderId="31" xfId="46" applyNumberFormat="1" applyFill="1" applyBorder="1"/>
    <xf numFmtId="0" fontId="6" fillId="0" borderId="25" xfId="46" applyBorder="1" applyAlignment="1">
      <alignment horizontal="center"/>
    </xf>
    <xf numFmtId="164" fontId="29" fillId="0" borderId="26" xfId="48" applyNumberFormat="1" applyFont="1" applyBorder="1"/>
    <xf numFmtId="44" fontId="6" fillId="0" borderId="33" xfId="46" applyNumberFormat="1" applyBorder="1"/>
    <xf numFmtId="44" fontId="6" fillId="0" borderId="34" xfId="46" applyNumberFormat="1" applyBorder="1"/>
    <xf numFmtId="44" fontId="6" fillId="0" borderId="35" xfId="46" applyNumberFormat="1" applyBorder="1"/>
    <xf numFmtId="43" fontId="6" fillId="0" borderId="0" xfId="46" applyNumberFormat="1"/>
    <xf numFmtId="9" fontId="29" fillId="0" borderId="0" xfId="50" applyFont="1"/>
    <xf numFmtId="164" fontId="29" fillId="0" borderId="29" xfId="48" applyNumberFormat="1" applyFont="1" applyFill="1" applyBorder="1"/>
    <xf numFmtId="44" fontId="6" fillId="0" borderId="30" xfId="49" applyFont="1" applyFill="1" applyBorder="1"/>
    <xf numFmtId="44" fontId="6" fillId="0" borderId="31" xfId="49" applyFont="1" applyFill="1" applyBorder="1"/>
    <xf numFmtId="172" fontId="6" fillId="0" borderId="32" xfId="50" applyNumberFormat="1" applyFont="1" applyFill="1" applyBorder="1"/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8" fillId="0" borderId="18" xfId="46" applyFont="1" applyBorder="1" applyAlignment="1">
      <alignment horizontal="center" vertical="center"/>
    </xf>
    <xf numFmtId="0" fontId="8" fillId="0" borderId="19" xfId="46" applyFont="1" applyBorder="1" applyAlignment="1">
      <alignment horizontal="center" vertical="center"/>
    </xf>
    <xf numFmtId="0" fontId="8" fillId="0" borderId="20" xfId="46" applyFont="1" applyBorder="1" applyAlignment="1">
      <alignment horizontal="center" vertical="center"/>
    </xf>
    <xf numFmtId="0" fontId="8" fillId="0" borderId="21" xfId="46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4" fontId="6" fillId="0" borderId="0" xfId="1" applyNumberFormat="1" applyFont="1"/>
    <xf numFmtId="0" fontId="6" fillId="34" borderId="0" xfId="46" applyFill="1" applyAlignment="1">
      <alignment horizontal="center"/>
    </xf>
    <xf numFmtId="0" fontId="3" fillId="2" borderId="30" xfId="0" applyFont="1" applyFill="1" applyBorder="1"/>
    <xf numFmtId="0" fontId="3" fillId="2" borderId="31" xfId="0" applyFont="1" applyFill="1" applyBorder="1"/>
    <xf numFmtId="0" fontId="3" fillId="2" borderId="29" xfId="0" applyFont="1" applyFill="1" applyBorder="1"/>
    <xf numFmtId="164" fontId="3" fillId="0" borderId="0" xfId="1" applyNumberFormat="1" applyFont="1" applyAlignment="1">
      <alignment horizontal="center"/>
    </xf>
    <xf numFmtId="0" fontId="30" fillId="0" borderId="0" xfId="0" applyFont="1"/>
    <xf numFmtId="43" fontId="3" fillId="0" borderId="0" xfId="1" applyFont="1" applyFill="1"/>
    <xf numFmtId="167" fontId="3" fillId="0" borderId="0" xfId="1" applyNumberFormat="1" applyFont="1" applyFill="1"/>
    <xf numFmtId="166" fontId="3" fillId="0" borderId="0" xfId="1" applyNumberFormat="1" applyFont="1" applyFill="1"/>
    <xf numFmtId="0" fontId="2" fillId="0" borderId="1" xfId="0" applyFont="1" applyBorder="1" applyAlignment="1">
      <alignment horizontal="right" wrapText="1"/>
    </xf>
    <xf numFmtId="0" fontId="2" fillId="0" borderId="39" xfId="0" applyFont="1" applyBorder="1" applyAlignment="1">
      <alignment horizontal="right" wrapText="1"/>
    </xf>
    <xf numFmtId="0" fontId="2" fillId="0" borderId="40" xfId="0" applyFont="1" applyBorder="1" applyAlignment="1">
      <alignment horizontal="right" wrapText="1"/>
    </xf>
    <xf numFmtId="0" fontId="2" fillId="0" borderId="29" xfId="0" applyFont="1" applyBorder="1" applyAlignment="1">
      <alignment horizontal="right" wrapText="1"/>
    </xf>
    <xf numFmtId="0" fontId="2" fillId="0" borderId="30" xfId="0" applyFont="1" applyBorder="1" applyAlignment="1">
      <alignment horizontal="right" wrapText="1"/>
    </xf>
    <xf numFmtId="0" fontId="2" fillId="0" borderId="31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44" xfId="0" applyFont="1" applyBorder="1"/>
    <xf numFmtId="0" fontId="3" fillId="0" borderId="37" xfId="0" applyFont="1" applyBorder="1"/>
    <xf numFmtId="0" fontId="3" fillId="0" borderId="38" xfId="0" applyFont="1" applyBorder="1"/>
    <xf numFmtId="164" fontId="3" fillId="0" borderId="29" xfId="1" applyNumberFormat="1" applyFont="1" applyFill="1" applyBorder="1"/>
    <xf numFmtId="43" fontId="3" fillId="0" borderId="30" xfId="1" applyFont="1" applyFill="1" applyBorder="1"/>
    <xf numFmtId="165" fontId="3" fillId="0" borderId="31" xfId="2" applyNumberFormat="1" applyFont="1" applyFill="1" applyBorder="1"/>
    <xf numFmtId="165" fontId="3" fillId="0" borderId="0" xfId="2" applyNumberFormat="1" applyFont="1" applyFill="1"/>
    <xf numFmtId="172" fontId="3" fillId="0" borderId="31" xfId="3" applyNumberFormat="1" applyFont="1" applyFill="1" applyBorder="1"/>
    <xf numFmtId="166" fontId="3" fillId="0" borderId="30" xfId="1" applyNumberFormat="1" applyFont="1" applyFill="1" applyBorder="1"/>
    <xf numFmtId="0" fontId="3" fillId="0" borderId="1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165" fontId="3" fillId="0" borderId="40" xfId="2" applyNumberFormat="1" applyFont="1" applyFill="1" applyBorder="1" applyAlignment="1">
      <alignment vertical="center"/>
    </xf>
    <xf numFmtId="165" fontId="3" fillId="0" borderId="5" xfId="2" applyNumberFormat="1" applyFont="1" applyFill="1" applyBorder="1" applyAlignment="1">
      <alignment vertical="center"/>
    </xf>
    <xf numFmtId="172" fontId="3" fillId="0" borderId="40" xfId="3" applyNumberFormat="1" applyFont="1" applyFill="1" applyBorder="1" applyAlignment="1">
      <alignment vertical="center"/>
    </xf>
    <xf numFmtId="0" fontId="3" fillId="0" borderId="29" xfId="0" applyFont="1" applyBorder="1"/>
    <xf numFmtId="0" fontId="3" fillId="0" borderId="30" xfId="0" applyFont="1" applyBorder="1"/>
    <xf numFmtId="165" fontId="3" fillId="0" borderId="31" xfId="0" applyNumberFormat="1" applyFont="1" applyBorder="1"/>
    <xf numFmtId="0" fontId="3" fillId="0" borderId="1" xfId="0" applyFont="1" applyBorder="1"/>
    <xf numFmtId="0" fontId="3" fillId="0" borderId="39" xfId="0" applyFont="1" applyBorder="1"/>
    <xf numFmtId="165" fontId="3" fillId="0" borderId="40" xfId="2" applyNumberFormat="1" applyFont="1" applyFill="1" applyBorder="1"/>
    <xf numFmtId="165" fontId="3" fillId="0" borderId="5" xfId="2" applyNumberFormat="1" applyFont="1" applyFill="1" applyBorder="1"/>
    <xf numFmtId="172" fontId="3" fillId="0" borderId="40" xfId="3" applyNumberFormat="1" applyFont="1" applyFill="1" applyBorder="1"/>
    <xf numFmtId="0" fontId="3" fillId="0" borderId="43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65" fontId="3" fillId="0" borderId="42" xfId="2" applyNumberFormat="1" applyFont="1" applyFill="1" applyBorder="1" applyAlignment="1">
      <alignment vertical="center"/>
    </xf>
    <xf numFmtId="165" fontId="3" fillId="0" borderId="42" xfId="0" applyNumberFormat="1" applyFont="1" applyBorder="1" applyAlignment="1">
      <alignment vertical="center"/>
    </xf>
    <xf numFmtId="165" fontId="3" fillId="0" borderId="3" xfId="2" applyNumberFormat="1" applyFont="1" applyFill="1" applyBorder="1" applyAlignment="1">
      <alignment vertical="center"/>
    </xf>
    <xf numFmtId="172" fontId="3" fillId="0" borderId="42" xfId="3" applyNumberFormat="1" applyFont="1" applyFill="1" applyBorder="1" applyAlignment="1">
      <alignment vertical="center"/>
    </xf>
    <xf numFmtId="43" fontId="3" fillId="0" borderId="29" xfId="1" applyFont="1" applyFill="1" applyBorder="1"/>
    <xf numFmtId="44" fontId="3" fillId="0" borderId="31" xfId="0" applyNumberFormat="1" applyFont="1" applyBorder="1"/>
    <xf numFmtId="44" fontId="3" fillId="0" borderId="0" xfId="0" applyNumberFormat="1" applyFont="1"/>
    <xf numFmtId="172" fontId="3" fillId="0" borderId="31" xfId="3" applyNumberFormat="1" applyFont="1" applyBorder="1"/>
    <xf numFmtId="0" fontId="3" fillId="0" borderId="31" xfId="0" applyFont="1" applyBorder="1"/>
    <xf numFmtId="172" fontId="3" fillId="0" borderId="38" xfId="3" applyNumberFormat="1" applyFont="1" applyBorder="1"/>
    <xf numFmtId="171" fontId="3" fillId="0" borderId="30" xfId="0" applyNumberFormat="1" applyFont="1" applyBorder="1"/>
    <xf numFmtId="43" fontId="3" fillId="0" borderId="29" xfId="1" applyFont="1" applyFill="1" applyBorder="1" applyAlignment="1">
      <alignment horizontal="center"/>
    </xf>
    <xf numFmtId="43" fontId="3" fillId="0" borderId="30" xfId="1" applyFont="1" applyFill="1" applyBorder="1" applyAlignment="1">
      <alignment horizontal="center"/>
    </xf>
    <xf numFmtId="43" fontId="3" fillId="0" borderId="31" xfId="1" applyFont="1" applyFill="1" applyBorder="1" applyAlignment="1">
      <alignment horizontal="center"/>
    </xf>
    <xf numFmtId="43" fontId="3" fillId="0" borderId="0" xfId="1" applyFont="1" applyFill="1" applyAlignment="1">
      <alignment horizontal="center"/>
    </xf>
    <xf numFmtId="172" fontId="3" fillId="0" borderId="31" xfId="3" applyNumberFormat="1" applyFont="1" applyFill="1" applyBorder="1" applyAlignment="1">
      <alignment horizontal="center"/>
    </xf>
    <xf numFmtId="165" fontId="3" fillId="0" borderId="40" xfId="0" applyNumberFormat="1" applyFont="1" applyBorder="1" applyAlignment="1">
      <alignment vertical="center"/>
    </xf>
    <xf numFmtId="165" fontId="3" fillId="0" borderId="39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3" fillId="0" borderId="30" xfId="0" applyNumberFormat="1" applyFont="1" applyBorder="1"/>
    <xf numFmtId="165" fontId="3" fillId="0" borderId="40" xfId="0" applyNumberFormat="1" applyFont="1" applyBorder="1"/>
    <xf numFmtId="165" fontId="3" fillId="0" borderId="39" xfId="0" applyNumberFormat="1" applyFont="1" applyBorder="1"/>
    <xf numFmtId="165" fontId="3" fillId="0" borderId="5" xfId="0" applyNumberFormat="1" applyFont="1" applyBorder="1"/>
    <xf numFmtId="172" fontId="3" fillId="0" borderId="40" xfId="3" applyNumberFormat="1" applyFont="1" applyBorder="1"/>
    <xf numFmtId="165" fontId="3" fillId="0" borderId="41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72" fontId="3" fillId="0" borderId="42" xfId="3" applyNumberFormat="1" applyFont="1" applyBorder="1" applyAlignment="1">
      <alignment vertical="center"/>
    </xf>
    <xf numFmtId="172" fontId="3" fillId="0" borderId="0" xfId="3" applyNumberFormat="1" applyFont="1"/>
    <xf numFmtId="165" fontId="3" fillId="0" borderId="1" xfId="0" applyNumberFormat="1" applyFont="1" applyFill="1" applyBorder="1"/>
  </cellXfs>
  <cellStyles count="51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omma 3 2" xfId="48" xr:uid="{A9B031AF-F475-4542-80E3-217FB9D96255}"/>
    <cellStyle name="Currency" xfId="2" builtinId="4"/>
    <cellStyle name="Currency 2 2" xfId="49" xr:uid="{90AA4C43-4186-476E-8599-93D731901949}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" xr:uid="{07BB8BC8-C5A2-4D23-8181-BEF9162D0260}"/>
    <cellStyle name="Normal 2 2" xfId="46" xr:uid="{5F45B6BC-386E-4608-84A9-12F022332315}"/>
    <cellStyle name="Normal 3" xfId="47" xr:uid="{CF9030C8-0FA9-4DBE-9E8B-5B8AB80D07EB}"/>
    <cellStyle name="Note" xfId="19" builtinId="10" customBuiltin="1"/>
    <cellStyle name="Output" xfId="14" builtinId="21" customBuiltin="1"/>
    <cellStyle name="Percent" xfId="3" builtinId="5"/>
    <cellStyle name="Percent 3 2" xfId="50" xr:uid="{772E64B8-671C-4A05-B498-C2AC76F1A745}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FFFFCC"/>
      <color rgb="FF0000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6C87-2D74-4DCB-9000-40376CA871FF}">
  <sheetPr>
    <pageSetUpPr fitToPage="1"/>
  </sheetPr>
  <dimension ref="A1:P19"/>
  <sheetViews>
    <sheetView view="pageBreakPreview" zoomScaleNormal="100" zoomScaleSheetLayoutView="100" workbookViewId="0">
      <selection activeCell="F22" sqref="F22"/>
    </sheetView>
  </sheetViews>
  <sheetFormatPr defaultColWidth="8.85546875" defaultRowHeight="12.75" x14ac:dyDescent="0.2"/>
  <cols>
    <col min="1" max="1" width="5" style="2" customWidth="1"/>
    <col min="2" max="2" width="36.85546875" style="2" customWidth="1"/>
    <col min="3" max="3" width="6" style="12" bestFit="1" customWidth="1"/>
    <col min="4" max="4" width="10.28515625" style="12" bestFit="1" customWidth="1"/>
    <col min="5" max="7" width="13.42578125" style="2" bestFit="1" customWidth="1"/>
    <col min="8" max="8" width="12.28515625" style="2" bestFit="1" customWidth="1"/>
    <col min="9" max="9" width="9.7109375" style="2" bestFit="1" customWidth="1"/>
    <col min="10" max="10" width="12" style="2" bestFit="1" customWidth="1"/>
    <col min="11" max="11" width="11.28515625" style="2" customWidth="1"/>
    <col min="12" max="12" width="14.5703125" style="2" customWidth="1"/>
    <col min="13" max="13" width="9" style="2" customWidth="1"/>
    <col min="14" max="14" width="14.7109375" style="2" customWidth="1"/>
    <col min="15" max="15" width="10" style="2" customWidth="1"/>
    <col min="16" max="16384" width="8.85546875" style="2"/>
  </cols>
  <sheetData>
    <row r="1" spans="1:16" x14ac:dyDescent="0.2">
      <c r="A1" s="1" t="s">
        <v>44</v>
      </c>
    </row>
    <row r="2" spans="1:16" x14ac:dyDescent="0.2">
      <c r="A2" s="1" t="s">
        <v>66</v>
      </c>
    </row>
    <row r="4" spans="1:16" s="8" customFormat="1" ht="31.9" customHeight="1" x14ac:dyDescent="0.2">
      <c r="A4" s="6" t="s">
        <v>0</v>
      </c>
      <c r="B4" s="6" t="s">
        <v>1</v>
      </c>
      <c r="C4" s="7" t="s">
        <v>7</v>
      </c>
      <c r="D4" s="7" t="s">
        <v>84</v>
      </c>
      <c r="E4" s="9" t="s">
        <v>59</v>
      </c>
      <c r="F4" s="9" t="s">
        <v>2</v>
      </c>
      <c r="G4" s="9" t="s">
        <v>3</v>
      </c>
      <c r="H4" s="7" t="s">
        <v>62</v>
      </c>
      <c r="I4" s="7" t="s">
        <v>62</v>
      </c>
      <c r="J4" s="7" t="s">
        <v>63</v>
      </c>
      <c r="K4" s="2"/>
      <c r="L4" s="2"/>
      <c r="M4" s="2"/>
      <c r="N4" s="2"/>
      <c r="O4" s="2"/>
      <c r="P4" s="2"/>
    </row>
    <row r="5" spans="1:16" x14ac:dyDescent="0.2">
      <c r="A5" s="3">
        <v>1</v>
      </c>
      <c r="B5" s="25"/>
      <c r="C5" s="33"/>
      <c r="D5" s="33"/>
      <c r="E5" s="25"/>
      <c r="F5" s="26"/>
      <c r="G5" s="26"/>
      <c r="H5" s="8"/>
      <c r="I5" s="8"/>
    </row>
    <row r="6" spans="1:16" x14ac:dyDescent="0.2">
      <c r="A6" s="3">
        <f>A5+1</f>
        <v>2</v>
      </c>
      <c r="B6" s="2" t="str">
        <f>'Billing Detail'!B7</f>
        <v>Residential, Farm and Non-Farm Service</v>
      </c>
      <c r="C6" s="12" t="str">
        <f>'Billing Detail'!C7</f>
        <v xml:space="preserve">A </v>
      </c>
      <c r="D6" s="106">
        <f>'Billing Detail'!E17</f>
        <v>993.47027302295703</v>
      </c>
      <c r="E6" s="28">
        <f>'Billing Detail'!G16</f>
        <v>99359690.699299991</v>
      </c>
      <c r="F6" s="28">
        <f>'Billing Detail'!I16</f>
        <v>99359690.699300006</v>
      </c>
      <c r="G6" s="28">
        <f>'Billing Detail'!K16</f>
        <v>110126689.83984001</v>
      </c>
      <c r="H6" s="28">
        <f>'Billing Detail'!L16</f>
        <v>10766999.140540004</v>
      </c>
      <c r="I6" s="39">
        <f>'Billing Detail'!M16</f>
        <v>0.10836385524915747</v>
      </c>
      <c r="J6" s="45">
        <f>'Billing Detail'!L17</f>
        <v>13.776539244702164</v>
      </c>
    </row>
    <row r="7" spans="1:16" x14ac:dyDescent="0.2">
      <c r="A7" s="3">
        <f t="shared" ref="A7:A18" si="0">A6+1</f>
        <v>3</v>
      </c>
      <c r="B7" s="2" t="str">
        <f>'Billing Detail'!B19</f>
        <v>Small Commercial Rate</v>
      </c>
      <c r="C7" s="12" t="str">
        <f>'Billing Detail'!C19</f>
        <v>B</v>
      </c>
      <c r="D7" s="106">
        <f>'Billing Detail'!E29</f>
        <v>1228.1883322222791</v>
      </c>
      <c r="E7" s="28">
        <f>'Billing Detail'!G28</f>
        <v>10467628.638839999</v>
      </c>
      <c r="F7" s="28">
        <f>'Billing Detail'!I28</f>
        <v>10467628.638839999</v>
      </c>
      <c r="G7" s="28">
        <f>'Billing Detail'!K28</f>
        <v>10467628.638839999</v>
      </c>
      <c r="H7" s="28">
        <f>'Billing Detail'!L28</f>
        <v>0</v>
      </c>
      <c r="I7" s="39">
        <f>'Billing Detail'!M28</f>
        <v>0</v>
      </c>
      <c r="J7" s="45">
        <f>'Billing Detail'!L29</f>
        <v>0</v>
      </c>
    </row>
    <row r="8" spans="1:16" x14ac:dyDescent="0.2">
      <c r="A8" s="3">
        <f t="shared" si="0"/>
        <v>4</v>
      </c>
      <c r="B8" s="2" t="str">
        <f>'Billing Detail'!B31</f>
        <v>Large Power Rate (Excess of 50 kVA)</v>
      </c>
      <c r="C8" s="12" t="str">
        <f>'Billing Detail'!C31</f>
        <v>LP</v>
      </c>
      <c r="D8" s="106">
        <f>'Billing Detail'!E42</f>
        <v>34325.371353777111</v>
      </c>
      <c r="E8" s="28">
        <f>'Billing Detail'!G41</f>
        <v>19702737.499579996</v>
      </c>
      <c r="F8" s="28">
        <f>'Billing Detail'!I41</f>
        <v>19702737.499579996</v>
      </c>
      <c r="G8" s="28">
        <f>'Billing Detail'!K41</f>
        <v>19702737.499579996</v>
      </c>
      <c r="H8" s="28">
        <f>'Billing Detail'!L41</f>
        <v>0</v>
      </c>
      <c r="I8" s="39">
        <f>'Billing Detail'!M41</f>
        <v>0</v>
      </c>
      <c r="J8" s="45">
        <f>'Billing Detail'!L42</f>
        <v>0</v>
      </c>
    </row>
    <row r="9" spans="1:16" x14ac:dyDescent="0.2">
      <c r="A9" s="3">
        <f t="shared" si="0"/>
        <v>5</v>
      </c>
      <c r="B9" s="2" t="str">
        <f>'Billing Detail'!B44</f>
        <v>Large Power Rate (500 KW to 4,999 KW)</v>
      </c>
      <c r="C9" s="12" t="str">
        <f>'Billing Detail'!C44</f>
        <v>LP-1</v>
      </c>
      <c r="D9" s="106">
        <f>'Billing Detail'!E58</f>
        <v>819597.75</v>
      </c>
      <c r="E9" s="28">
        <f>'Billing Detail'!G57</f>
        <v>851695.86959999998</v>
      </c>
      <c r="F9" s="28">
        <f>'Billing Detail'!I57</f>
        <v>851695.86959999998</v>
      </c>
      <c r="G9" s="28">
        <f>'Billing Detail'!K57</f>
        <v>851695.86959999998</v>
      </c>
      <c r="H9" s="28">
        <f>'Billing Detail'!L57</f>
        <v>0</v>
      </c>
      <c r="I9" s="39">
        <f>'Billing Detail'!M57</f>
        <v>0</v>
      </c>
      <c r="J9" s="45">
        <f>'Billing Detail'!L58</f>
        <v>0</v>
      </c>
    </row>
    <row r="10" spans="1:16" x14ac:dyDescent="0.2">
      <c r="A10" s="3">
        <f t="shared" si="0"/>
        <v>6</v>
      </c>
      <c r="B10" s="2" t="str">
        <f>'Billing Detail'!B60</f>
        <v>Large Power Rate (5,000 KW to 9,999 KW)</v>
      </c>
      <c r="C10" s="12" t="str">
        <f>'Billing Detail'!C60</f>
        <v>LP-2</v>
      </c>
      <c r="D10" s="106">
        <f>'Billing Detail'!E74</f>
        <v>3145627.5416666665</v>
      </c>
      <c r="E10" s="28">
        <f>'Billing Detail'!G73</f>
        <v>6128168.1147300005</v>
      </c>
      <c r="F10" s="28">
        <f>'Billing Detail'!I73</f>
        <v>6128168.1147299996</v>
      </c>
      <c r="G10" s="28">
        <f>'Billing Detail'!K73</f>
        <v>6128168.1147299996</v>
      </c>
      <c r="H10" s="28">
        <f>'Billing Detail'!L73</f>
        <v>0</v>
      </c>
      <c r="I10" s="39">
        <f>'Billing Detail'!M73</f>
        <v>0</v>
      </c>
      <c r="J10" s="45">
        <f>'Billing Detail'!L74</f>
        <v>0</v>
      </c>
    </row>
    <row r="11" spans="1:16" x14ac:dyDescent="0.2">
      <c r="A11" s="3">
        <f t="shared" si="0"/>
        <v>7</v>
      </c>
      <c r="B11" s="2" t="str">
        <f>'Billing Detail'!B76</f>
        <v>Large Power Rate (500 KW to 2,999 KW)</v>
      </c>
      <c r="C11" s="12" t="str">
        <f>'Billing Detail'!C76</f>
        <v>LP-3</v>
      </c>
      <c r="D11" s="106">
        <f>'Billing Detail'!E90</f>
        <v>753956.21296296292</v>
      </c>
      <c r="E11" s="28">
        <f>'Billing Detail'!G89</f>
        <v>7019632.7979899999</v>
      </c>
      <c r="F11" s="28">
        <f>'Billing Detail'!I89</f>
        <v>7019632.7979899999</v>
      </c>
      <c r="G11" s="28">
        <f>'Billing Detail'!K89</f>
        <v>7019632.7979899999</v>
      </c>
      <c r="H11" s="28">
        <f>'Billing Detail'!L89</f>
        <v>0</v>
      </c>
      <c r="I11" s="39">
        <f>'Billing Detail'!M89</f>
        <v>0</v>
      </c>
      <c r="J11" s="45">
        <f>'Billing Detail'!L90</f>
        <v>0</v>
      </c>
    </row>
    <row r="12" spans="1:16" x14ac:dyDescent="0.2">
      <c r="A12" s="3">
        <f t="shared" si="0"/>
        <v>8</v>
      </c>
      <c r="B12" s="2" t="str">
        <f>'Billing Detail'!B92</f>
        <v>Optional Power Service</v>
      </c>
      <c r="C12" s="12" t="str">
        <f>'Billing Detail'!C92</f>
        <v>OPS</v>
      </c>
      <c r="D12" s="106">
        <f>'Billing Detail'!E102</f>
        <v>7089.2427983539092</v>
      </c>
      <c r="E12" s="28">
        <f>'Billing Detail'!G101</f>
        <v>1672717.9936000002</v>
      </c>
      <c r="F12" s="28">
        <f>'Billing Detail'!I101</f>
        <v>1672717.9936000002</v>
      </c>
      <c r="G12" s="28">
        <f>'Billing Detail'!K101</f>
        <v>1672717.9936000002</v>
      </c>
      <c r="H12" s="28">
        <f>'Billing Detail'!L101</f>
        <v>0</v>
      </c>
      <c r="I12" s="39">
        <f>'Billing Detail'!M101</f>
        <v>0</v>
      </c>
      <c r="J12" s="45">
        <f>'Billing Detail'!L102</f>
        <v>0</v>
      </c>
    </row>
    <row r="13" spans="1:16" x14ac:dyDescent="0.2">
      <c r="A13" s="3">
        <f t="shared" si="0"/>
        <v>9</v>
      </c>
      <c r="B13" s="2" t="str">
        <f>'Billing Detail'!B104</f>
        <v>All Electric Schools</v>
      </c>
      <c r="C13" s="12" t="str">
        <f>'Billing Detail'!C104</f>
        <v>AES</v>
      </c>
      <c r="D13" s="106">
        <f>'Billing Detail'!E114</f>
        <v>51336.421568627447</v>
      </c>
      <c r="E13" s="28">
        <f>'Billing Detail'!G113</f>
        <v>1119848.7590000001</v>
      </c>
      <c r="F13" s="28">
        <f>'Billing Detail'!I113</f>
        <v>1119848.7590000001</v>
      </c>
      <c r="G13" s="28">
        <f>'Billing Detail'!K113</f>
        <v>1119848.7590000001</v>
      </c>
      <c r="H13" s="28">
        <f>'Billing Detail'!L113</f>
        <v>0</v>
      </c>
      <c r="I13" s="39">
        <f>'Billing Detail'!M113</f>
        <v>0</v>
      </c>
      <c r="J13" s="45">
        <f>'Billing Detail'!L114</f>
        <v>0</v>
      </c>
    </row>
    <row r="14" spans="1:16" x14ac:dyDescent="0.2">
      <c r="A14" s="3">
        <f t="shared" si="0"/>
        <v>10</v>
      </c>
      <c r="B14" s="2" t="str">
        <f>'Billing Detail'!B116</f>
        <v>Lighting</v>
      </c>
      <c r="C14" s="12" t="s">
        <v>68</v>
      </c>
      <c r="D14" s="36" t="s">
        <v>29</v>
      </c>
      <c r="E14" s="28">
        <f>'Billing Detail'!G123</f>
        <v>3780693.55</v>
      </c>
      <c r="F14" s="28">
        <f>'Billing Detail'!I123</f>
        <v>4132911.91</v>
      </c>
      <c r="G14" s="28">
        <f>'Billing Detail'!K123</f>
        <v>4132911.91</v>
      </c>
      <c r="H14" s="28">
        <f>'Billing Detail'!L123</f>
        <v>0</v>
      </c>
      <c r="I14" s="39">
        <f>'Billing Detail'!M123</f>
        <v>0</v>
      </c>
      <c r="J14" s="45">
        <f>'Billing Detail'!L124</f>
        <v>0</v>
      </c>
    </row>
    <row r="15" spans="1:16" ht="18" customHeight="1" x14ac:dyDescent="0.2">
      <c r="A15" s="3">
        <f t="shared" si="0"/>
        <v>11</v>
      </c>
      <c r="B15" s="29" t="s">
        <v>6</v>
      </c>
      <c r="C15" s="34"/>
      <c r="D15" s="34"/>
      <c r="E15" s="30">
        <f>'Billing Detail'!I133</f>
        <v>150455032.28263998</v>
      </c>
      <c r="F15" s="30">
        <f>'Billing Detail'!I133</f>
        <v>150455032.28263998</v>
      </c>
      <c r="G15" s="30">
        <f>'Billing Detail'!K133</f>
        <v>161222031.42318001</v>
      </c>
      <c r="H15" s="30">
        <f>'Billing Detail'!L133</f>
        <v>10766999.140540004</v>
      </c>
      <c r="I15" s="40">
        <f>'Billing Detail'!M133</f>
        <v>7.1562904724339599E-2</v>
      </c>
      <c r="J15" s="30"/>
    </row>
    <row r="16" spans="1:16" ht="33.75" customHeight="1" x14ac:dyDescent="0.2">
      <c r="A16" s="3">
        <f t="shared" si="0"/>
        <v>12</v>
      </c>
      <c r="B16" s="2" t="s">
        <v>69</v>
      </c>
      <c r="E16" s="38"/>
      <c r="H16" s="28">
        <f>'Billing Detail'!L135</f>
        <v>10767835.375506651</v>
      </c>
    </row>
    <row r="17" spans="1:8" ht="15" customHeight="1" x14ac:dyDescent="0.2">
      <c r="A17" s="3">
        <f t="shared" si="0"/>
        <v>13</v>
      </c>
      <c r="B17" s="2" t="s">
        <v>85</v>
      </c>
      <c r="E17" s="31"/>
      <c r="H17" s="28">
        <f>'Billing Detail'!L136</f>
        <v>-836.23496664687991</v>
      </c>
    </row>
    <row r="18" spans="1:8" ht="15" customHeight="1" x14ac:dyDescent="0.2">
      <c r="A18" s="3">
        <f t="shared" si="0"/>
        <v>14</v>
      </c>
      <c r="B18" s="2" t="s">
        <v>86</v>
      </c>
      <c r="E18" s="27"/>
      <c r="H18" s="35">
        <f>IF(H16=0,0,H17/H16)</f>
        <v>-7.7660452401514659E-5</v>
      </c>
    </row>
    <row r="19" spans="1:8" x14ac:dyDescent="0.2">
      <c r="A19" s="3"/>
    </row>
  </sheetData>
  <printOptions horizontalCentered="1"/>
  <pageMargins left="0.7" right="0.7" top="0.75" bottom="0.75" header="0.3" footer="0.3"/>
  <pageSetup scale="92" orientation="landscape" r:id="rId1"/>
  <headerFooter>
    <oddFooter>&amp;RExhibit JW-9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36A2-12A9-4965-8FFC-07FECC5A7A7C}">
  <sheetPr>
    <pageSetUpPr fitToPage="1"/>
  </sheetPr>
  <dimension ref="A1:O136"/>
  <sheetViews>
    <sheetView tabSelected="1" view="pageBreakPreview" zoomScale="75" zoomScaleNormal="75" zoomScaleSheetLayoutView="75" workbookViewId="0">
      <pane xSplit="4" ySplit="5" topLeftCell="E128" activePane="bottomRight" state="frozen"/>
      <selection activeCell="E41" sqref="E41"/>
      <selection pane="topRight" activeCell="E41" sqref="E41"/>
      <selection pane="bottomLeft" activeCell="E41" sqref="E41"/>
      <selection pane="bottomRight" activeCell="L155" sqref="L155"/>
    </sheetView>
  </sheetViews>
  <sheetFormatPr defaultColWidth="8.85546875" defaultRowHeight="12.75" x14ac:dyDescent="0.2"/>
  <cols>
    <col min="1" max="1" width="7.42578125" style="4" customWidth="1"/>
    <col min="2" max="2" width="27" style="2" customWidth="1"/>
    <col min="3" max="3" width="9.7109375" style="12" customWidth="1"/>
    <col min="4" max="4" width="36.140625" style="2" customWidth="1"/>
    <col min="5" max="5" width="14.42578125" style="2" customWidth="1"/>
    <col min="6" max="6" width="11.7109375" style="2" bestFit="1" customWidth="1"/>
    <col min="7" max="7" width="13.85546875" style="2" bestFit="1" customWidth="1"/>
    <col min="8" max="8" width="12.28515625" style="2" bestFit="1" customWidth="1"/>
    <col min="9" max="9" width="15.28515625" style="2" bestFit="1" customWidth="1"/>
    <col min="10" max="10" width="11.42578125" style="2" customWidth="1"/>
    <col min="11" max="11" width="14.28515625" style="2" bestFit="1" customWidth="1"/>
    <col min="12" max="12" width="14.28515625" style="2" customWidth="1"/>
    <col min="13" max="13" width="9.85546875" style="2" customWidth="1"/>
    <col min="14" max="14" width="8.85546875" style="2" customWidth="1"/>
    <col min="15" max="15" width="15.28515625" style="2" customWidth="1"/>
    <col min="16" max="16384" width="8.85546875" style="2"/>
  </cols>
  <sheetData>
    <row r="1" spans="1:15" x14ac:dyDescent="0.2">
      <c r="A1" s="22" t="str">
        <f>Summary!A1</f>
        <v>SOUTH KENTUCKY RECC</v>
      </c>
      <c r="E1" s="107"/>
      <c r="F1" s="108"/>
    </row>
    <row r="2" spans="1:15" ht="14.45" customHeight="1" x14ac:dyDescent="0.2">
      <c r="A2" s="22" t="str">
        <f>Summary!A2</f>
        <v>Present and Proposed Rates</v>
      </c>
      <c r="F2" s="109"/>
      <c r="G2" s="110"/>
      <c r="H2" s="3"/>
    </row>
    <row r="5" spans="1:15" ht="38.450000000000003" customHeight="1" x14ac:dyDescent="0.2">
      <c r="A5" s="14" t="s">
        <v>0</v>
      </c>
      <c r="B5" s="14" t="s">
        <v>8</v>
      </c>
      <c r="C5" s="7" t="s">
        <v>7</v>
      </c>
      <c r="D5" s="14" t="s">
        <v>9</v>
      </c>
      <c r="E5" s="111" t="s">
        <v>10</v>
      </c>
      <c r="F5" s="112" t="s">
        <v>58</v>
      </c>
      <c r="G5" s="113" t="s">
        <v>59</v>
      </c>
      <c r="H5" s="112" t="s">
        <v>16</v>
      </c>
      <c r="I5" s="113" t="s">
        <v>17</v>
      </c>
      <c r="J5" s="112" t="s">
        <v>15</v>
      </c>
      <c r="K5" s="113" t="s">
        <v>3</v>
      </c>
      <c r="L5" s="112" t="s">
        <v>11</v>
      </c>
      <c r="M5" s="113" t="s">
        <v>12</v>
      </c>
      <c r="O5" s="44">
        <f>L136</f>
        <v>-836.23496664687991</v>
      </c>
    </row>
    <row r="6" spans="1:15" ht="30.6" customHeight="1" thickBot="1" x14ac:dyDescent="0.25">
      <c r="A6" s="23"/>
      <c r="B6" s="18"/>
      <c r="C6" s="19"/>
      <c r="D6" s="18"/>
      <c r="E6" s="114"/>
      <c r="F6" s="115"/>
      <c r="G6" s="116"/>
      <c r="H6" s="115"/>
      <c r="I6" s="116"/>
      <c r="J6" s="115"/>
      <c r="K6" s="116"/>
      <c r="L6" s="117"/>
      <c r="M6" s="116"/>
    </row>
    <row r="7" spans="1:15" x14ac:dyDescent="0.2">
      <c r="A7" s="24">
        <v>1</v>
      </c>
      <c r="B7" s="94" t="s">
        <v>33</v>
      </c>
      <c r="C7" s="21" t="s">
        <v>56</v>
      </c>
      <c r="D7" s="20"/>
      <c r="E7" s="118"/>
      <c r="F7" s="119"/>
      <c r="G7" s="120"/>
      <c r="H7" s="119"/>
      <c r="I7" s="120"/>
      <c r="J7" s="119"/>
      <c r="K7" s="120"/>
      <c r="L7" s="20"/>
      <c r="M7" s="120"/>
    </row>
    <row r="8" spans="1:15" x14ac:dyDescent="0.2">
      <c r="A8" s="24">
        <f>A7+1</f>
        <v>2</v>
      </c>
      <c r="B8" s="95"/>
      <c r="D8" s="2" t="s">
        <v>61</v>
      </c>
      <c r="E8" s="121">
        <v>781546</v>
      </c>
      <c r="F8" s="122">
        <v>17.5</v>
      </c>
      <c r="G8" s="123">
        <f>F8*E8</f>
        <v>13677055</v>
      </c>
      <c r="H8" s="122">
        <v>17.5</v>
      </c>
      <c r="I8" s="123">
        <f>H8*E8</f>
        <v>13677055</v>
      </c>
      <c r="J8" s="122">
        <v>30.75</v>
      </c>
      <c r="K8" s="123">
        <f>J8*E8</f>
        <v>24032539.5</v>
      </c>
      <c r="L8" s="124">
        <f>K8-I8</f>
        <v>10355484.5</v>
      </c>
      <c r="M8" s="125">
        <f>IF(I8=0,0,L8/I8)</f>
        <v>0.75714285714285712</v>
      </c>
    </row>
    <row r="9" spans="1:15" x14ac:dyDescent="0.2">
      <c r="A9" s="24">
        <f t="shared" ref="A9:A50" si="0">A8+1</f>
        <v>3</v>
      </c>
      <c r="B9" s="10"/>
      <c r="D9" s="2" t="s">
        <v>25</v>
      </c>
      <c r="E9" s="121">
        <v>776442718</v>
      </c>
      <c r="F9" s="126">
        <v>8.6349999999999996E-2</v>
      </c>
      <c r="G9" s="123">
        <f t="shared" ref="G9" si="1">F9*E9</f>
        <v>67045828.699299999</v>
      </c>
      <c r="H9" s="126">
        <v>9.8159999999999997E-2</v>
      </c>
      <c r="I9" s="123">
        <f t="shared" ref="I9" si="2">H9*E9</f>
        <v>76215617.198880002</v>
      </c>
      <c r="J9" s="126">
        <f>ROUND(H9*O9,5)</f>
        <v>9.869E-2</v>
      </c>
      <c r="K9" s="123">
        <f>J9*E9</f>
        <v>76627131.839420006</v>
      </c>
      <c r="L9" s="124">
        <f>K9-I9</f>
        <v>411514.64054000378</v>
      </c>
      <c r="M9" s="125">
        <f t="shared" ref="M9:M48" si="3">IF(I9=0,0,L9/I9)</f>
        <v>5.3993480032600329E-3</v>
      </c>
      <c r="O9" s="43">
        <v>1.00545</v>
      </c>
    </row>
    <row r="10" spans="1:15" s="4" customFormat="1" ht="20.45" customHeight="1" x14ac:dyDescent="0.25">
      <c r="A10" s="24">
        <f t="shared" si="0"/>
        <v>4</v>
      </c>
      <c r="C10" s="13"/>
      <c r="D10" s="15" t="s">
        <v>4</v>
      </c>
      <c r="E10" s="127"/>
      <c r="F10" s="128"/>
      <c r="G10" s="129">
        <f>SUM(G8:G9)</f>
        <v>80722883.699299991</v>
      </c>
      <c r="H10" s="128"/>
      <c r="I10" s="129">
        <f>SUM(I8:I9)</f>
        <v>89892672.198880002</v>
      </c>
      <c r="J10" s="128"/>
      <c r="K10" s="129">
        <f>SUM(K8:K9)</f>
        <v>100659671.33942001</v>
      </c>
      <c r="L10" s="130">
        <f>SUM(L8:L9)</f>
        <v>10766999.140540004</v>
      </c>
      <c r="M10" s="131">
        <f t="shared" si="3"/>
        <v>0.11977616058313319</v>
      </c>
    </row>
    <row r="11" spans="1:15" x14ac:dyDescent="0.2">
      <c r="A11" s="24">
        <f t="shared" si="0"/>
        <v>5</v>
      </c>
      <c r="D11" s="2" t="s">
        <v>18</v>
      </c>
      <c r="E11" s="132"/>
      <c r="F11" s="133"/>
      <c r="G11" s="123">
        <v>7519383.4199999999</v>
      </c>
      <c r="H11" s="133"/>
      <c r="I11" s="134">
        <f>G11-($H$135*E9)</f>
        <v>-1650405.0795799997</v>
      </c>
      <c r="J11" s="133"/>
      <c r="K11" s="123">
        <f>I11</f>
        <v>-1650405.0795799997</v>
      </c>
      <c r="L11" s="124">
        <f t="shared" ref="L11:L17" si="4">K11-I11</f>
        <v>0</v>
      </c>
      <c r="M11" s="125">
        <f t="shared" si="3"/>
        <v>0</v>
      </c>
    </row>
    <row r="12" spans="1:15" x14ac:dyDescent="0.2">
      <c r="A12" s="24">
        <f t="shared" si="0"/>
        <v>6</v>
      </c>
      <c r="D12" s="2" t="s">
        <v>19</v>
      </c>
      <c r="E12" s="132"/>
      <c r="F12" s="133"/>
      <c r="G12" s="123">
        <v>10696512.58</v>
      </c>
      <c r="H12" s="133"/>
      <c r="I12" s="134">
        <f>G12</f>
        <v>10696512.58</v>
      </c>
      <c r="J12" s="133"/>
      <c r="K12" s="123">
        <f>I12</f>
        <v>10696512.58</v>
      </c>
      <c r="L12" s="124">
        <f t="shared" si="4"/>
        <v>0</v>
      </c>
      <c r="M12" s="125">
        <f t="shared" si="3"/>
        <v>0</v>
      </c>
    </row>
    <row r="13" spans="1:15" x14ac:dyDescent="0.2">
      <c r="A13" s="24">
        <f t="shared" si="0"/>
        <v>7</v>
      </c>
      <c r="D13" s="2" t="s">
        <v>32</v>
      </c>
      <c r="E13" s="121">
        <v>46345</v>
      </c>
      <c r="F13" s="122">
        <v>9</v>
      </c>
      <c r="G13" s="123">
        <f>F13*E13</f>
        <v>417105</v>
      </c>
      <c r="H13" s="122">
        <v>9</v>
      </c>
      <c r="I13" s="134">
        <f>H13*E13</f>
        <v>417105</v>
      </c>
      <c r="J13" s="133"/>
      <c r="K13" s="123">
        <f>I13</f>
        <v>417105</v>
      </c>
      <c r="L13" s="124">
        <f t="shared" si="4"/>
        <v>0</v>
      </c>
      <c r="M13" s="125">
        <f t="shared" si="3"/>
        <v>0</v>
      </c>
    </row>
    <row r="14" spans="1:15" x14ac:dyDescent="0.2">
      <c r="A14" s="24">
        <f t="shared" si="0"/>
        <v>8</v>
      </c>
      <c r="D14" s="2" t="s">
        <v>31</v>
      </c>
      <c r="E14" s="132"/>
      <c r="F14" s="133"/>
      <c r="G14" s="123">
        <v>3806</v>
      </c>
      <c r="H14" s="133"/>
      <c r="I14" s="134">
        <f>G14</f>
        <v>3806</v>
      </c>
      <c r="J14" s="133"/>
      <c r="K14" s="123">
        <f>I14</f>
        <v>3806</v>
      </c>
      <c r="L14" s="124">
        <f t="shared" si="4"/>
        <v>0</v>
      </c>
      <c r="M14" s="125">
        <f t="shared" si="3"/>
        <v>0</v>
      </c>
    </row>
    <row r="15" spans="1:15" x14ac:dyDescent="0.2">
      <c r="A15" s="24">
        <f t="shared" si="0"/>
        <v>9</v>
      </c>
      <c r="D15" s="11" t="s">
        <v>5</v>
      </c>
      <c r="E15" s="135"/>
      <c r="F15" s="136"/>
      <c r="G15" s="137">
        <f>SUM(G11:G14)</f>
        <v>18636807</v>
      </c>
      <c r="H15" s="136"/>
      <c r="I15" s="137">
        <f>SUM(I11:I14)</f>
        <v>9467018.5004200004</v>
      </c>
      <c r="J15" s="136"/>
      <c r="K15" s="137">
        <f>SUM(K11:K14)</f>
        <v>9467018.5004200004</v>
      </c>
      <c r="L15" s="138">
        <f t="shared" si="4"/>
        <v>0</v>
      </c>
      <c r="M15" s="139">
        <f t="shared" si="3"/>
        <v>0</v>
      </c>
    </row>
    <row r="16" spans="1:15" s="4" customFormat="1" ht="26.45" customHeight="1" thickBot="1" x14ac:dyDescent="0.3">
      <c r="A16" s="24">
        <f t="shared" si="0"/>
        <v>10</v>
      </c>
      <c r="C16" s="13"/>
      <c r="D16" s="5" t="s">
        <v>14</v>
      </c>
      <c r="E16" s="140"/>
      <c r="F16" s="141"/>
      <c r="G16" s="142">
        <f>G10+G15</f>
        <v>99359690.699299991</v>
      </c>
      <c r="H16" s="141"/>
      <c r="I16" s="143">
        <f>I15+I10</f>
        <v>99359690.699300006</v>
      </c>
      <c r="J16" s="141"/>
      <c r="K16" s="142">
        <f>K15+K10</f>
        <v>110126689.83984001</v>
      </c>
      <c r="L16" s="144">
        <f t="shared" si="4"/>
        <v>10766999.140540004</v>
      </c>
      <c r="M16" s="145">
        <f t="shared" si="3"/>
        <v>0.10836385524915747</v>
      </c>
    </row>
    <row r="17" spans="1:13" ht="13.5" thickTop="1" x14ac:dyDescent="0.2">
      <c r="A17" s="24">
        <f t="shared" si="0"/>
        <v>11</v>
      </c>
      <c r="D17" s="2" t="s">
        <v>13</v>
      </c>
      <c r="E17" s="146">
        <f>E9/E8</f>
        <v>993.47027302295703</v>
      </c>
      <c r="F17" s="133"/>
      <c r="G17" s="147">
        <f>G16/E8</f>
        <v>127.13223623343987</v>
      </c>
      <c r="H17" s="133"/>
      <c r="I17" s="147">
        <f>I16/E8</f>
        <v>127.13223623343988</v>
      </c>
      <c r="J17" s="133"/>
      <c r="K17" s="147">
        <f>K16/E8</f>
        <v>140.90877547814205</v>
      </c>
      <c r="L17" s="148">
        <f t="shared" si="4"/>
        <v>13.776539244702164</v>
      </c>
      <c r="M17" s="149">
        <f t="shared" si="3"/>
        <v>0.10836385524915741</v>
      </c>
    </row>
    <row r="18" spans="1:13" ht="13.5" thickBot="1" x14ac:dyDescent="0.25">
      <c r="A18" s="24">
        <f t="shared" si="0"/>
        <v>12</v>
      </c>
      <c r="E18" s="132"/>
      <c r="F18" s="133"/>
      <c r="G18" s="150"/>
      <c r="H18" s="133"/>
      <c r="I18" s="150"/>
      <c r="J18" s="133"/>
      <c r="K18" s="150"/>
      <c r="M18" s="149"/>
    </row>
    <row r="19" spans="1:13" x14ac:dyDescent="0.2">
      <c r="A19" s="24">
        <f t="shared" si="0"/>
        <v>13</v>
      </c>
      <c r="B19" s="94" t="s">
        <v>34</v>
      </c>
      <c r="C19" s="21" t="s">
        <v>30</v>
      </c>
      <c r="D19" s="20"/>
      <c r="E19" s="118"/>
      <c r="F19" s="119"/>
      <c r="G19" s="120"/>
      <c r="H19" s="119"/>
      <c r="I19" s="120"/>
      <c r="J19" s="119"/>
      <c r="K19" s="120"/>
      <c r="L19" s="20"/>
      <c r="M19" s="151"/>
    </row>
    <row r="20" spans="1:13" x14ac:dyDescent="0.2">
      <c r="A20" s="24">
        <f t="shared" si="0"/>
        <v>14</v>
      </c>
      <c r="B20" s="95"/>
      <c r="D20" s="2" t="s">
        <v>61</v>
      </c>
      <c r="E20" s="121">
        <v>58503</v>
      </c>
      <c r="F20" s="122">
        <v>40</v>
      </c>
      <c r="G20" s="123">
        <f>F20*E20</f>
        <v>2340120</v>
      </c>
      <c r="H20" s="122">
        <v>40</v>
      </c>
      <c r="I20" s="123">
        <f>H20*E20</f>
        <v>2340120</v>
      </c>
      <c r="J20" s="122">
        <f t="shared" ref="J20:J21" si="5">H20</f>
        <v>40</v>
      </c>
      <c r="K20" s="123">
        <f>J20*E20</f>
        <v>2340120</v>
      </c>
      <c r="L20" s="124">
        <f>K20-I20</f>
        <v>0</v>
      </c>
      <c r="M20" s="125">
        <f t="shared" si="3"/>
        <v>0</v>
      </c>
    </row>
    <row r="21" spans="1:13" x14ac:dyDescent="0.2">
      <c r="A21" s="24">
        <f t="shared" si="0"/>
        <v>15</v>
      </c>
      <c r="D21" s="2" t="s">
        <v>25</v>
      </c>
      <c r="E21" s="121">
        <v>71852702</v>
      </c>
      <c r="F21" s="126">
        <v>8.7419999999999998E-2</v>
      </c>
      <c r="G21" s="123">
        <f t="shared" ref="G21" si="6">F21*E21</f>
        <v>6281363.2088399995</v>
      </c>
      <c r="H21" s="126">
        <v>9.9229999999999999E-2</v>
      </c>
      <c r="I21" s="123">
        <f t="shared" ref="I21" si="7">H21*E21</f>
        <v>7129943.6194599997</v>
      </c>
      <c r="J21" s="152">
        <f t="shared" si="5"/>
        <v>9.9229999999999999E-2</v>
      </c>
      <c r="K21" s="123">
        <f>J21*E21</f>
        <v>7129943.6194599997</v>
      </c>
      <c r="L21" s="124">
        <f>K21-I21</f>
        <v>0</v>
      </c>
      <c r="M21" s="125">
        <f t="shared" si="3"/>
        <v>0</v>
      </c>
    </row>
    <row r="22" spans="1:13" s="4" customFormat="1" ht="20.45" customHeight="1" x14ac:dyDescent="0.25">
      <c r="A22" s="24">
        <f t="shared" si="0"/>
        <v>16</v>
      </c>
      <c r="C22" s="13"/>
      <c r="D22" s="15" t="s">
        <v>4</v>
      </c>
      <c r="E22" s="127"/>
      <c r="F22" s="128"/>
      <c r="G22" s="129">
        <f>SUM(G20:G21)</f>
        <v>8621483.2088399995</v>
      </c>
      <c r="H22" s="128"/>
      <c r="I22" s="129">
        <f>SUM(I20:I21)</f>
        <v>9470063.6194599997</v>
      </c>
      <c r="J22" s="128"/>
      <c r="K22" s="129">
        <f>SUM(K20:K21)</f>
        <v>9470063.6194599997</v>
      </c>
      <c r="L22" s="130">
        <f>SUM(L20:L21)</f>
        <v>0</v>
      </c>
      <c r="M22" s="131">
        <f t="shared" si="3"/>
        <v>0</v>
      </c>
    </row>
    <row r="23" spans="1:13" x14ac:dyDescent="0.2">
      <c r="A23" s="24">
        <f t="shared" si="0"/>
        <v>17</v>
      </c>
      <c r="D23" s="2" t="s">
        <v>18</v>
      </c>
      <c r="E23" s="132"/>
      <c r="F23" s="133"/>
      <c r="G23" s="123">
        <v>714020.24</v>
      </c>
      <c r="H23" s="133"/>
      <c r="I23" s="134">
        <f>G23-($H$135*E21)</f>
        <v>-134560.17061999999</v>
      </c>
      <c r="J23" s="133"/>
      <c r="K23" s="123">
        <f>I23</f>
        <v>-134560.17061999999</v>
      </c>
      <c r="L23" s="124">
        <f t="shared" ref="L23:L29" si="8">K23-I23</f>
        <v>0</v>
      </c>
      <c r="M23" s="125">
        <f t="shared" si="3"/>
        <v>0</v>
      </c>
    </row>
    <row r="24" spans="1:13" x14ac:dyDescent="0.2">
      <c r="A24" s="24">
        <f t="shared" si="0"/>
        <v>18</v>
      </c>
      <c r="D24" s="2" t="s">
        <v>19</v>
      </c>
      <c r="E24" s="132"/>
      <c r="F24" s="133"/>
      <c r="G24" s="123">
        <v>1132092.19</v>
      </c>
      <c r="H24" s="133"/>
      <c r="I24" s="134">
        <f t="shared" ref="I24:I26" si="9">G24</f>
        <v>1132092.19</v>
      </c>
      <c r="J24" s="133"/>
      <c r="K24" s="123">
        <f>I24</f>
        <v>1132092.19</v>
      </c>
      <c r="L24" s="124">
        <f t="shared" si="8"/>
        <v>0</v>
      </c>
      <c r="M24" s="125">
        <f t="shared" si="3"/>
        <v>0</v>
      </c>
    </row>
    <row r="25" spans="1:13" x14ac:dyDescent="0.2">
      <c r="A25" s="24">
        <f t="shared" si="0"/>
        <v>19</v>
      </c>
      <c r="D25" s="2" t="s">
        <v>21</v>
      </c>
      <c r="E25" s="132"/>
      <c r="F25" s="133"/>
      <c r="G25" s="123">
        <v>0</v>
      </c>
      <c r="H25" s="133"/>
      <c r="I25" s="134">
        <f t="shared" si="9"/>
        <v>0</v>
      </c>
      <c r="J25" s="133"/>
      <c r="K25" s="123">
        <f>I25</f>
        <v>0</v>
      </c>
      <c r="L25" s="124">
        <f t="shared" si="8"/>
        <v>0</v>
      </c>
      <c r="M25" s="125">
        <f t="shared" si="3"/>
        <v>0</v>
      </c>
    </row>
    <row r="26" spans="1:13" x14ac:dyDescent="0.2">
      <c r="A26" s="24">
        <f t="shared" si="0"/>
        <v>20</v>
      </c>
      <c r="D26" s="2" t="s">
        <v>31</v>
      </c>
      <c r="E26" s="132"/>
      <c r="F26" s="133"/>
      <c r="G26" s="123">
        <v>33</v>
      </c>
      <c r="H26" s="133"/>
      <c r="I26" s="134">
        <f t="shared" si="9"/>
        <v>33</v>
      </c>
      <c r="J26" s="133"/>
      <c r="K26" s="123">
        <f>I26</f>
        <v>33</v>
      </c>
      <c r="L26" s="124">
        <f t="shared" si="8"/>
        <v>0</v>
      </c>
      <c r="M26" s="125">
        <f t="shared" si="3"/>
        <v>0</v>
      </c>
    </row>
    <row r="27" spans="1:13" x14ac:dyDescent="0.2">
      <c r="A27" s="24">
        <f t="shared" si="0"/>
        <v>21</v>
      </c>
      <c r="D27" s="11" t="s">
        <v>5</v>
      </c>
      <c r="E27" s="135"/>
      <c r="F27" s="136"/>
      <c r="G27" s="137">
        <f>SUM(G23:G26)</f>
        <v>1846145.43</v>
      </c>
      <c r="H27" s="136"/>
      <c r="I27" s="137">
        <f>SUM(I23:I26)</f>
        <v>997565.01937999995</v>
      </c>
      <c r="J27" s="136"/>
      <c r="K27" s="137">
        <f>SUM(K23:K26)</f>
        <v>997565.01937999995</v>
      </c>
      <c r="L27" s="138">
        <f t="shared" si="8"/>
        <v>0</v>
      </c>
      <c r="M27" s="139">
        <f t="shared" si="3"/>
        <v>0</v>
      </c>
    </row>
    <row r="28" spans="1:13" s="4" customFormat="1" ht="26.45" customHeight="1" thickBot="1" x14ac:dyDescent="0.3">
      <c r="A28" s="24">
        <f t="shared" si="0"/>
        <v>22</v>
      </c>
      <c r="C28" s="13"/>
      <c r="D28" s="5" t="s">
        <v>14</v>
      </c>
      <c r="E28" s="140"/>
      <c r="F28" s="141"/>
      <c r="G28" s="142">
        <f>G22+G27</f>
        <v>10467628.638839999</v>
      </c>
      <c r="H28" s="141"/>
      <c r="I28" s="143">
        <f>I27+I22</f>
        <v>10467628.638839999</v>
      </c>
      <c r="J28" s="141"/>
      <c r="K28" s="142">
        <f>K27+K22</f>
        <v>10467628.638839999</v>
      </c>
      <c r="L28" s="144">
        <f t="shared" si="8"/>
        <v>0</v>
      </c>
      <c r="M28" s="145">
        <f t="shared" si="3"/>
        <v>0</v>
      </c>
    </row>
    <row r="29" spans="1:13" ht="13.5" thickTop="1" x14ac:dyDescent="0.2">
      <c r="A29" s="24">
        <f t="shared" si="0"/>
        <v>23</v>
      </c>
      <c r="D29" s="2" t="s">
        <v>13</v>
      </c>
      <c r="E29" s="146">
        <f>(E21)/E20</f>
        <v>1228.1883322222791</v>
      </c>
      <c r="F29" s="133"/>
      <c r="G29" s="147">
        <f>G28/E20</f>
        <v>178.92464726321725</v>
      </c>
      <c r="H29" s="133"/>
      <c r="I29" s="147">
        <f>I28/E20</f>
        <v>178.92464726321725</v>
      </c>
      <c r="J29" s="133"/>
      <c r="K29" s="147">
        <f>K28/E20</f>
        <v>178.92464726321725</v>
      </c>
      <c r="L29" s="148">
        <f t="shared" si="8"/>
        <v>0</v>
      </c>
      <c r="M29" s="149">
        <f t="shared" si="3"/>
        <v>0</v>
      </c>
    </row>
    <row r="30" spans="1:13" ht="13.5" thickBot="1" x14ac:dyDescent="0.25">
      <c r="A30" s="24">
        <f t="shared" si="0"/>
        <v>24</v>
      </c>
      <c r="E30" s="132"/>
      <c r="F30" s="133"/>
      <c r="G30" s="150"/>
      <c r="H30" s="133"/>
      <c r="I30" s="150"/>
      <c r="J30" s="133"/>
      <c r="K30" s="150"/>
      <c r="M30" s="149"/>
    </row>
    <row r="31" spans="1:13" x14ac:dyDescent="0.2">
      <c r="A31" s="24">
        <f t="shared" si="0"/>
        <v>25</v>
      </c>
      <c r="B31" s="94" t="s">
        <v>38</v>
      </c>
      <c r="C31" s="21" t="s">
        <v>35</v>
      </c>
      <c r="D31" s="20"/>
      <c r="E31" s="118"/>
      <c r="F31" s="119"/>
      <c r="G31" s="120"/>
      <c r="H31" s="119"/>
      <c r="I31" s="120"/>
      <c r="J31" s="119"/>
      <c r="K31" s="120"/>
      <c r="L31" s="20"/>
      <c r="M31" s="151"/>
    </row>
    <row r="32" spans="1:13" x14ac:dyDescent="0.2">
      <c r="A32" s="24">
        <f t="shared" si="0"/>
        <v>26</v>
      </c>
      <c r="B32" s="95"/>
      <c r="D32" s="2" t="s">
        <v>61</v>
      </c>
      <c r="E32" s="121">
        <v>5348</v>
      </c>
      <c r="F32" s="122">
        <v>70</v>
      </c>
      <c r="G32" s="123">
        <f>F32*E32</f>
        <v>374360</v>
      </c>
      <c r="H32" s="122">
        <v>70</v>
      </c>
      <c r="I32" s="123">
        <f>H32*E32</f>
        <v>374360</v>
      </c>
      <c r="J32" s="122">
        <f t="shared" ref="J32:J34" si="10">H32</f>
        <v>70</v>
      </c>
      <c r="K32" s="123">
        <f>J32*E32</f>
        <v>374360</v>
      </c>
      <c r="L32" s="124">
        <f>K32-I32</f>
        <v>0</v>
      </c>
      <c r="M32" s="125">
        <f t="shared" si="3"/>
        <v>0</v>
      </c>
    </row>
    <row r="33" spans="1:13" x14ac:dyDescent="0.2">
      <c r="A33" s="24">
        <f t="shared" si="0"/>
        <v>27</v>
      </c>
      <c r="D33" s="2" t="s">
        <v>26</v>
      </c>
      <c r="E33" s="121">
        <v>607687.66299999983</v>
      </c>
      <c r="F33" s="122">
        <v>7.78</v>
      </c>
      <c r="G33" s="123">
        <f t="shared" ref="G33" si="11">F33*E33</f>
        <v>4727810.0181399984</v>
      </c>
      <c r="H33" s="122">
        <v>7.78</v>
      </c>
      <c r="I33" s="123">
        <f t="shared" ref="I33" si="12">H33*E33</f>
        <v>4727810.0181399984</v>
      </c>
      <c r="J33" s="122">
        <f t="shared" si="10"/>
        <v>7.78</v>
      </c>
      <c r="K33" s="123">
        <f>J33*E33</f>
        <v>4727810.0181399984</v>
      </c>
      <c r="L33" s="124">
        <f>K33-I33</f>
        <v>0</v>
      </c>
      <c r="M33" s="125">
        <f t="shared" si="3"/>
        <v>0</v>
      </c>
    </row>
    <row r="34" spans="1:13" x14ac:dyDescent="0.2">
      <c r="A34" s="24">
        <f t="shared" si="0"/>
        <v>28</v>
      </c>
      <c r="D34" s="2" t="s">
        <v>25</v>
      </c>
      <c r="E34" s="121">
        <v>183572086</v>
      </c>
      <c r="F34" s="126">
        <v>5.8039999999999994E-2</v>
      </c>
      <c r="G34" s="123">
        <f t="shared" ref="G34" si="13">F34*E34</f>
        <v>10654523.871439999</v>
      </c>
      <c r="H34" s="126">
        <v>6.9849999999999995E-2</v>
      </c>
      <c r="I34" s="123">
        <f t="shared" ref="I34" si="14">H34*E34</f>
        <v>12822510.207099998</v>
      </c>
      <c r="J34" s="152">
        <f t="shared" si="10"/>
        <v>6.9849999999999995E-2</v>
      </c>
      <c r="K34" s="123">
        <f>J34*E34</f>
        <v>12822510.207099998</v>
      </c>
      <c r="L34" s="124">
        <f>K34-I34</f>
        <v>0</v>
      </c>
      <c r="M34" s="125">
        <f t="shared" si="3"/>
        <v>0</v>
      </c>
    </row>
    <row r="35" spans="1:13" s="4" customFormat="1" ht="20.45" customHeight="1" x14ac:dyDescent="0.25">
      <c r="A35" s="24">
        <f t="shared" si="0"/>
        <v>29</v>
      </c>
      <c r="C35" s="13"/>
      <c r="D35" s="15" t="s">
        <v>4</v>
      </c>
      <c r="E35" s="127"/>
      <c r="F35" s="128"/>
      <c r="G35" s="129">
        <f>SUM(G32:G34)</f>
        <v>15756693.889579996</v>
      </c>
      <c r="H35" s="128"/>
      <c r="I35" s="129">
        <f>SUM(I32:I34)</f>
        <v>17924680.225239996</v>
      </c>
      <c r="J35" s="128"/>
      <c r="K35" s="129">
        <f>SUM(K32:K34)</f>
        <v>17924680.225239996</v>
      </c>
      <c r="L35" s="130">
        <f>SUM(L32:L34)</f>
        <v>0</v>
      </c>
      <c r="M35" s="131">
        <f t="shared" si="3"/>
        <v>0</v>
      </c>
    </row>
    <row r="36" spans="1:13" x14ac:dyDescent="0.2">
      <c r="A36" s="24">
        <f t="shared" si="0"/>
        <v>30</v>
      </c>
      <c r="D36" s="2" t="s">
        <v>18</v>
      </c>
      <c r="E36" s="132"/>
      <c r="F36" s="133"/>
      <c r="G36" s="123">
        <v>1836584.96</v>
      </c>
      <c r="H36" s="133"/>
      <c r="I36" s="134">
        <f>G36-($H$135*E34)</f>
        <v>-331401.3756599999</v>
      </c>
      <c r="J36" s="133"/>
      <c r="K36" s="123">
        <f>I36</f>
        <v>-331401.3756599999</v>
      </c>
      <c r="L36" s="124">
        <f t="shared" ref="L36:L42" si="15">K36-I36</f>
        <v>0</v>
      </c>
      <c r="M36" s="125">
        <f t="shared" si="3"/>
        <v>0</v>
      </c>
    </row>
    <row r="37" spans="1:13" x14ac:dyDescent="0.2">
      <c r="A37" s="24">
        <f t="shared" si="0"/>
        <v>31</v>
      </c>
      <c r="D37" s="2" t="s">
        <v>19</v>
      </c>
      <c r="E37" s="132"/>
      <c r="F37" s="133"/>
      <c r="G37" s="123">
        <v>2109458.65</v>
      </c>
      <c r="H37" s="133"/>
      <c r="I37" s="134">
        <f t="shared" ref="I37:I39" si="16">G37</f>
        <v>2109458.65</v>
      </c>
      <c r="J37" s="133"/>
      <c r="K37" s="123">
        <f>I37</f>
        <v>2109458.65</v>
      </c>
      <c r="L37" s="124">
        <f t="shared" si="15"/>
        <v>0</v>
      </c>
      <c r="M37" s="125">
        <f t="shared" si="3"/>
        <v>0</v>
      </c>
    </row>
    <row r="38" spans="1:13" x14ac:dyDescent="0.2">
      <c r="A38" s="24">
        <f t="shared" si="0"/>
        <v>32</v>
      </c>
      <c r="D38" s="2" t="s">
        <v>21</v>
      </c>
      <c r="E38" s="132"/>
      <c r="F38" s="133"/>
      <c r="G38" s="123">
        <v>0</v>
      </c>
      <c r="H38" s="133"/>
      <c r="I38" s="134">
        <f t="shared" si="16"/>
        <v>0</v>
      </c>
      <c r="J38" s="133"/>
      <c r="K38" s="123">
        <f>I38</f>
        <v>0</v>
      </c>
      <c r="L38" s="124">
        <f t="shared" si="15"/>
        <v>0</v>
      </c>
      <c r="M38" s="125">
        <f t="shared" si="3"/>
        <v>0</v>
      </c>
    </row>
    <row r="39" spans="1:13" x14ac:dyDescent="0.2">
      <c r="A39" s="24">
        <f t="shared" si="0"/>
        <v>33</v>
      </c>
      <c r="D39" s="2" t="s">
        <v>23</v>
      </c>
      <c r="E39" s="132"/>
      <c r="F39" s="133"/>
      <c r="G39" s="123">
        <v>0</v>
      </c>
      <c r="H39" s="133"/>
      <c r="I39" s="134">
        <f t="shared" si="16"/>
        <v>0</v>
      </c>
      <c r="J39" s="133"/>
      <c r="K39" s="123">
        <f>I39</f>
        <v>0</v>
      </c>
      <c r="L39" s="124">
        <f t="shared" si="15"/>
        <v>0</v>
      </c>
      <c r="M39" s="125">
        <f t="shared" si="3"/>
        <v>0</v>
      </c>
    </row>
    <row r="40" spans="1:13" x14ac:dyDescent="0.2">
      <c r="A40" s="24">
        <f t="shared" si="0"/>
        <v>34</v>
      </c>
      <c r="D40" s="11" t="s">
        <v>5</v>
      </c>
      <c r="E40" s="135"/>
      <c r="F40" s="136"/>
      <c r="G40" s="137">
        <f>SUM(G36:G39)</f>
        <v>3946043.61</v>
      </c>
      <c r="H40" s="136"/>
      <c r="I40" s="137">
        <f>SUM(I36:I39)</f>
        <v>1778057.27434</v>
      </c>
      <c r="J40" s="136"/>
      <c r="K40" s="137">
        <f>SUM(K36:K39)</f>
        <v>1778057.27434</v>
      </c>
      <c r="L40" s="138">
        <f t="shared" si="15"/>
        <v>0</v>
      </c>
      <c r="M40" s="139">
        <f t="shared" si="3"/>
        <v>0</v>
      </c>
    </row>
    <row r="41" spans="1:13" s="4" customFormat="1" ht="26.45" customHeight="1" thickBot="1" x14ac:dyDescent="0.3">
      <c r="A41" s="24">
        <f t="shared" si="0"/>
        <v>35</v>
      </c>
      <c r="C41" s="13"/>
      <c r="D41" s="5" t="s">
        <v>14</v>
      </c>
      <c r="E41" s="140"/>
      <c r="F41" s="141"/>
      <c r="G41" s="142">
        <f>G35+G40</f>
        <v>19702737.499579996</v>
      </c>
      <c r="H41" s="141"/>
      <c r="I41" s="143">
        <f>I40+I35</f>
        <v>19702737.499579996</v>
      </c>
      <c r="J41" s="141"/>
      <c r="K41" s="142">
        <f>K40+K35</f>
        <v>19702737.499579996</v>
      </c>
      <c r="L41" s="144">
        <f t="shared" si="15"/>
        <v>0</v>
      </c>
      <c r="M41" s="145">
        <f t="shared" si="3"/>
        <v>0</v>
      </c>
    </row>
    <row r="42" spans="1:13" ht="13.5" thickTop="1" x14ac:dyDescent="0.2">
      <c r="A42" s="24">
        <f t="shared" si="0"/>
        <v>36</v>
      </c>
      <c r="D42" s="2" t="s">
        <v>13</v>
      </c>
      <c r="E42" s="146">
        <f>E34/E32</f>
        <v>34325.371353777111</v>
      </c>
      <c r="F42" s="133"/>
      <c r="G42" s="147">
        <f>G41/E32</f>
        <v>3684.1319183956612</v>
      </c>
      <c r="H42" s="133"/>
      <c r="I42" s="147">
        <f>I41/E32</f>
        <v>3684.1319183956612</v>
      </c>
      <c r="J42" s="133"/>
      <c r="K42" s="147">
        <f>K41/E32</f>
        <v>3684.1319183956612</v>
      </c>
      <c r="L42" s="148">
        <f t="shared" si="15"/>
        <v>0</v>
      </c>
      <c r="M42" s="149">
        <f t="shared" si="3"/>
        <v>0</v>
      </c>
    </row>
    <row r="43" spans="1:13" ht="13.5" thickBot="1" x14ac:dyDescent="0.25">
      <c r="A43" s="24">
        <f t="shared" si="0"/>
        <v>37</v>
      </c>
      <c r="E43" s="132"/>
      <c r="F43" s="133"/>
      <c r="G43" s="150"/>
      <c r="H43" s="133"/>
      <c r="I43" s="150"/>
      <c r="J43" s="133"/>
      <c r="K43" s="150"/>
      <c r="M43" s="149"/>
    </row>
    <row r="44" spans="1:13" x14ac:dyDescent="0.2">
      <c r="A44" s="24">
        <f t="shared" si="0"/>
        <v>38</v>
      </c>
      <c r="B44" s="94" t="s">
        <v>36</v>
      </c>
      <c r="C44" s="21" t="s">
        <v>37</v>
      </c>
      <c r="D44" s="20"/>
      <c r="E44" s="118"/>
      <c r="F44" s="119"/>
      <c r="G44" s="120"/>
      <c r="H44" s="119"/>
      <c r="I44" s="120"/>
      <c r="J44" s="119"/>
      <c r="K44" s="120"/>
      <c r="L44" s="20"/>
      <c r="M44" s="151"/>
    </row>
    <row r="45" spans="1:13" x14ac:dyDescent="0.2">
      <c r="A45" s="24">
        <f t="shared" si="0"/>
        <v>39</v>
      </c>
      <c r="B45" s="95"/>
      <c r="D45" s="2" t="s">
        <v>60</v>
      </c>
      <c r="E45" s="121">
        <v>12</v>
      </c>
      <c r="F45" s="122">
        <v>225</v>
      </c>
      <c r="G45" s="123">
        <f>F45*E45</f>
        <v>2700</v>
      </c>
      <c r="H45" s="122">
        <v>225</v>
      </c>
      <c r="I45" s="123">
        <f>H45*E45</f>
        <v>2700</v>
      </c>
      <c r="J45" s="122">
        <f t="shared" ref="J45:J50" si="17">H45</f>
        <v>225</v>
      </c>
      <c r="K45" s="123">
        <f t="shared" ref="K45:K50" si="18">J45*E45</f>
        <v>2700</v>
      </c>
      <c r="L45" s="124">
        <f t="shared" ref="L45:L50" si="19">K45-I45</f>
        <v>0</v>
      </c>
      <c r="M45" s="125">
        <f t="shared" si="3"/>
        <v>0</v>
      </c>
    </row>
    <row r="46" spans="1:13" x14ac:dyDescent="0.2">
      <c r="A46" s="24">
        <f t="shared" si="0"/>
        <v>40</v>
      </c>
      <c r="D46" s="2" t="s">
        <v>39</v>
      </c>
      <c r="E46" s="121">
        <v>0</v>
      </c>
      <c r="F46" s="122">
        <v>373.2</v>
      </c>
      <c r="G46" s="123">
        <f t="shared" ref="G46" si="20">F46*E46</f>
        <v>0</v>
      </c>
      <c r="H46" s="122">
        <v>373.2</v>
      </c>
      <c r="I46" s="123">
        <f t="shared" ref="I46" si="21">H46*E46</f>
        <v>0</v>
      </c>
      <c r="J46" s="122">
        <f t="shared" si="17"/>
        <v>373.2</v>
      </c>
      <c r="K46" s="123">
        <f t="shared" si="18"/>
        <v>0</v>
      </c>
      <c r="L46" s="124">
        <f t="shared" si="19"/>
        <v>0</v>
      </c>
      <c r="M46" s="125">
        <f t="shared" si="3"/>
        <v>0</v>
      </c>
    </row>
    <row r="47" spans="1:13" x14ac:dyDescent="0.2">
      <c r="A47" s="24">
        <f t="shared" si="0"/>
        <v>41</v>
      </c>
      <c r="D47" s="2" t="s">
        <v>40</v>
      </c>
      <c r="E47" s="121">
        <v>12</v>
      </c>
      <c r="F47" s="122">
        <v>1118.42</v>
      </c>
      <c r="G47" s="123">
        <f t="shared" ref="G47" si="22">F47*E47</f>
        <v>13421.04</v>
      </c>
      <c r="H47" s="122">
        <v>1118.42</v>
      </c>
      <c r="I47" s="123">
        <f t="shared" ref="I47" si="23">H47*E47</f>
        <v>13421.04</v>
      </c>
      <c r="J47" s="122">
        <f t="shared" si="17"/>
        <v>1118.42</v>
      </c>
      <c r="K47" s="123">
        <f t="shared" si="18"/>
        <v>13421.04</v>
      </c>
      <c r="L47" s="124">
        <f t="shared" si="19"/>
        <v>0</v>
      </c>
      <c r="M47" s="125">
        <f t="shared" si="3"/>
        <v>0</v>
      </c>
    </row>
    <row r="48" spans="1:13" x14ac:dyDescent="0.2">
      <c r="A48" s="24">
        <f t="shared" si="0"/>
        <v>42</v>
      </c>
      <c r="D48" s="2" t="s">
        <v>41</v>
      </c>
      <c r="E48" s="121">
        <v>0</v>
      </c>
      <c r="F48" s="122">
        <v>2811.45</v>
      </c>
      <c r="G48" s="123">
        <f t="shared" ref="G48" si="24">F48*E48</f>
        <v>0</v>
      </c>
      <c r="H48" s="122">
        <v>2811.45</v>
      </c>
      <c r="I48" s="123">
        <f t="shared" ref="I48" si="25">H48*E48</f>
        <v>0</v>
      </c>
      <c r="J48" s="122">
        <f t="shared" si="17"/>
        <v>2811.45</v>
      </c>
      <c r="K48" s="123">
        <f t="shared" si="18"/>
        <v>0</v>
      </c>
      <c r="L48" s="124">
        <f t="shared" si="19"/>
        <v>0</v>
      </c>
      <c r="M48" s="125">
        <f t="shared" si="3"/>
        <v>0</v>
      </c>
    </row>
    <row r="49" spans="1:13" x14ac:dyDescent="0.2">
      <c r="A49" s="24">
        <f t="shared" si="0"/>
        <v>43</v>
      </c>
      <c r="D49" s="2" t="s">
        <v>26</v>
      </c>
      <c r="E49" s="121">
        <v>20871.838</v>
      </c>
      <c r="F49" s="122">
        <v>6.54</v>
      </c>
      <c r="G49" s="123">
        <f t="shared" ref="G49" si="26">F49*E49</f>
        <v>136501.82052000001</v>
      </c>
      <c r="H49" s="122">
        <v>6.54</v>
      </c>
      <c r="I49" s="123">
        <f t="shared" ref="I49" si="27">H49*E49</f>
        <v>136501.82052000001</v>
      </c>
      <c r="J49" s="122">
        <f t="shared" si="17"/>
        <v>6.54</v>
      </c>
      <c r="K49" s="123">
        <f t="shared" si="18"/>
        <v>136501.82052000001</v>
      </c>
      <c r="L49" s="124">
        <f t="shared" si="19"/>
        <v>0</v>
      </c>
      <c r="M49" s="125">
        <f t="shared" ref="M49:M112" si="28">IF(I49=0,0,L49/I49)</f>
        <v>0</v>
      </c>
    </row>
    <row r="50" spans="1:13" x14ac:dyDescent="0.2">
      <c r="A50" s="24">
        <f t="shared" si="0"/>
        <v>44</v>
      </c>
      <c r="D50" s="2" t="s">
        <v>25</v>
      </c>
      <c r="E50" s="121">
        <v>9835173</v>
      </c>
      <c r="F50" s="126">
        <v>5.1959999999999992E-2</v>
      </c>
      <c r="G50" s="123">
        <f t="shared" ref="G50" si="29">F50*E50</f>
        <v>511035.58907999995</v>
      </c>
      <c r="H50" s="126">
        <v>6.3769999999999993E-2</v>
      </c>
      <c r="I50" s="123">
        <f t="shared" ref="I50" si="30">H50*E50</f>
        <v>627188.98220999993</v>
      </c>
      <c r="J50" s="126">
        <f t="shared" si="17"/>
        <v>6.3769999999999993E-2</v>
      </c>
      <c r="K50" s="123">
        <f t="shared" si="18"/>
        <v>627188.98220999993</v>
      </c>
      <c r="L50" s="124">
        <f t="shared" si="19"/>
        <v>0</v>
      </c>
      <c r="M50" s="125">
        <f t="shared" si="28"/>
        <v>0</v>
      </c>
    </row>
    <row r="51" spans="1:13" s="4" customFormat="1" ht="20.45" customHeight="1" x14ac:dyDescent="0.25">
      <c r="A51" s="24">
        <f t="shared" ref="A51:A114" si="31">A50+1</f>
        <v>45</v>
      </c>
      <c r="C51" s="13"/>
      <c r="D51" s="15" t="s">
        <v>4</v>
      </c>
      <c r="E51" s="127"/>
      <c r="F51" s="128"/>
      <c r="G51" s="129">
        <f>SUM(G45:G50)</f>
        <v>663658.44959999993</v>
      </c>
      <c r="H51" s="128"/>
      <c r="I51" s="129">
        <f>SUM(I45:I50)</f>
        <v>779811.84272999992</v>
      </c>
      <c r="J51" s="128"/>
      <c r="K51" s="129">
        <f>SUM(K45:K50)</f>
        <v>779811.84272999992</v>
      </c>
      <c r="L51" s="130">
        <f>SUM(L45:L50)</f>
        <v>0</v>
      </c>
      <c r="M51" s="131">
        <f t="shared" si="28"/>
        <v>0</v>
      </c>
    </row>
    <row r="52" spans="1:13" x14ac:dyDescent="0.2">
      <c r="A52" s="24">
        <f t="shared" si="31"/>
        <v>46</v>
      </c>
      <c r="D52" s="2" t="s">
        <v>18</v>
      </c>
      <c r="E52" s="132"/>
      <c r="F52" s="133"/>
      <c r="G52" s="123">
        <v>97954.71</v>
      </c>
      <c r="H52" s="133"/>
      <c r="I52" s="134">
        <f>G52-($H$135*E50)</f>
        <v>-18198.68312999999</v>
      </c>
      <c r="J52" s="133"/>
      <c r="K52" s="123">
        <f>I52</f>
        <v>-18198.68312999999</v>
      </c>
      <c r="L52" s="124">
        <f t="shared" ref="L52:L58" si="32">K52-I52</f>
        <v>0</v>
      </c>
      <c r="M52" s="125">
        <f t="shared" si="28"/>
        <v>0</v>
      </c>
    </row>
    <row r="53" spans="1:13" x14ac:dyDescent="0.2">
      <c r="A53" s="24">
        <f t="shared" si="31"/>
        <v>47</v>
      </c>
      <c r="D53" s="2" t="s">
        <v>19</v>
      </c>
      <c r="E53" s="132"/>
      <c r="F53" s="133"/>
      <c r="G53" s="123">
        <v>90082.71</v>
      </c>
      <c r="H53" s="133"/>
      <c r="I53" s="134">
        <f t="shared" ref="I53:I55" si="33">G53</f>
        <v>90082.71</v>
      </c>
      <c r="J53" s="133"/>
      <c r="K53" s="123">
        <f>I53</f>
        <v>90082.71</v>
      </c>
      <c r="L53" s="124">
        <f t="shared" si="32"/>
        <v>0</v>
      </c>
      <c r="M53" s="125">
        <f t="shared" si="28"/>
        <v>0</v>
      </c>
    </row>
    <row r="54" spans="1:13" x14ac:dyDescent="0.2">
      <c r="A54" s="24">
        <f t="shared" si="31"/>
        <v>48</v>
      </c>
      <c r="D54" s="2" t="s">
        <v>21</v>
      </c>
      <c r="E54" s="132"/>
      <c r="F54" s="122"/>
      <c r="G54" s="123">
        <f>F54*E54</f>
        <v>0</v>
      </c>
      <c r="H54" s="133"/>
      <c r="I54" s="134">
        <f t="shared" si="33"/>
        <v>0</v>
      </c>
      <c r="J54" s="133"/>
      <c r="K54" s="123">
        <f>I54</f>
        <v>0</v>
      </c>
      <c r="L54" s="124">
        <f t="shared" si="32"/>
        <v>0</v>
      </c>
      <c r="M54" s="125">
        <f t="shared" si="28"/>
        <v>0</v>
      </c>
    </row>
    <row r="55" spans="1:13" x14ac:dyDescent="0.2">
      <c r="A55" s="24">
        <f t="shared" si="31"/>
        <v>49</v>
      </c>
      <c r="D55" s="2" t="s">
        <v>23</v>
      </c>
      <c r="E55" s="132"/>
      <c r="F55" s="133"/>
      <c r="G55" s="123">
        <v>0</v>
      </c>
      <c r="H55" s="133"/>
      <c r="I55" s="134">
        <f t="shared" si="33"/>
        <v>0</v>
      </c>
      <c r="J55" s="133"/>
      <c r="K55" s="123">
        <f>I55</f>
        <v>0</v>
      </c>
      <c r="L55" s="124">
        <f t="shared" si="32"/>
        <v>0</v>
      </c>
      <c r="M55" s="125">
        <f t="shared" si="28"/>
        <v>0</v>
      </c>
    </row>
    <row r="56" spans="1:13" x14ac:dyDescent="0.2">
      <c r="A56" s="24">
        <f t="shared" si="31"/>
        <v>50</v>
      </c>
      <c r="D56" s="11" t="s">
        <v>5</v>
      </c>
      <c r="E56" s="135"/>
      <c r="F56" s="136"/>
      <c r="G56" s="137">
        <f>SUM(G52:G55)</f>
        <v>188037.42</v>
      </c>
      <c r="H56" s="136"/>
      <c r="I56" s="137">
        <f>SUM(I52:I55)</f>
        <v>71884.026870000016</v>
      </c>
      <c r="J56" s="136"/>
      <c r="K56" s="137">
        <f>SUM(K52:K55)</f>
        <v>71884.026870000016</v>
      </c>
      <c r="L56" s="138">
        <f t="shared" si="32"/>
        <v>0</v>
      </c>
      <c r="M56" s="139">
        <f t="shared" si="28"/>
        <v>0</v>
      </c>
    </row>
    <row r="57" spans="1:13" s="4" customFormat="1" ht="26.45" customHeight="1" thickBot="1" x14ac:dyDescent="0.3">
      <c r="A57" s="24">
        <f t="shared" si="31"/>
        <v>51</v>
      </c>
      <c r="C57" s="13"/>
      <c r="D57" s="5" t="s">
        <v>14</v>
      </c>
      <c r="E57" s="140"/>
      <c r="F57" s="141"/>
      <c r="G57" s="142">
        <f>G51+G56</f>
        <v>851695.86959999998</v>
      </c>
      <c r="H57" s="141"/>
      <c r="I57" s="143">
        <f>I56+I51</f>
        <v>851695.86959999998</v>
      </c>
      <c r="J57" s="141"/>
      <c r="K57" s="142">
        <f>K56+K51</f>
        <v>851695.86959999998</v>
      </c>
      <c r="L57" s="144">
        <f t="shared" si="32"/>
        <v>0</v>
      </c>
      <c r="M57" s="145">
        <f t="shared" si="28"/>
        <v>0</v>
      </c>
    </row>
    <row r="58" spans="1:13" ht="13.5" thickTop="1" x14ac:dyDescent="0.2">
      <c r="A58" s="24">
        <f t="shared" si="31"/>
        <v>52</v>
      </c>
      <c r="D58" s="2" t="s">
        <v>13</v>
      </c>
      <c r="E58" s="146">
        <f>E50/E45</f>
        <v>819597.75</v>
      </c>
      <c r="F58" s="133"/>
      <c r="G58" s="147">
        <f>G57/E45</f>
        <v>70974.655799999993</v>
      </c>
      <c r="H58" s="133"/>
      <c r="I58" s="147">
        <f>I57/E45</f>
        <v>70974.655799999993</v>
      </c>
      <c r="J58" s="133"/>
      <c r="K58" s="147">
        <f>K57/E45</f>
        <v>70974.655799999993</v>
      </c>
      <c r="L58" s="148">
        <f t="shared" si="32"/>
        <v>0</v>
      </c>
      <c r="M58" s="149">
        <f t="shared" si="28"/>
        <v>0</v>
      </c>
    </row>
    <row r="59" spans="1:13" ht="13.5" thickBot="1" x14ac:dyDescent="0.25">
      <c r="A59" s="24">
        <f t="shared" si="31"/>
        <v>53</v>
      </c>
      <c r="E59" s="132"/>
      <c r="F59" s="133"/>
      <c r="G59" s="150"/>
      <c r="H59" s="133"/>
      <c r="I59" s="150"/>
      <c r="J59" s="133"/>
      <c r="K59" s="150"/>
      <c r="M59" s="149"/>
    </row>
    <row r="60" spans="1:13" x14ac:dyDescent="0.2">
      <c r="A60" s="24">
        <f t="shared" si="31"/>
        <v>54</v>
      </c>
      <c r="B60" s="94" t="s">
        <v>42</v>
      </c>
      <c r="C60" s="21" t="s">
        <v>43</v>
      </c>
      <c r="D60" s="20"/>
      <c r="E60" s="118"/>
      <c r="F60" s="119"/>
      <c r="G60" s="120"/>
      <c r="H60" s="119"/>
      <c r="I60" s="120"/>
      <c r="J60" s="119"/>
      <c r="K60" s="120"/>
      <c r="L60" s="20"/>
      <c r="M60" s="151"/>
    </row>
    <row r="61" spans="1:13" x14ac:dyDescent="0.2">
      <c r="A61" s="24">
        <f t="shared" si="31"/>
        <v>55</v>
      </c>
      <c r="B61" s="95"/>
      <c r="D61" s="2" t="s">
        <v>60</v>
      </c>
      <c r="E61" s="121">
        <v>24</v>
      </c>
      <c r="F61" s="122">
        <v>160</v>
      </c>
      <c r="G61" s="123">
        <f>F61*E61</f>
        <v>3840</v>
      </c>
      <c r="H61" s="122">
        <v>160</v>
      </c>
      <c r="I61" s="123">
        <f>H61*E61</f>
        <v>3840</v>
      </c>
      <c r="J61" s="122">
        <f t="shared" ref="J61:J66" si="34">H61</f>
        <v>160</v>
      </c>
      <c r="K61" s="123">
        <f t="shared" ref="K61:K66" si="35">J61*E61</f>
        <v>3840</v>
      </c>
      <c r="L61" s="124">
        <f t="shared" ref="L61:L66" si="36">K61-I61</f>
        <v>0</v>
      </c>
      <c r="M61" s="125">
        <f t="shared" si="28"/>
        <v>0</v>
      </c>
    </row>
    <row r="62" spans="1:13" x14ac:dyDescent="0.2">
      <c r="A62" s="24">
        <f t="shared" si="31"/>
        <v>56</v>
      </c>
      <c r="D62" s="2" t="s">
        <v>41</v>
      </c>
      <c r="E62" s="132">
        <v>24</v>
      </c>
      <c r="F62" s="122">
        <v>2811.45</v>
      </c>
      <c r="G62" s="123">
        <f t="shared" ref="G62:G65" si="37">F62*E62</f>
        <v>67474.799999999988</v>
      </c>
      <c r="H62" s="122">
        <v>2811.45</v>
      </c>
      <c r="I62" s="123">
        <f t="shared" ref="I62:I65" si="38">H62*E62</f>
        <v>67474.799999999988</v>
      </c>
      <c r="J62" s="122">
        <f t="shared" si="34"/>
        <v>2811.45</v>
      </c>
      <c r="K62" s="123">
        <f t="shared" si="35"/>
        <v>67474.799999999988</v>
      </c>
      <c r="L62" s="124">
        <f t="shared" si="36"/>
        <v>0</v>
      </c>
      <c r="M62" s="125">
        <f t="shared" si="28"/>
        <v>0</v>
      </c>
    </row>
    <row r="63" spans="1:13" x14ac:dyDescent="0.2">
      <c r="A63" s="24">
        <f t="shared" si="31"/>
        <v>57</v>
      </c>
      <c r="D63" s="2" t="s">
        <v>45</v>
      </c>
      <c r="E63" s="132">
        <v>0</v>
      </c>
      <c r="F63" s="122">
        <v>3382.5</v>
      </c>
      <c r="G63" s="123">
        <f t="shared" si="37"/>
        <v>0</v>
      </c>
      <c r="H63" s="122">
        <v>3382.5</v>
      </c>
      <c r="I63" s="123">
        <f t="shared" si="38"/>
        <v>0</v>
      </c>
      <c r="J63" s="122">
        <f t="shared" si="34"/>
        <v>3382.5</v>
      </c>
      <c r="K63" s="123">
        <f t="shared" si="35"/>
        <v>0</v>
      </c>
      <c r="L63" s="124">
        <f t="shared" si="36"/>
        <v>0</v>
      </c>
      <c r="M63" s="125">
        <f t="shared" si="28"/>
        <v>0</v>
      </c>
    </row>
    <row r="64" spans="1:13" x14ac:dyDescent="0.2">
      <c r="A64" s="24">
        <f t="shared" si="31"/>
        <v>58</v>
      </c>
      <c r="D64" s="2" t="s">
        <v>26</v>
      </c>
      <c r="E64" s="121">
        <v>165995.31100000002</v>
      </c>
      <c r="F64" s="122">
        <v>6.59</v>
      </c>
      <c r="G64" s="123">
        <f t="shared" si="37"/>
        <v>1093909.0994900002</v>
      </c>
      <c r="H64" s="122">
        <v>6.59</v>
      </c>
      <c r="I64" s="123">
        <f t="shared" si="38"/>
        <v>1093909.0994900002</v>
      </c>
      <c r="J64" s="122">
        <f t="shared" si="34"/>
        <v>6.59</v>
      </c>
      <c r="K64" s="123">
        <f t="shared" si="35"/>
        <v>1093909.0994900002</v>
      </c>
      <c r="L64" s="124">
        <f t="shared" si="36"/>
        <v>0</v>
      </c>
      <c r="M64" s="125">
        <f t="shared" si="28"/>
        <v>0</v>
      </c>
    </row>
    <row r="65" spans="1:13" x14ac:dyDescent="0.2">
      <c r="A65" s="24">
        <f t="shared" si="31"/>
        <v>59</v>
      </c>
      <c r="D65" s="2" t="s">
        <v>47</v>
      </c>
      <c r="E65" s="121">
        <v>20000000</v>
      </c>
      <c r="F65" s="126">
        <v>5.1959999999999992E-2</v>
      </c>
      <c r="G65" s="123">
        <f t="shared" si="37"/>
        <v>1039199.9999999999</v>
      </c>
      <c r="H65" s="126">
        <v>6.3769999999999993E-2</v>
      </c>
      <c r="I65" s="123">
        <f t="shared" si="38"/>
        <v>1275399.9999999998</v>
      </c>
      <c r="J65" s="126">
        <f t="shared" si="34"/>
        <v>6.3769999999999993E-2</v>
      </c>
      <c r="K65" s="123">
        <f t="shared" si="35"/>
        <v>1275399.9999999998</v>
      </c>
      <c r="L65" s="124">
        <f t="shared" si="36"/>
        <v>0</v>
      </c>
      <c r="M65" s="125">
        <f t="shared" si="28"/>
        <v>0</v>
      </c>
    </row>
    <row r="66" spans="1:13" x14ac:dyDescent="0.2">
      <c r="A66" s="24">
        <f t="shared" si="31"/>
        <v>60</v>
      </c>
      <c r="D66" s="2" t="s">
        <v>46</v>
      </c>
      <c r="E66" s="121">
        <f>75495061-E65</f>
        <v>55495061</v>
      </c>
      <c r="F66" s="126">
        <v>4.4839999999999998E-2</v>
      </c>
      <c r="G66" s="123">
        <f t="shared" ref="G66" si="39">F66*E66</f>
        <v>2488398.5352400001</v>
      </c>
      <c r="H66" s="126">
        <v>5.6649999999999999E-2</v>
      </c>
      <c r="I66" s="123">
        <f t="shared" ref="I66" si="40">H66*E66</f>
        <v>3143795.2056499999</v>
      </c>
      <c r="J66" s="126">
        <f t="shared" si="34"/>
        <v>5.6649999999999999E-2</v>
      </c>
      <c r="K66" s="123">
        <f t="shared" si="35"/>
        <v>3143795.2056499999</v>
      </c>
      <c r="L66" s="124">
        <f t="shared" si="36"/>
        <v>0</v>
      </c>
      <c r="M66" s="125">
        <f t="shared" si="28"/>
        <v>0</v>
      </c>
    </row>
    <row r="67" spans="1:13" s="4" customFormat="1" ht="20.45" customHeight="1" x14ac:dyDescent="0.25">
      <c r="A67" s="24">
        <f t="shared" si="31"/>
        <v>61</v>
      </c>
      <c r="B67" s="41"/>
      <c r="C67" s="13"/>
      <c r="D67" s="15" t="s">
        <v>4</v>
      </c>
      <c r="E67" s="127"/>
      <c r="F67" s="128"/>
      <c r="G67" s="129">
        <f>SUM(G61:G66)</f>
        <v>4692822.4347300008</v>
      </c>
      <c r="H67" s="128"/>
      <c r="I67" s="129">
        <f>SUM(I61:I66)</f>
        <v>5584419.1051399997</v>
      </c>
      <c r="J67" s="128"/>
      <c r="K67" s="129">
        <f>SUM(K61:K66)</f>
        <v>5584419.1051399997</v>
      </c>
      <c r="L67" s="130">
        <f>SUM(L61:L66)</f>
        <v>0</v>
      </c>
      <c r="M67" s="131">
        <f t="shared" si="28"/>
        <v>0</v>
      </c>
    </row>
    <row r="68" spans="1:13" x14ac:dyDescent="0.2">
      <c r="A68" s="24">
        <f t="shared" si="31"/>
        <v>62</v>
      </c>
      <c r="D68" s="2" t="s">
        <v>18</v>
      </c>
      <c r="E68" s="132"/>
      <c r="F68" s="133"/>
      <c r="G68" s="123">
        <v>767027.51</v>
      </c>
      <c r="H68" s="133"/>
      <c r="I68" s="134">
        <f>G68-($H$135*(E66+E65))</f>
        <v>-124569.16040999989</v>
      </c>
      <c r="J68" s="133"/>
      <c r="K68" s="123">
        <f>I68</f>
        <v>-124569.16040999989</v>
      </c>
      <c r="L68" s="124">
        <f t="shared" ref="L68:L74" si="41">K68-I68</f>
        <v>0</v>
      </c>
      <c r="M68" s="125">
        <f t="shared" si="28"/>
        <v>0</v>
      </c>
    </row>
    <row r="69" spans="1:13" x14ac:dyDescent="0.2">
      <c r="A69" s="24">
        <f t="shared" si="31"/>
        <v>63</v>
      </c>
      <c r="D69" s="2" t="s">
        <v>19</v>
      </c>
      <c r="E69" s="132"/>
      <c r="F69" s="133"/>
      <c r="G69" s="123">
        <v>664310.16999999993</v>
      </c>
      <c r="H69" s="133"/>
      <c r="I69" s="134">
        <f t="shared" ref="I69:I71" si="42">G69</f>
        <v>664310.16999999993</v>
      </c>
      <c r="J69" s="133"/>
      <c r="K69" s="123">
        <f>I69</f>
        <v>664310.16999999993</v>
      </c>
      <c r="L69" s="124">
        <f t="shared" si="41"/>
        <v>0</v>
      </c>
      <c r="M69" s="125">
        <f t="shared" si="28"/>
        <v>0</v>
      </c>
    </row>
    <row r="70" spans="1:13" x14ac:dyDescent="0.2">
      <c r="A70" s="24">
        <f t="shared" si="31"/>
        <v>64</v>
      </c>
      <c r="D70" s="2" t="s">
        <v>21</v>
      </c>
      <c r="E70" s="132"/>
      <c r="F70" s="133"/>
      <c r="G70" s="123">
        <v>0</v>
      </c>
      <c r="H70" s="133"/>
      <c r="I70" s="134">
        <f t="shared" si="42"/>
        <v>0</v>
      </c>
      <c r="J70" s="133"/>
      <c r="K70" s="123">
        <f>I70</f>
        <v>0</v>
      </c>
      <c r="L70" s="124">
        <f t="shared" si="41"/>
        <v>0</v>
      </c>
      <c r="M70" s="125">
        <f t="shared" si="28"/>
        <v>0</v>
      </c>
    </row>
    <row r="71" spans="1:13" x14ac:dyDescent="0.2">
      <c r="A71" s="24">
        <f t="shared" si="31"/>
        <v>65</v>
      </c>
      <c r="D71" s="2" t="s">
        <v>23</v>
      </c>
      <c r="E71" s="132"/>
      <c r="F71" s="133"/>
      <c r="G71" s="123">
        <v>4008</v>
      </c>
      <c r="H71" s="133"/>
      <c r="I71" s="134">
        <f t="shared" si="42"/>
        <v>4008</v>
      </c>
      <c r="J71" s="133"/>
      <c r="K71" s="123">
        <f>I71</f>
        <v>4008</v>
      </c>
      <c r="L71" s="124">
        <f t="shared" si="41"/>
        <v>0</v>
      </c>
      <c r="M71" s="125">
        <f t="shared" si="28"/>
        <v>0</v>
      </c>
    </row>
    <row r="72" spans="1:13" x14ac:dyDescent="0.2">
      <c r="A72" s="24">
        <f t="shared" si="31"/>
        <v>66</v>
      </c>
      <c r="D72" s="11" t="s">
        <v>5</v>
      </c>
      <c r="E72" s="135"/>
      <c r="F72" s="136"/>
      <c r="G72" s="137">
        <f>SUM(G68:G71)</f>
        <v>1435345.68</v>
      </c>
      <c r="H72" s="136"/>
      <c r="I72" s="137">
        <f>SUM(I68:I71)</f>
        <v>543749.00959000003</v>
      </c>
      <c r="J72" s="136"/>
      <c r="K72" s="137">
        <f>SUM(K68:K71)</f>
        <v>543749.00959000003</v>
      </c>
      <c r="L72" s="138">
        <f t="shared" si="41"/>
        <v>0</v>
      </c>
      <c r="M72" s="139">
        <f t="shared" si="28"/>
        <v>0</v>
      </c>
    </row>
    <row r="73" spans="1:13" s="4" customFormat="1" ht="26.45" customHeight="1" thickBot="1" x14ac:dyDescent="0.3">
      <c r="A73" s="24">
        <f t="shared" si="31"/>
        <v>67</v>
      </c>
      <c r="B73" s="42"/>
      <c r="C73" s="13"/>
      <c r="D73" s="5" t="s">
        <v>14</v>
      </c>
      <c r="E73" s="140"/>
      <c r="F73" s="141"/>
      <c r="G73" s="142">
        <f>G67+G72</f>
        <v>6128168.1147300005</v>
      </c>
      <c r="H73" s="141"/>
      <c r="I73" s="143">
        <f>I72+I67</f>
        <v>6128168.1147299996</v>
      </c>
      <c r="J73" s="141"/>
      <c r="K73" s="142">
        <f>K72+K67</f>
        <v>6128168.1147299996</v>
      </c>
      <c r="L73" s="144">
        <f t="shared" si="41"/>
        <v>0</v>
      </c>
      <c r="M73" s="145">
        <f t="shared" si="28"/>
        <v>0</v>
      </c>
    </row>
    <row r="74" spans="1:13" ht="13.5" thickTop="1" x14ac:dyDescent="0.2">
      <c r="A74" s="24">
        <f t="shared" si="31"/>
        <v>68</v>
      </c>
      <c r="D74" s="12"/>
      <c r="E74" s="153">
        <f>(E66+E65)/E61</f>
        <v>3145627.5416666665</v>
      </c>
      <c r="F74" s="154"/>
      <c r="G74" s="155">
        <f>G73/E61</f>
        <v>255340.33811375001</v>
      </c>
      <c r="H74" s="154"/>
      <c r="I74" s="155">
        <f>I73/E61</f>
        <v>255340.33811374998</v>
      </c>
      <c r="J74" s="154"/>
      <c r="K74" s="155">
        <f>K73/E61</f>
        <v>255340.33811374998</v>
      </c>
      <c r="L74" s="156">
        <f t="shared" si="41"/>
        <v>0</v>
      </c>
      <c r="M74" s="157">
        <f t="shared" si="28"/>
        <v>0</v>
      </c>
    </row>
    <row r="75" spans="1:13" ht="13.5" thickBot="1" x14ac:dyDescent="0.25">
      <c r="A75" s="24">
        <f t="shared" si="31"/>
        <v>69</v>
      </c>
      <c r="E75" s="132"/>
      <c r="F75" s="133"/>
      <c r="G75" s="150"/>
      <c r="H75" s="133"/>
      <c r="I75" s="150"/>
      <c r="J75" s="133"/>
      <c r="K75" s="150"/>
      <c r="M75" s="149"/>
    </row>
    <row r="76" spans="1:13" x14ac:dyDescent="0.2">
      <c r="A76" s="24">
        <f t="shared" si="31"/>
        <v>70</v>
      </c>
      <c r="B76" s="94" t="s">
        <v>48</v>
      </c>
      <c r="C76" s="21" t="s">
        <v>49</v>
      </c>
      <c r="D76" s="20"/>
      <c r="E76" s="118"/>
      <c r="F76" s="119"/>
      <c r="G76" s="120"/>
      <c r="H76" s="119"/>
      <c r="I76" s="120"/>
      <c r="J76" s="119"/>
      <c r="K76" s="120"/>
      <c r="L76" s="20"/>
      <c r="M76" s="151"/>
    </row>
    <row r="77" spans="1:13" x14ac:dyDescent="0.2">
      <c r="A77" s="24">
        <f t="shared" si="31"/>
        <v>71</v>
      </c>
      <c r="B77" s="95"/>
      <c r="D77" s="2" t="s">
        <v>60</v>
      </c>
      <c r="E77" s="121">
        <v>108</v>
      </c>
      <c r="F77" s="122">
        <v>151.21</v>
      </c>
      <c r="G77" s="123">
        <f>F77*E77</f>
        <v>16330.68</v>
      </c>
      <c r="H77" s="122">
        <v>151.21</v>
      </c>
      <c r="I77" s="123">
        <f>H77*E77</f>
        <v>16330.68</v>
      </c>
      <c r="J77" s="122">
        <f t="shared" ref="J77:J82" si="43">H77</f>
        <v>151.21</v>
      </c>
      <c r="K77" s="123">
        <f t="shared" ref="K77:K82" si="44">J77*E77</f>
        <v>16330.68</v>
      </c>
      <c r="L77" s="124">
        <f t="shared" ref="L77:L82" si="45">K77-I77</f>
        <v>0</v>
      </c>
      <c r="M77" s="125">
        <f t="shared" si="28"/>
        <v>0</v>
      </c>
    </row>
    <row r="78" spans="1:13" x14ac:dyDescent="0.2">
      <c r="A78" s="24">
        <f t="shared" si="31"/>
        <v>72</v>
      </c>
      <c r="D78" s="2" t="s">
        <v>39</v>
      </c>
      <c r="E78" s="121">
        <v>54</v>
      </c>
      <c r="F78" s="122">
        <v>381.08</v>
      </c>
      <c r="G78" s="123">
        <f t="shared" ref="G78:G80" si="46">F78*E78</f>
        <v>20578.32</v>
      </c>
      <c r="H78" s="122">
        <v>381.08</v>
      </c>
      <c r="I78" s="123">
        <f t="shared" ref="I78:I80" si="47">H78*E78</f>
        <v>20578.32</v>
      </c>
      <c r="J78" s="122">
        <f t="shared" si="43"/>
        <v>381.08</v>
      </c>
      <c r="K78" s="123">
        <f t="shared" si="44"/>
        <v>20578.32</v>
      </c>
      <c r="L78" s="124">
        <f t="shared" si="45"/>
        <v>0</v>
      </c>
      <c r="M78" s="125">
        <f t="shared" si="28"/>
        <v>0</v>
      </c>
    </row>
    <row r="79" spans="1:13" x14ac:dyDescent="0.2">
      <c r="A79" s="24">
        <f t="shared" si="31"/>
        <v>73</v>
      </c>
      <c r="D79" s="2" t="s">
        <v>40</v>
      </c>
      <c r="E79" s="121">
        <v>54</v>
      </c>
      <c r="F79" s="122">
        <v>1142.01</v>
      </c>
      <c r="G79" s="123">
        <f t="shared" ref="G79" si="48">F79*E79</f>
        <v>61668.54</v>
      </c>
      <c r="H79" s="122">
        <v>1142.01</v>
      </c>
      <c r="I79" s="123">
        <f t="shared" ref="I79" si="49">H79*E79</f>
        <v>61668.54</v>
      </c>
      <c r="J79" s="122">
        <f t="shared" si="43"/>
        <v>1142.01</v>
      </c>
      <c r="K79" s="123">
        <f t="shared" si="44"/>
        <v>61668.54</v>
      </c>
      <c r="L79" s="124">
        <f t="shared" si="45"/>
        <v>0</v>
      </c>
      <c r="M79" s="125">
        <f t="shared" si="28"/>
        <v>0</v>
      </c>
    </row>
    <row r="80" spans="1:13" x14ac:dyDescent="0.2">
      <c r="A80" s="24">
        <f t="shared" si="31"/>
        <v>74</v>
      </c>
      <c r="D80" s="2" t="s">
        <v>50</v>
      </c>
      <c r="E80" s="121">
        <f>179775.05-E81</f>
        <v>159045.04999999999</v>
      </c>
      <c r="F80" s="122">
        <v>7.55</v>
      </c>
      <c r="G80" s="123">
        <f t="shared" si="46"/>
        <v>1200790.1274999999</v>
      </c>
      <c r="H80" s="122">
        <v>7.55</v>
      </c>
      <c r="I80" s="123">
        <f t="shared" si="47"/>
        <v>1200790.1274999999</v>
      </c>
      <c r="J80" s="122">
        <f t="shared" si="43"/>
        <v>7.55</v>
      </c>
      <c r="K80" s="123">
        <f t="shared" si="44"/>
        <v>1200790.1274999999</v>
      </c>
      <c r="L80" s="124">
        <f t="shared" si="45"/>
        <v>0</v>
      </c>
      <c r="M80" s="125">
        <f t="shared" si="28"/>
        <v>0</v>
      </c>
    </row>
    <row r="81" spans="1:13" x14ac:dyDescent="0.2">
      <c r="A81" s="24">
        <f t="shared" si="31"/>
        <v>75</v>
      </c>
      <c r="D81" s="2" t="s">
        <v>51</v>
      </c>
      <c r="E81" s="121">
        <v>20730</v>
      </c>
      <c r="F81" s="122">
        <v>9.3699999999999992</v>
      </c>
      <c r="G81" s="123">
        <f t="shared" ref="G81" si="50">F81*E81</f>
        <v>194240.09999999998</v>
      </c>
      <c r="H81" s="122">
        <v>9.3699999999999992</v>
      </c>
      <c r="I81" s="123">
        <f t="shared" ref="I81" si="51">H81*E81</f>
        <v>194240.09999999998</v>
      </c>
      <c r="J81" s="122">
        <f t="shared" si="43"/>
        <v>9.3699999999999992</v>
      </c>
      <c r="K81" s="123">
        <f t="shared" si="44"/>
        <v>194240.09999999998</v>
      </c>
      <c r="L81" s="124">
        <f t="shared" si="45"/>
        <v>0</v>
      </c>
      <c r="M81" s="125">
        <f t="shared" si="28"/>
        <v>0</v>
      </c>
    </row>
    <row r="82" spans="1:13" x14ac:dyDescent="0.2">
      <c r="A82" s="24">
        <f t="shared" si="31"/>
        <v>76</v>
      </c>
      <c r="B82" s="32"/>
      <c r="D82" s="2" t="s">
        <v>25</v>
      </c>
      <c r="E82" s="121">
        <v>81427271</v>
      </c>
      <c r="F82" s="126">
        <v>4.9189999999999998E-2</v>
      </c>
      <c r="G82" s="123">
        <f t="shared" ref="G82" si="52">F82*E82</f>
        <v>4005407.46049</v>
      </c>
      <c r="H82" s="126">
        <v>6.0999999999999999E-2</v>
      </c>
      <c r="I82" s="123">
        <f t="shared" ref="I82" si="53">H82*E82</f>
        <v>4967063.5309999995</v>
      </c>
      <c r="J82" s="152">
        <f t="shared" si="43"/>
        <v>6.0999999999999999E-2</v>
      </c>
      <c r="K82" s="123">
        <f t="shared" si="44"/>
        <v>4967063.5309999995</v>
      </c>
      <c r="L82" s="124">
        <f t="shared" si="45"/>
        <v>0</v>
      </c>
      <c r="M82" s="125">
        <f t="shared" si="28"/>
        <v>0</v>
      </c>
    </row>
    <row r="83" spans="1:13" s="4" customFormat="1" ht="20.45" customHeight="1" x14ac:dyDescent="0.25">
      <c r="A83" s="24">
        <f t="shared" si="31"/>
        <v>77</v>
      </c>
      <c r="C83" s="13"/>
      <c r="D83" s="15" t="s">
        <v>4</v>
      </c>
      <c r="E83" s="127"/>
      <c r="F83" s="128"/>
      <c r="G83" s="129">
        <f>SUM(G77:G82)</f>
        <v>5499015.2279899996</v>
      </c>
      <c r="H83" s="128"/>
      <c r="I83" s="129">
        <f>SUM(I77:I82)</f>
        <v>6460671.2984999996</v>
      </c>
      <c r="J83" s="128"/>
      <c r="K83" s="129">
        <f>SUM(K77:K82)</f>
        <v>6460671.2984999996</v>
      </c>
      <c r="L83" s="130">
        <f>SUM(L77:L82)</f>
        <v>0</v>
      </c>
      <c r="M83" s="131">
        <f t="shared" si="28"/>
        <v>0</v>
      </c>
    </row>
    <row r="84" spans="1:13" x14ac:dyDescent="0.2">
      <c r="A84" s="24">
        <f t="shared" si="31"/>
        <v>78</v>
      </c>
      <c r="D84" s="2" t="s">
        <v>18</v>
      </c>
      <c r="E84" s="132"/>
      <c r="F84" s="133"/>
      <c r="G84" s="123">
        <v>811491.91</v>
      </c>
      <c r="H84" s="133"/>
      <c r="I84" s="134">
        <f>G84-($H$135*E82)</f>
        <v>-150164.16050999996</v>
      </c>
      <c r="J84" s="133"/>
      <c r="K84" s="123">
        <f>I84</f>
        <v>-150164.16050999996</v>
      </c>
      <c r="L84" s="124">
        <f t="shared" ref="L84:L90" si="54">K84-I84</f>
        <v>0</v>
      </c>
      <c r="M84" s="125">
        <f t="shared" si="28"/>
        <v>0</v>
      </c>
    </row>
    <row r="85" spans="1:13" x14ac:dyDescent="0.2">
      <c r="A85" s="24">
        <f t="shared" si="31"/>
        <v>79</v>
      </c>
      <c r="D85" s="2" t="s">
        <v>19</v>
      </c>
      <c r="E85" s="132"/>
      <c r="F85" s="133"/>
      <c r="G85" s="123">
        <v>709125.65999999992</v>
      </c>
      <c r="H85" s="133"/>
      <c r="I85" s="134">
        <f t="shared" ref="I85:I87" si="55">G85</f>
        <v>709125.65999999992</v>
      </c>
      <c r="J85" s="133"/>
      <c r="K85" s="123">
        <f>I85</f>
        <v>709125.65999999992</v>
      </c>
      <c r="L85" s="124">
        <f t="shared" si="54"/>
        <v>0</v>
      </c>
      <c r="M85" s="125">
        <f t="shared" si="28"/>
        <v>0</v>
      </c>
    </row>
    <row r="86" spans="1:13" x14ac:dyDescent="0.2">
      <c r="A86" s="24">
        <f t="shared" si="31"/>
        <v>80</v>
      </c>
      <c r="D86" s="2" t="s">
        <v>21</v>
      </c>
      <c r="E86" s="132"/>
      <c r="F86" s="133"/>
      <c r="G86" s="123">
        <v>0</v>
      </c>
      <c r="H86" s="133"/>
      <c r="I86" s="134">
        <f t="shared" si="55"/>
        <v>0</v>
      </c>
      <c r="J86" s="133"/>
      <c r="K86" s="123">
        <f>I86</f>
        <v>0</v>
      </c>
      <c r="L86" s="124">
        <f t="shared" si="54"/>
        <v>0</v>
      </c>
      <c r="M86" s="125">
        <f t="shared" si="28"/>
        <v>0</v>
      </c>
    </row>
    <row r="87" spans="1:13" x14ac:dyDescent="0.2">
      <c r="A87" s="24">
        <f t="shared" si="31"/>
        <v>81</v>
      </c>
      <c r="D87" s="2" t="s">
        <v>23</v>
      </c>
      <c r="E87" s="132"/>
      <c r="F87" s="133"/>
      <c r="G87" s="123">
        <v>0</v>
      </c>
      <c r="H87" s="133"/>
      <c r="I87" s="134">
        <f t="shared" si="55"/>
        <v>0</v>
      </c>
      <c r="J87" s="133"/>
      <c r="K87" s="123">
        <f>I87</f>
        <v>0</v>
      </c>
      <c r="L87" s="124">
        <f t="shared" si="54"/>
        <v>0</v>
      </c>
      <c r="M87" s="125">
        <f t="shared" si="28"/>
        <v>0</v>
      </c>
    </row>
    <row r="88" spans="1:13" x14ac:dyDescent="0.2">
      <c r="A88" s="24">
        <f t="shared" si="31"/>
        <v>82</v>
      </c>
      <c r="D88" s="11" t="s">
        <v>5</v>
      </c>
      <c r="E88" s="135"/>
      <c r="F88" s="136"/>
      <c r="G88" s="137">
        <f>SUM(G84:G87)</f>
        <v>1520617.5699999998</v>
      </c>
      <c r="H88" s="136"/>
      <c r="I88" s="137">
        <f>SUM(I84:I87)</f>
        <v>558961.49948999996</v>
      </c>
      <c r="J88" s="136"/>
      <c r="K88" s="137">
        <f>SUM(K84:K87)</f>
        <v>558961.49948999996</v>
      </c>
      <c r="L88" s="138">
        <f t="shared" si="54"/>
        <v>0</v>
      </c>
      <c r="M88" s="139">
        <f t="shared" si="28"/>
        <v>0</v>
      </c>
    </row>
    <row r="89" spans="1:13" s="4" customFormat="1" ht="26.45" customHeight="1" thickBot="1" x14ac:dyDescent="0.3">
      <c r="A89" s="24">
        <f t="shared" si="31"/>
        <v>83</v>
      </c>
      <c r="C89" s="13"/>
      <c r="D89" s="5" t="s">
        <v>14</v>
      </c>
      <c r="E89" s="140"/>
      <c r="F89" s="141"/>
      <c r="G89" s="142">
        <f>G83+G88</f>
        <v>7019632.7979899999</v>
      </c>
      <c r="H89" s="141"/>
      <c r="I89" s="143">
        <f>I88+I83</f>
        <v>7019632.7979899999</v>
      </c>
      <c r="J89" s="141"/>
      <c r="K89" s="142">
        <f>K88+K83</f>
        <v>7019632.7979899999</v>
      </c>
      <c r="L89" s="144">
        <f t="shared" si="54"/>
        <v>0</v>
      </c>
      <c r="M89" s="145">
        <f t="shared" si="28"/>
        <v>0</v>
      </c>
    </row>
    <row r="90" spans="1:13" ht="13.5" thickTop="1" x14ac:dyDescent="0.2">
      <c r="A90" s="24">
        <f t="shared" si="31"/>
        <v>84</v>
      </c>
      <c r="D90" s="2" t="s">
        <v>13</v>
      </c>
      <c r="E90" s="146">
        <f>E82/E77</f>
        <v>753956.21296296292</v>
      </c>
      <c r="F90" s="133"/>
      <c r="G90" s="147">
        <f>G89/E77</f>
        <v>64996.599981388885</v>
      </c>
      <c r="H90" s="133"/>
      <c r="I90" s="147">
        <f>I89/E77</f>
        <v>64996.599981388885</v>
      </c>
      <c r="J90" s="133"/>
      <c r="K90" s="147">
        <f>K89/E77</f>
        <v>64996.599981388885</v>
      </c>
      <c r="L90" s="148">
        <f t="shared" si="54"/>
        <v>0</v>
      </c>
      <c r="M90" s="149">
        <f t="shared" si="28"/>
        <v>0</v>
      </c>
    </row>
    <row r="91" spans="1:13" ht="13.5" thickBot="1" x14ac:dyDescent="0.25">
      <c r="A91" s="24">
        <f t="shared" si="31"/>
        <v>85</v>
      </c>
      <c r="E91" s="132"/>
      <c r="F91" s="133"/>
      <c r="G91" s="150"/>
      <c r="H91" s="133"/>
      <c r="I91" s="150"/>
      <c r="J91" s="133"/>
      <c r="K91" s="150"/>
      <c r="M91" s="149"/>
    </row>
    <row r="92" spans="1:13" x14ac:dyDescent="0.2">
      <c r="A92" s="24">
        <f t="shared" si="31"/>
        <v>86</v>
      </c>
      <c r="B92" s="94" t="s">
        <v>52</v>
      </c>
      <c r="C92" s="21" t="s">
        <v>53</v>
      </c>
      <c r="D92" s="20"/>
      <c r="E92" s="118"/>
      <c r="F92" s="119"/>
      <c r="G92" s="120"/>
      <c r="H92" s="119"/>
      <c r="I92" s="120"/>
      <c r="J92" s="119"/>
      <c r="K92" s="120"/>
      <c r="L92" s="20"/>
      <c r="M92" s="151"/>
    </row>
    <row r="93" spans="1:13" x14ac:dyDescent="0.2">
      <c r="A93" s="24">
        <f t="shared" si="31"/>
        <v>87</v>
      </c>
      <c r="B93" s="95"/>
      <c r="D93" s="2" t="s">
        <v>61</v>
      </c>
      <c r="E93" s="121">
        <v>1701</v>
      </c>
      <c r="F93" s="122">
        <v>51.83</v>
      </c>
      <c r="G93" s="123">
        <f>F93*E93</f>
        <v>88162.83</v>
      </c>
      <c r="H93" s="122">
        <v>51.83</v>
      </c>
      <c r="I93" s="123">
        <f>H93*E93</f>
        <v>88162.83</v>
      </c>
      <c r="J93" s="122">
        <f t="shared" ref="J93:J94" si="56">H93</f>
        <v>51.83</v>
      </c>
      <c r="K93" s="123">
        <f>J93*E93</f>
        <v>88162.83</v>
      </c>
      <c r="L93" s="124">
        <f>K93-I93</f>
        <v>0</v>
      </c>
      <c r="M93" s="125">
        <f t="shared" si="28"/>
        <v>0</v>
      </c>
    </row>
    <row r="94" spans="1:13" x14ac:dyDescent="0.2">
      <c r="A94" s="24">
        <f t="shared" si="31"/>
        <v>88</v>
      </c>
      <c r="D94" s="2" t="s">
        <v>25</v>
      </c>
      <c r="E94" s="121">
        <v>12058802</v>
      </c>
      <c r="F94" s="126">
        <v>0.10679999999999999</v>
      </c>
      <c r="G94" s="123">
        <f t="shared" ref="G94" si="57">F94*E94</f>
        <v>1287880.0536</v>
      </c>
      <c r="H94" s="126">
        <v>0.11860999999999999</v>
      </c>
      <c r="I94" s="123">
        <f t="shared" ref="I94" si="58">H94*E94</f>
        <v>1430294.5052199999</v>
      </c>
      <c r="J94" s="152">
        <f t="shared" si="56"/>
        <v>0.11860999999999999</v>
      </c>
      <c r="K94" s="123">
        <f>J94*E94</f>
        <v>1430294.5052199999</v>
      </c>
      <c r="L94" s="124">
        <f>K94-I94</f>
        <v>0</v>
      </c>
      <c r="M94" s="125">
        <f t="shared" si="28"/>
        <v>0</v>
      </c>
    </row>
    <row r="95" spans="1:13" s="4" customFormat="1" ht="20.45" customHeight="1" x14ac:dyDescent="0.25">
      <c r="A95" s="24">
        <f t="shared" si="31"/>
        <v>89</v>
      </c>
      <c r="C95" s="13"/>
      <c r="D95" s="15" t="s">
        <v>4</v>
      </c>
      <c r="E95" s="127"/>
      <c r="F95" s="128"/>
      <c r="G95" s="129">
        <f>SUM(G93:G94)</f>
        <v>1376042.8836000001</v>
      </c>
      <c r="H95" s="128"/>
      <c r="I95" s="129">
        <f>SUM(I93:I94)</f>
        <v>1518457.33522</v>
      </c>
      <c r="J95" s="128"/>
      <c r="K95" s="129">
        <f>SUM(K93:K94)</f>
        <v>1518457.33522</v>
      </c>
      <c r="L95" s="130">
        <f>SUM(L93:L94)</f>
        <v>0</v>
      </c>
      <c r="M95" s="131">
        <f t="shared" si="28"/>
        <v>0</v>
      </c>
    </row>
    <row r="96" spans="1:13" x14ac:dyDescent="0.2">
      <c r="A96" s="24">
        <f t="shared" si="31"/>
        <v>90</v>
      </c>
      <c r="D96" s="2" t="s">
        <v>18</v>
      </c>
      <c r="E96" s="132"/>
      <c r="F96" s="133"/>
      <c r="G96" s="123">
        <v>116525.37999999999</v>
      </c>
      <c r="H96" s="133"/>
      <c r="I96" s="134">
        <f>G96-($H$135*E94)</f>
        <v>-25889.071619999988</v>
      </c>
      <c r="J96" s="133"/>
      <c r="K96" s="123">
        <f>I96</f>
        <v>-25889.071619999988</v>
      </c>
      <c r="L96" s="124">
        <f t="shared" ref="L96:L102" si="59">K96-I96</f>
        <v>0</v>
      </c>
      <c r="M96" s="125">
        <f t="shared" si="28"/>
        <v>0</v>
      </c>
    </row>
    <row r="97" spans="1:13" x14ac:dyDescent="0.2">
      <c r="A97" s="24">
        <f t="shared" si="31"/>
        <v>91</v>
      </c>
      <c r="D97" s="2" t="s">
        <v>19</v>
      </c>
      <c r="E97" s="132"/>
      <c r="F97" s="133"/>
      <c r="G97" s="123">
        <v>180149.73</v>
      </c>
      <c r="H97" s="133"/>
      <c r="I97" s="134">
        <f t="shared" ref="I97:I99" si="60">G97</f>
        <v>180149.73</v>
      </c>
      <c r="J97" s="133"/>
      <c r="K97" s="123">
        <f>I97</f>
        <v>180149.73</v>
      </c>
      <c r="L97" s="124">
        <f t="shared" si="59"/>
        <v>0</v>
      </c>
      <c r="M97" s="125">
        <f t="shared" si="28"/>
        <v>0</v>
      </c>
    </row>
    <row r="98" spans="1:13" x14ac:dyDescent="0.2">
      <c r="A98" s="24">
        <f t="shared" si="31"/>
        <v>92</v>
      </c>
      <c r="D98" s="2" t="s">
        <v>21</v>
      </c>
      <c r="E98" s="132"/>
      <c r="F98" s="133"/>
      <c r="G98" s="123">
        <v>0</v>
      </c>
      <c r="H98" s="133"/>
      <c r="I98" s="134">
        <f t="shared" si="60"/>
        <v>0</v>
      </c>
      <c r="J98" s="133"/>
      <c r="K98" s="123">
        <f>I98</f>
        <v>0</v>
      </c>
      <c r="L98" s="124">
        <f t="shared" si="59"/>
        <v>0</v>
      </c>
      <c r="M98" s="125">
        <f t="shared" si="28"/>
        <v>0</v>
      </c>
    </row>
    <row r="99" spans="1:13" x14ac:dyDescent="0.2">
      <c r="A99" s="24">
        <f t="shared" si="31"/>
        <v>93</v>
      </c>
      <c r="D99" s="2" t="s">
        <v>23</v>
      </c>
      <c r="E99" s="132"/>
      <c r="F99" s="133"/>
      <c r="G99" s="123">
        <v>0</v>
      </c>
      <c r="H99" s="133"/>
      <c r="I99" s="134">
        <f t="shared" si="60"/>
        <v>0</v>
      </c>
      <c r="J99" s="133"/>
      <c r="K99" s="123">
        <f>I99</f>
        <v>0</v>
      </c>
      <c r="L99" s="124">
        <f t="shared" si="59"/>
        <v>0</v>
      </c>
      <c r="M99" s="125">
        <f t="shared" si="28"/>
        <v>0</v>
      </c>
    </row>
    <row r="100" spans="1:13" x14ac:dyDescent="0.2">
      <c r="A100" s="24">
        <f t="shared" si="31"/>
        <v>94</v>
      </c>
      <c r="D100" s="11" t="s">
        <v>5</v>
      </c>
      <c r="E100" s="135"/>
      <c r="F100" s="136"/>
      <c r="G100" s="137">
        <f>SUM(G96:G99)</f>
        <v>296675.11</v>
      </c>
      <c r="H100" s="136"/>
      <c r="I100" s="137">
        <f>SUM(I96:I99)</f>
        <v>154260.65838000004</v>
      </c>
      <c r="J100" s="136"/>
      <c r="K100" s="137">
        <f>SUM(K96:K99)</f>
        <v>154260.65838000004</v>
      </c>
      <c r="L100" s="138">
        <f t="shared" si="59"/>
        <v>0</v>
      </c>
      <c r="M100" s="139">
        <f t="shared" si="28"/>
        <v>0</v>
      </c>
    </row>
    <row r="101" spans="1:13" s="4" customFormat="1" ht="26.45" customHeight="1" thickBot="1" x14ac:dyDescent="0.3">
      <c r="A101" s="24">
        <f t="shared" si="31"/>
        <v>95</v>
      </c>
      <c r="C101" s="13"/>
      <c r="D101" s="5" t="s">
        <v>14</v>
      </c>
      <c r="E101" s="140"/>
      <c r="F101" s="141"/>
      <c r="G101" s="142">
        <f>G95+G100</f>
        <v>1672717.9936000002</v>
      </c>
      <c r="H101" s="141"/>
      <c r="I101" s="143">
        <f>I100+I95</f>
        <v>1672717.9936000002</v>
      </c>
      <c r="J101" s="141"/>
      <c r="K101" s="142">
        <f>K100+K95</f>
        <v>1672717.9936000002</v>
      </c>
      <c r="L101" s="144">
        <f t="shared" si="59"/>
        <v>0</v>
      </c>
      <c r="M101" s="145">
        <f t="shared" si="28"/>
        <v>0</v>
      </c>
    </row>
    <row r="102" spans="1:13" ht="13.5" thickTop="1" x14ac:dyDescent="0.2">
      <c r="A102" s="24">
        <f t="shared" si="31"/>
        <v>96</v>
      </c>
      <c r="E102" s="153">
        <f>E94/E93</f>
        <v>7089.2427983539092</v>
      </c>
      <c r="F102" s="154"/>
      <c r="G102" s="155">
        <f>G101/E93</f>
        <v>983.37330605526165</v>
      </c>
      <c r="H102" s="154"/>
      <c r="I102" s="155">
        <f>I101/E93</f>
        <v>983.37330605526165</v>
      </c>
      <c r="J102" s="154"/>
      <c r="K102" s="155">
        <f>K101/E93</f>
        <v>983.37330605526165</v>
      </c>
      <c r="L102" s="156">
        <f t="shared" si="59"/>
        <v>0</v>
      </c>
      <c r="M102" s="125">
        <f t="shared" si="28"/>
        <v>0</v>
      </c>
    </row>
    <row r="103" spans="1:13" ht="13.5" thickBot="1" x14ac:dyDescent="0.25">
      <c r="A103" s="24">
        <f t="shared" si="31"/>
        <v>97</v>
      </c>
      <c r="E103" s="132"/>
      <c r="F103" s="133"/>
      <c r="G103" s="150"/>
      <c r="H103" s="133"/>
      <c r="I103" s="150"/>
      <c r="J103" s="133"/>
      <c r="K103" s="150"/>
      <c r="M103" s="149"/>
    </row>
    <row r="104" spans="1:13" x14ac:dyDescent="0.2">
      <c r="A104" s="24">
        <f t="shared" si="31"/>
        <v>98</v>
      </c>
      <c r="B104" s="94" t="s">
        <v>54</v>
      </c>
      <c r="C104" s="21" t="s">
        <v>55</v>
      </c>
      <c r="D104" s="20"/>
      <c r="E104" s="118"/>
      <c r="F104" s="119"/>
      <c r="G104" s="120"/>
      <c r="H104" s="119"/>
      <c r="I104" s="120"/>
      <c r="J104" s="119"/>
      <c r="K104" s="120"/>
      <c r="L104" s="20"/>
      <c r="M104" s="151"/>
    </row>
    <row r="105" spans="1:13" x14ac:dyDescent="0.2">
      <c r="A105" s="24">
        <f t="shared" si="31"/>
        <v>99</v>
      </c>
      <c r="B105" s="95"/>
      <c r="D105" s="2" t="s">
        <v>61</v>
      </c>
      <c r="E105" s="121">
        <v>204</v>
      </c>
      <c r="F105" s="122">
        <v>86.07</v>
      </c>
      <c r="G105" s="123">
        <f>F105*E105</f>
        <v>17558.28</v>
      </c>
      <c r="H105" s="122">
        <v>86.07</v>
      </c>
      <c r="I105" s="123">
        <f>H105*E105</f>
        <v>17558.28</v>
      </c>
      <c r="J105" s="122">
        <f t="shared" ref="J105:J106" si="61">H105</f>
        <v>86.07</v>
      </c>
      <c r="K105" s="123">
        <f>J105*E105</f>
        <v>17558.28</v>
      </c>
      <c r="L105" s="124">
        <f>K105-I105</f>
        <v>0</v>
      </c>
      <c r="M105" s="125">
        <f t="shared" si="28"/>
        <v>0</v>
      </c>
    </row>
    <row r="106" spans="1:13" x14ac:dyDescent="0.2">
      <c r="A106" s="24">
        <f t="shared" si="31"/>
        <v>100</v>
      </c>
      <c r="B106" s="10"/>
      <c r="D106" s="2" t="s">
        <v>25</v>
      </c>
      <c r="E106" s="121">
        <v>10472630</v>
      </c>
      <c r="F106" s="126">
        <v>8.43E-2</v>
      </c>
      <c r="G106" s="123">
        <f t="shared" ref="G106" si="62">F106*E106</f>
        <v>882842.70900000003</v>
      </c>
      <c r="H106" s="126">
        <v>9.6110000000000001E-2</v>
      </c>
      <c r="I106" s="123">
        <f t="shared" ref="I106" si="63">H106*E106</f>
        <v>1006524.4693</v>
      </c>
      <c r="J106" s="152">
        <f t="shared" si="61"/>
        <v>9.6110000000000001E-2</v>
      </c>
      <c r="K106" s="123">
        <f>J106*E106</f>
        <v>1006524.4693</v>
      </c>
      <c r="L106" s="124">
        <f>K106-I106</f>
        <v>0</v>
      </c>
      <c r="M106" s="125">
        <f t="shared" si="28"/>
        <v>0</v>
      </c>
    </row>
    <row r="107" spans="1:13" s="4" customFormat="1" ht="20.45" customHeight="1" x14ac:dyDescent="0.25">
      <c r="A107" s="24">
        <f t="shared" si="31"/>
        <v>101</v>
      </c>
      <c r="C107" s="13"/>
      <c r="D107" s="15" t="s">
        <v>4</v>
      </c>
      <c r="E107" s="127"/>
      <c r="F107" s="128"/>
      <c r="G107" s="129">
        <f>SUM(G105:G106)</f>
        <v>900400.98900000006</v>
      </c>
      <c r="H107" s="128"/>
      <c r="I107" s="129">
        <f>SUM(I105:I106)</f>
        <v>1024082.7493</v>
      </c>
      <c r="J107" s="128"/>
      <c r="K107" s="129">
        <f>SUM(K105:K106)</f>
        <v>1024082.7493</v>
      </c>
      <c r="L107" s="130">
        <f>SUM(L105:L106)</f>
        <v>0</v>
      </c>
      <c r="M107" s="131">
        <f t="shared" si="28"/>
        <v>0</v>
      </c>
    </row>
    <row r="108" spans="1:13" x14ac:dyDescent="0.2">
      <c r="A108" s="24">
        <f t="shared" si="31"/>
        <v>102</v>
      </c>
      <c r="D108" s="2" t="s">
        <v>18</v>
      </c>
      <c r="E108" s="132"/>
      <c r="F108" s="133"/>
      <c r="G108" s="123">
        <v>102282.43000000001</v>
      </c>
      <c r="H108" s="133"/>
      <c r="I108" s="134">
        <f>G108-($H$135*E106)</f>
        <v>-21399.330299999987</v>
      </c>
      <c r="J108" s="133"/>
      <c r="K108" s="123">
        <f>I108</f>
        <v>-21399.330299999987</v>
      </c>
      <c r="L108" s="124">
        <f t="shared" ref="L108:L114" si="64">K108-I108</f>
        <v>0</v>
      </c>
      <c r="M108" s="125">
        <f t="shared" si="28"/>
        <v>0</v>
      </c>
    </row>
    <row r="109" spans="1:13" x14ac:dyDescent="0.2">
      <c r="A109" s="24">
        <f t="shared" si="31"/>
        <v>103</v>
      </c>
      <c r="D109" s="2" t="s">
        <v>19</v>
      </c>
      <c r="E109" s="132"/>
      <c r="F109" s="133"/>
      <c r="G109" s="123">
        <v>117165.34</v>
      </c>
      <c r="H109" s="133"/>
      <c r="I109" s="134">
        <f>G109</f>
        <v>117165.34</v>
      </c>
      <c r="J109" s="133"/>
      <c r="K109" s="123">
        <f>I109</f>
        <v>117165.34</v>
      </c>
      <c r="L109" s="124">
        <f t="shared" si="64"/>
        <v>0</v>
      </c>
      <c r="M109" s="125">
        <f t="shared" si="28"/>
        <v>0</v>
      </c>
    </row>
    <row r="110" spans="1:13" x14ac:dyDescent="0.2">
      <c r="A110" s="24">
        <f t="shared" si="31"/>
        <v>104</v>
      </c>
      <c r="D110" s="2" t="s">
        <v>24</v>
      </c>
      <c r="E110" s="132"/>
      <c r="F110" s="133"/>
      <c r="G110" s="123">
        <v>0</v>
      </c>
      <c r="H110" s="133"/>
      <c r="I110" s="134">
        <f>G110</f>
        <v>0</v>
      </c>
      <c r="J110" s="133"/>
      <c r="K110" s="123">
        <f>I110</f>
        <v>0</v>
      </c>
      <c r="L110" s="124">
        <f t="shared" si="64"/>
        <v>0</v>
      </c>
      <c r="M110" s="125">
        <f t="shared" si="28"/>
        <v>0</v>
      </c>
    </row>
    <row r="111" spans="1:13" x14ac:dyDescent="0.2">
      <c r="A111" s="24">
        <f t="shared" si="31"/>
        <v>105</v>
      </c>
      <c r="D111" s="2" t="s">
        <v>23</v>
      </c>
      <c r="E111" s="132"/>
      <c r="F111" s="133"/>
      <c r="G111" s="123">
        <v>0</v>
      </c>
      <c r="H111" s="133"/>
      <c r="I111" s="134">
        <f>G111</f>
        <v>0</v>
      </c>
      <c r="J111" s="133"/>
      <c r="K111" s="123">
        <f>I111</f>
        <v>0</v>
      </c>
      <c r="L111" s="124">
        <f t="shared" si="64"/>
        <v>0</v>
      </c>
      <c r="M111" s="125">
        <f t="shared" si="28"/>
        <v>0</v>
      </c>
    </row>
    <row r="112" spans="1:13" x14ac:dyDescent="0.2">
      <c r="A112" s="24">
        <f t="shared" si="31"/>
        <v>106</v>
      </c>
      <c r="D112" s="11" t="s">
        <v>5</v>
      </c>
      <c r="E112" s="135"/>
      <c r="F112" s="136"/>
      <c r="G112" s="137">
        <f>SUM(G108:G111)</f>
        <v>219447.77000000002</v>
      </c>
      <c r="H112" s="136"/>
      <c r="I112" s="137">
        <f>SUM(I108:I111)</f>
        <v>95766.00970000001</v>
      </c>
      <c r="J112" s="136"/>
      <c r="K112" s="137">
        <f>SUM(K108:K111)</f>
        <v>95766.00970000001</v>
      </c>
      <c r="L112" s="138">
        <f t="shared" si="64"/>
        <v>0</v>
      </c>
      <c r="M112" s="139">
        <f t="shared" si="28"/>
        <v>0</v>
      </c>
    </row>
    <row r="113" spans="1:13" s="4" customFormat="1" ht="26.45" customHeight="1" thickBot="1" x14ac:dyDescent="0.3">
      <c r="A113" s="24">
        <f t="shared" si="31"/>
        <v>107</v>
      </c>
      <c r="C113" s="13"/>
      <c r="D113" s="5" t="s">
        <v>14</v>
      </c>
      <c r="E113" s="140"/>
      <c r="F113" s="141"/>
      <c r="G113" s="142">
        <f>G107+G112</f>
        <v>1119848.7590000001</v>
      </c>
      <c r="H113" s="141"/>
      <c r="I113" s="143">
        <f>I112+I107</f>
        <v>1119848.7590000001</v>
      </c>
      <c r="J113" s="141"/>
      <c r="K113" s="142">
        <f>K112+K107</f>
        <v>1119848.7590000001</v>
      </c>
      <c r="L113" s="144">
        <f t="shared" si="64"/>
        <v>0</v>
      </c>
      <c r="M113" s="145">
        <f t="shared" ref="M113:M114" si="65">IF(I113=0,0,L113/I113)</f>
        <v>0</v>
      </c>
    </row>
    <row r="114" spans="1:13" ht="13.5" thickTop="1" x14ac:dyDescent="0.2">
      <c r="A114" s="24">
        <f t="shared" si="31"/>
        <v>108</v>
      </c>
      <c r="D114" s="2" t="s">
        <v>13</v>
      </c>
      <c r="E114" s="146">
        <f>E106/E105</f>
        <v>51336.421568627447</v>
      </c>
      <c r="F114" s="133"/>
      <c r="G114" s="147">
        <f>G113/E105</f>
        <v>5489.4547009803928</v>
      </c>
      <c r="H114" s="133"/>
      <c r="I114" s="147">
        <f>I113/E105</f>
        <v>5489.4547009803928</v>
      </c>
      <c r="J114" s="133"/>
      <c r="K114" s="147">
        <f>K113/E105</f>
        <v>5489.4547009803928</v>
      </c>
      <c r="L114" s="148">
        <f t="shared" si="64"/>
        <v>0</v>
      </c>
      <c r="M114" s="149">
        <f t="shared" si="65"/>
        <v>0</v>
      </c>
    </row>
    <row r="115" spans="1:13" ht="13.5" thickBot="1" x14ac:dyDescent="0.25">
      <c r="A115" s="24">
        <f t="shared" ref="A115:A117" si="66">A114+1</f>
        <v>109</v>
      </c>
      <c r="E115" s="132"/>
      <c r="F115" s="133"/>
      <c r="G115" s="150"/>
      <c r="H115" s="133"/>
      <c r="I115" s="150"/>
      <c r="J115" s="133"/>
      <c r="K115" s="150"/>
      <c r="M115" s="149"/>
    </row>
    <row r="116" spans="1:13" x14ac:dyDescent="0.2">
      <c r="A116" s="100">
        <f t="shared" si="66"/>
        <v>110</v>
      </c>
      <c r="B116" s="20" t="s">
        <v>22</v>
      </c>
      <c r="C116" s="37" t="s">
        <v>57</v>
      </c>
      <c r="D116" s="20"/>
      <c r="E116" s="118"/>
      <c r="F116" s="119"/>
      <c r="G116" s="120"/>
      <c r="H116" s="119"/>
      <c r="I116" s="120"/>
      <c r="J116" s="119"/>
      <c r="K116" s="120"/>
      <c r="L116" s="20"/>
      <c r="M116" s="151"/>
    </row>
    <row r="117" spans="1:13" s="4" customFormat="1" ht="24.6" customHeight="1" x14ac:dyDescent="0.25">
      <c r="A117" s="100">
        <f t="shared" si="66"/>
        <v>111</v>
      </c>
      <c r="C117" s="13"/>
      <c r="D117" s="15" t="s">
        <v>4</v>
      </c>
      <c r="E117" s="127"/>
      <c r="F117" s="128"/>
      <c r="G117" s="129">
        <v>3736520.04</v>
      </c>
      <c r="H117" s="128"/>
      <c r="I117" s="129">
        <v>3736505.16</v>
      </c>
      <c r="J117" s="128"/>
      <c r="K117" s="129">
        <v>3736505.16</v>
      </c>
      <c r="L117" s="130">
        <f>K117-I117</f>
        <v>0</v>
      </c>
      <c r="M117" s="131">
        <f t="shared" ref="M117:M133" si="67">IF(I117=0,0,L117/I117)</f>
        <v>0</v>
      </c>
    </row>
    <row r="118" spans="1:13" x14ac:dyDescent="0.2">
      <c r="A118" s="24">
        <f t="shared" ref="A118:A135" si="68">A117+1</f>
        <v>112</v>
      </c>
      <c r="D118" s="2" t="s">
        <v>18</v>
      </c>
      <c r="E118" s="132"/>
      <c r="F118" s="133"/>
      <c r="G118" s="123">
        <v>8291.869999999999</v>
      </c>
      <c r="H118" s="133"/>
      <c r="I118" s="134">
        <f>G118-(I117-G117)</f>
        <v>8306.7499999998872</v>
      </c>
      <c r="J118" s="133"/>
      <c r="K118" s="123">
        <f>I118</f>
        <v>8306.7499999998872</v>
      </c>
      <c r="L118" s="124">
        <f>K118-I118</f>
        <v>0</v>
      </c>
      <c r="M118" s="125">
        <f t="shared" si="67"/>
        <v>0</v>
      </c>
    </row>
    <row r="119" spans="1:13" x14ac:dyDescent="0.2">
      <c r="A119" s="24">
        <f t="shared" si="68"/>
        <v>113</v>
      </c>
      <c r="D119" s="2" t="s">
        <v>19</v>
      </c>
      <c r="E119" s="132"/>
      <c r="F119" s="133"/>
      <c r="G119" s="123">
        <v>35881.64</v>
      </c>
      <c r="H119" s="133"/>
      <c r="I119" s="134">
        <v>388100</v>
      </c>
      <c r="J119" s="133"/>
      <c r="K119" s="123">
        <f>I119</f>
        <v>388100</v>
      </c>
      <c r="L119" s="124">
        <f>K119-I119</f>
        <v>0</v>
      </c>
      <c r="M119" s="125">
        <f t="shared" si="67"/>
        <v>0</v>
      </c>
    </row>
    <row r="120" spans="1:13" x14ac:dyDescent="0.2">
      <c r="A120" s="24">
        <f t="shared" si="68"/>
        <v>114</v>
      </c>
      <c r="D120" s="2" t="s">
        <v>21</v>
      </c>
      <c r="E120" s="132"/>
      <c r="F120" s="133"/>
      <c r="G120" s="123">
        <v>0</v>
      </c>
      <c r="H120" s="133"/>
      <c r="I120" s="134">
        <v>0</v>
      </c>
      <c r="J120" s="133"/>
      <c r="K120" s="123">
        <f>I120</f>
        <v>0</v>
      </c>
      <c r="L120" s="124">
        <f>K120-I120</f>
        <v>0</v>
      </c>
      <c r="M120" s="125">
        <f t="shared" si="67"/>
        <v>0</v>
      </c>
    </row>
    <row r="121" spans="1:13" x14ac:dyDescent="0.2">
      <c r="A121" s="24">
        <f t="shared" si="68"/>
        <v>115</v>
      </c>
      <c r="D121" s="2" t="s">
        <v>23</v>
      </c>
      <c r="E121" s="132"/>
      <c r="F121" s="133"/>
      <c r="G121" s="123"/>
      <c r="H121" s="133"/>
      <c r="I121" s="134"/>
      <c r="J121" s="133"/>
      <c r="K121" s="123"/>
      <c r="L121" s="124"/>
      <c r="M121" s="125">
        <f t="shared" si="67"/>
        <v>0</v>
      </c>
    </row>
    <row r="122" spans="1:13" x14ac:dyDescent="0.2">
      <c r="A122" s="24">
        <f t="shared" si="68"/>
        <v>116</v>
      </c>
      <c r="D122" s="11" t="s">
        <v>5</v>
      </c>
      <c r="E122" s="135"/>
      <c r="F122" s="136"/>
      <c r="G122" s="137">
        <f>SUM(G118:G120)</f>
        <v>44173.509999999995</v>
      </c>
      <c r="H122" s="136"/>
      <c r="I122" s="137">
        <f>SUM(I118:I120)</f>
        <v>396406.74999999988</v>
      </c>
      <c r="J122" s="136"/>
      <c r="K122" s="137">
        <f>SUM(K118:K120)</f>
        <v>396406.74999999988</v>
      </c>
      <c r="L122" s="138">
        <f>K122-I122</f>
        <v>0</v>
      </c>
      <c r="M122" s="139">
        <f t="shared" si="67"/>
        <v>0</v>
      </c>
    </row>
    <row r="123" spans="1:13" s="4" customFormat="1" ht="26.45" customHeight="1" thickBot="1" x14ac:dyDescent="0.3">
      <c r="A123" s="24">
        <f t="shared" si="68"/>
        <v>117</v>
      </c>
      <c r="C123" s="13"/>
      <c r="D123" s="5" t="s">
        <v>14</v>
      </c>
      <c r="E123" s="140"/>
      <c r="F123" s="141"/>
      <c r="G123" s="142">
        <f>G117+G122</f>
        <v>3780693.55</v>
      </c>
      <c r="H123" s="141"/>
      <c r="I123" s="143">
        <f>I122+I117</f>
        <v>4132911.91</v>
      </c>
      <c r="J123" s="141"/>
      <c r="K123" s="142">
        <f>K122+K117</f>
        <v>4132911.91</v>
      </c>
      <c r="L123" s="144">
        <f>K123-I123</f>
        <v>0</v>
      </c>
      <c r="M123" s="145">
        <f t="shared" si="67"/>
        <v>0</v>
      </c>
    </row>
    <row r="124" spans="1:13" ht="13.5" thickTop="1" x14ac:dyDescent="0.2">
      <c r="A124" s="24">
        <f t="shared" si="68"/>
        <v>118</v>
      </c>
      <c r="E124" s="132"/>
      <c r="F124" s="133"/>
      <c r="G124" s="147"/>
      <c r="H124" s="133"/>
      <c r="I124" s="147"/>
      <c r="J124" s="133"/>
      <c r="K124" s="147"/>
      <c r="L124" s="148"/>
      <c r="M124" s="149"/>
    </row>
    <row r="125" spans="1:13" x14ac:dyDescent="0.2">
      <c r="A125" s="24">
        <f t="shared" si="68"/>
        <v>119</v>
      </c>
      <c r="B125" s="16"/>
      <c r="C125" s="17"/>
      <c r="D125" s="16"/>
      <c r="E125" s="105"/>
      <c r="F125" s="103"/>
      <c r="G125" s="104"/>
      <c r="H125" s="103"/>
      <c r="I125" s="104"/>
      <c r="J125" s="103"/>
      <c r="K125" s="104"/>
      <c r="L125" s="16"/>
      <c r="M125" s="104"/>
    </row>
    <row r="126" spans="1:13" x14ac:dyDescent="0.2">
      <c r="A126" s="24">
        <f t="shared" si="68"/>
        <v>120</v>
      </c>
      <c r="E126" s="132"/>
      <c r="F126" s="133"/>
      <c r="G126" s="150"/>
      <c r="H126" s="133"/>
      <c r="I126" s="150"/>
      <c r="J126" s="133"/>
      <c r="K126" s="150"/>
      <c r="M126" s="149"/>
    </row>
    <row r="127" spans="1:13" s="4" customFormat="1" ht="19.899999999999999" customHeight="1" x14ac:dyDescent="0.25">
      <c r="A127" s="24">
        <f t="shared" si="68"/>
        <v>121</v>
      </c>
      <c r="B127" s="4" t="s">
        <v>20</v>
      </c>
      <c r="C127" s="13"/>
      <c r="D127" s="15" t="s">
        <v>4</v>
      </c>
      <c r="E127" s="127"/>
      <c r="F127" s="128"/>
      <c r="G127" s="158">
        <f>G10+G22+G51+G67+G83+G117+G35+G95+G107</f>
        <v>121969520.82263997</v>
      </c>
      <c r="H127" s="159"/>
      <c r="I127" s="158">
        <f>I10+I22+I51+I67+I83+I117+I35+I95+I107</f>
        <v>136391363.53446999</v>
      </c>
      <c r="J127" s="159"/>
      <c r="K127" s="158">
        <f>K10+K22+K51+K67+K83+K117+K35+K95+K107</f>
        <v>147158362.67501003</v>
      </c>
      <c r="L127" s="160">
        <f>L10+L22+L51+L67+L83+L117+L35+L95+L107</f>
        <v>10766999.140540004</v>
      </c>
      <c r="M127" s="158">
        <f>M10+M22+M51+M67+M83+M117+M35+M95+M107</f>
        <v>0.11977616058313319</v>
      </c>
    </row>
    <row r="128" spans="1:13" x14ac:dyDescent="0.2">
      <c r="A128" s="24">
        <f t="shared" si="68"/>
        <v>122</v>
      </c>
      <c r="D128" s="2" t="s">
        <v>18</v>
      </c>
      <c r="E128" s="132"/>
      <c r="F128" s="133"/>
      <c r="G128" s="134">
        <f>G11+G23+G52+G68+G84+G118+G36+G96+G108</f>
        <v>11973562.430000002</v>
      </c>
      <c r="H128" s="161"/>
      <c r="I128" s="134">
        <f>I11+I23+I52+I68+I84+I118+I36+I96+I108</f>
        <v>-2448280.2818299993</v>
      </c>
      <c r="J128" s="161"/>
      <c r="K128" s="134">
        <f>K11+K23+K52+K68+K84+K118+K36+K96+K108</f>
        <v>-2448280.2818299993</v>
      </c>
      <c r="L128" s="44">
        <f>L11+L23+L52+L68+L84+L118+L36+L96+L108</f>
        <v>0</v>
      </c>
      <c r="M128" s="134">
        <f>M11+M23+M52+M68+M84+M118+M36+M96+M108</f>
        <v>0</v>
      </c>
    </row>
    <row r="129" spans="1:13" x14ac:dyDescent="0.2">
      <c r="A129" s="24">
        <f t="shared" si="68"/>
        <v>123</v>
      </c>
      <c r="D129" s="2" t="s">
        <v>19</v>
      </c>
      <c r="E129" s="132"/>
      <c r="F129" s="133"/>
      <c r="G129" s="134">
        <f>G12+G24+G53+G69+G85+G119+G37+G97+G109</f>
        <v>15734778.670000002</v>
      </c>
      <c r="H129" s="161"/>
      <c r="I129" s="134">
        <f>I12+I24+I53+I69+I85+I119+I37+I97+I109</f>
        <v>16086997.030000001</v>
      </c>
      <c r="J129" s="161"/>
      <c r="K129" s="134">
        <f>K12+K24+K53+K69+K85+K119+K37+K97+K109</f>
        <v>16086997.030000001</v>
      </c>
      <c r="L129" s="44">
        <f>L12+L24+L53+L69+L85+L119+L37+L97+L109</f>
        <v>0</v>
      </c>
      <c r="M129" s="134">
        <f>M12+M24+M53+M69+M85+M119+M37+M97+M109</f>
        <v>0</v>
      </c>
    </row>
    <row r="130" spans="1:13" x14ac:dyDescent="0.2">
      <c r="A130" s="24">
        <f t="shared" si="68"/>
        <v>124</v>
      </c>
      <c r="D130" s="2" t="s">
        <v>21</v>
      </c>
      <c r="E130" s="132"/>
      <c r="F130" s="133"/>
      <c r="G130" s="134">
        <f>G13+G25+G54+G70+G86+G120+G38+G98+G110</f>
        <v>417105</v>
      </c>
      <c r="H130" s="161"/>
      <c r="I130" s="134">
        <f>I13+I25+I54+I70+I86+I120+I38+I98+I110</f>
        <v>417105</v>
      </c>
      <c r="J130" s="161"/>
      <c r="K130" s="134">
        <f>K13+K25+K54+K70+K86+K120+K38+K98+K110</f>
        <v>417105</v>
      </c>
      <c r="L130" s="44">
        <f>L13+L25+L54+L70+L86+L120+L38+L98+L110</f>
        <v>0</v>
      </c>
      <c r="M130" s="134">
        <f>M13+M25+M54+M70+M86+M120+M38+M98+M110</f>
        <v>0</v>
      </c>
    </row>
    <row r="131" spans="1:13" x14ac:dyDescent="0.2">
      <c r="A131" s="24">
        <f t="shared" si="68"/>
        <v>125</v>
      </c>
      <c r="D131" s="2" t="s">
        <v>23</v>
      </c>
      <c r="E131" s="132"/>
      <c r="F131" s="133"/>
      <c r="G131" s="134">
        <f>G14+G26+G55+G71+G87+G121+G39+G99+G111</f>
        <v>7847</v>
      </c>
      <c r="H131" s="161"/>
      <c r="I131" s="134">
        <f>I14+I26+I55+I71+I87+I121+I39+I99+I111</f>
        <v>7847</v>
      </c>
      <c r="J131" s="161"/>
      <c r="K131" s="134">
        <f>K14+K26+K55+K71+K87+K121+K39+K99+K111</f>
        <v>7847</v>
      </c>
      <c r="L131" s="44">
        <f>L14+L26+L55+L71+L87+L121+L39+L99+L111</f>
        <v>0</v>
      </c>
      <c r="M131" s="134">
        <f>M14+M26+M55+M71+M87+M121+M39+M99+M111</f>
        <v>0</v>
      </c>
    </row>
    <row r="132" spans="1:13" x14ac:dyDescent="0.2">
      <c r="A132" s="24">
        <f t="shared" si="68"/>
        <v>126</v>
      </c>
      <c r="D132" s="11" t="s">
        <v>5</v>
      </c>
      <c r="E132" s="135"/>
      <c r="F132" s="136"/>
      <c r="G132" s="162">
        <f>SUM(G128:G131)</f>
        <v>28133293.100000001</v>
      </c>
      <c r="H132" s="163"/>
      <c r="I132" s="162">
        <f>SUM(I128:I131)</f>
        <v>14063668.748170001</v>
      </c>
      <c r="J132" s="136"/>
      <c r="K132" s="162">
        <f>SUM(K128:K131)</f>
        <v>14063668.748170001</v>
      </c>
      <c r="L132" s="164">
        <f>SUM(L128:L131)</f>
        <v>0</v>
      </c>
      <c r="M132" s="165">
        <f t="shared" si="67"/>
        <v>0</v>
      </c>
    </row>
    <row r="133" spans="1:13" s="4" customFormat="1" ht="21" customHeight="1" thickBot="1" x14ac:dyDescent="0.3">
      <c r="A133" s="24">
        <f t="shared" si="68"/>
        <v>127</v>
      </c>
      <c r="C133" s="13"/>
      <c r="D133" s="5" t="s">
        <v>14</v>
      </c>
      <c r="E133" s="140"/>
      <c r="F133" s="141"/>
      <c r="G133" s="143">
        <f>G132+G127</f>
        <v>150102813.92263997</v>
      </c>
      <c r="H133" s="166"/>
      <c r="I133" s="143">
        <f>I132+I127</f>
        <v>150455032.28263998</v>
      </c>
      <c r="J133" s="141"/>
      <c r="K133" s="143">
        <f>K132+K127</f>
        <v>161222031.42318001</v>
      </c>
      <c r="L133" s="167">
        <f>L132+L127</f>
        <v>10766999.140540004</v>
      </c>
      <c r="M133" s="168">
        <f t="shared" si="67"/>
        <v>7.1562904724339599E-2</v>
      </c>
    </row>
    <row r="134" spans="1:13" ht="13.5" thickTop="1" x14ac:dyDescent="0.2">
      <c r="A134" s="24">
        <f t="shared" si="68"/>
        <v>128</v>
      </c>
      <c r="M134" s="169"/>
    </row>
    <row r="135" spans="1:13" x14ac:dyDescent="0.2">
      <c r="A135" s="24">
        <f t="shared" si="68"/>
        <v>129</v>
      </c>
      <c r="G135" s="2" t="s">
        <v>67</v>
      </c>
      <c r="H135" s="2">
        <v>1.1809999999999999E-2</v>
      </c>
      <c r="K135" s="2" t="s">
        <v>64</v>
      </c>
      <c r="L135" s="170">
        <v>10767835.375506651</v>
      </c>
      <c r="M135" s="169"/>
    </row>
    <row r="136" spans="1:13" x14ac:dyDescent="0.2">
      <c r="A136" s="24"/>
      <c r="K136" s="2" t="s">
        <v>65</v>
      </c>
      <c r="L136" s="44">
        <f>L133-L135</f>
        <v>-836.23496664687991</v>
      </c>
      <c r="M136" s="169"/>
    </row>
  </sheetData>
  <mergeCells count="8">
    <mergeCell ref="B92:B93"/>
    <mergeCell ref="B104:B105"/>
    <mergeCell ref="B44:B45"/>
    <mergeCell ref="B7:B8"/>
    <mergeCell ref="B19:B20"/>
    <mergeCell ref="B31:B32"/>
    <mergeCell ref="B60:B61"/>
    <mergeCell ref="B76:B77"/>
  </mergeCells>
  <phoneticPr fontId="7" type="noConversion"/>
  <printOptions horizontalCentered="1"/>
  <pageMargins left="0.7" right="0.7" top="0.75" bottom="0.75" header="0.3" footer="0.3"/>
  <pageSetup scale="61" fitToHeight="0" orientation="landscape" r:id="rId1"/>
  <headerFooter>
    <oddFooter>&amp;RExhibit JW-9
Page &amp;P of &amp;N</oddFooter>
  </headerFooter>
  <rowBreaks count="2" manualBreakCount="2">
    <brk id="43" max="12" man="1"/>
    <brk id="91" max="12" man="1"/>
  </rowBreaks>
  <ignoredErrors>
    <ignoredError sqref="K10 L83 L10:L13 L84:L86 M134 L15:L18 L19:L25 L27:L30 L31:L38 L40:L54 L56:L70 L72:L82 L88:L98 L100:L110 L112:L116 L118:L124 I13 L134 L1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A0D25-5ECF-4DCF-AE07-3851FADB25B7}">
  <sheetPr>
    <pageSetUpPr fitToPage="1"/>
  </sheetPr>
  <dimension ref="A1:M40"/>
  <sheetViews>
    <sheetView view="pageBreakPreview" topLeftCell="A8" zoomScaleNormal="100" zoomScaleSheetLayoutView="100" workbookViewId="0">
      <selection activeCell="O23" sqref="O23"/>
    </sheetView>
  </sheetViews>
  <sheetFormatPr defaultColWidth="9.140625" defaultRowHeight="12.75" x14ac:dyDescent="0.2"/>
  <cols>
    <col min="1" max="1" width="3.42578125" style="70" customWidth="1"/>
    <col min="2" max="2" width="5.28515625" style="69" customWidth="1"/>
    <col min="3" max="3" width="9.140625" style="70"/>
    <col min="4" max="4" width="10.140625" style="70" bestFit="1" customWidth="1"/>
    <col min="5" max="7" width="9.140625" style="70"/>
    <col min="8" max="8" width="10.5703125" style="70" customWidth="1"/>
    <col min="9" max="11" width="9.140625" style="70"/>
    <col min="12" max="12" width="8.28515625" style="70" bestFit="1" customWidth="1"/>
    <col min="13" max="13" width="7.7109375" style="70" customWidth="1"/>
    <col min="14" max="16384" width="9.140625" style="70"/>
  </cols>
  <sheetData>
    <row r="1" spans="1:13" ht="18" x14ac:dyDescent="0.25">
      <c r="A1" s="68" t="str">
        <f>Summary!A1</f>
        <v>SOUTH KENTUCKY RECC</v>
      </c>
    </row>
    <row r="2" spans="1:13" ht="18" x14ac:dyDescent="0.25">
      <c r="A2" s="71" t="s">
        <v>70</v>
      </c>
      <c r="I2" s="72"/>
      <c r="J2" s="72"/>
    </row>
    <row r="3" spans="1:13" ht="18" x14ac:dyDescent="0.25">
      <c r="A3" s="68" t="s">
        <v>71</v>
      </c>
    </row>
    <row r="4" spans="1:13" ht="33.75" customHeight="1" thickBot="1" x14ac:dyDescent="0.25"/>
    <row r="5" spans="1:13" ht="21" customHeight="1" thickTop="1" x14ac:dyDescent="0.2">
      <c r="B5" s="46"/>
      <c r="C5" s="47" t="s">
        <v>72</v>
      </c>
      <c r="D5" s="96" t="s">
        <v>80</v>
      </c>
      <c r="E5" s="96"/>
      <c r="F5" s="96"/>
      <c r="G5" s="97"/>
      <c r="H5" s="98" t="s">
        <v>81</v>
      </c>
      <c r="I5" s="96"/>
      <c r="J5" s="96"/>
      <c r="K5" s="97"/>
      <c r="L5" s="98" t="s">
        <v>27</v>
      </c>
      <c r="M5" s="99"/>
    </row>
    <row r="6" spans="1:13" ht="23.25" customHeight="1" x14ac:dyDescent="0.2">
      <c r="B6" s="48" t="s">
        <v>0</v>
      </c>
      <c r="C6" s="49" t="s">
        <v>73</v>
      </c>
      <c r="D6" s="50" t="s">
        <v>74</v>
      </c>
      <c r="E6" s="50" t="s">
        <v>75</v>
      </c>
      <c r="F6" s="50" t="s">
        <v>76</v>
      </c>
      <c r="G6" s="50" t="s">
        <v>28</v>
      </c>
      <c r="H6" s="50" t="s">
        <v>77</v>
      </c>
      <c r="I6" s="50" t="s">
        <v>78</v>
      </c>
      <c r="J6" s="50" t="s">
        <v>76</v>
      </c>
      <c r="K6" s="50" t="s">
        <v>28</v>
      </c>
      <c r="L6" s="50" t="s">
        <v>79</v>
      </c>
      <c r="M6" s="51" t="s">
        <v>12</v>
      </c>
    </row>
    <row r="7" spans="1:13" s="52" customFormat="1" ht="18" customHeight="1" thickBot="1" x14ac:dyDescent="0.25">
      <c r="B7" s="53"/>
      <c r="C7" s="54"/>
      <c r="D7" s="55">
        <f>'Billing Detail'!H8</f>
        <v>17.5</v>
      </c>
      <c r="E7" s="56">
        <f>'Billing Detail'!H9</f>
        <v>9.8159999999999997E-2</v>
      </c>
      <c r="F7" s="56">
        <f>'Billing Detail'!I15/'Billing Detail'!E9</f>
        <v>1.2192809953586299E-2</v>
      </c>
      <c r="G7" s="56"/>
      <c r="H7" s="55">
        <f>'Billing Detail'!J8</f>
        <v>30.75</v>
      </c>
      <c r="I7" s="56">
        <f>'Billing Detail'!J9</f>
        <v>9.869E-2</v>
      </c>
      <c r="J7" s="56">
        <f>'Billing Detail'!K15/'Billing Detail'!E9</f>
        <v>1.2192809953586299E-2</v>
      </c>
      <c r="K7" s="54"/>
      <c r="L7" s="54"/>
      <c r="M7" s="57"/>
    </row>
    <row r="8" spans="1:13" ht="15" thickTop="1" x14ac:dyDescent="0.2">
      <c r="B8" s="73">
        <v>1</v>
      </c>
      <c r="C8" s="74">
        <v>0</v>
      </c>
      <c r="D8" s="75">
        <f t="shared" ref="D8:D38" si="0">D$7</f>
        <v>17.5</v>
      </c>
      <c r="E8" s="76">
        <f t="shared" ref="E8:E38" si="1">$E$7*C8</f>
        <v>0</v>
      </c>
      <c r="F8" s="76">
        <f>$F$7*C8</f>
        <v>0</v>
      </c>
      <c r="G8" s="77">
        <f>E8+D8+F8</f>
        <v>17.5</v>
      </c>
      <c r="H8" s="58">
        <f t="shared" ref="H8:H38" si="2">$H$7</f>
        <v>30.75</v>
      </c>
      <c r="I8" s="76">
        <f t="shared" ref="I8:I38" si="3">$I$7*C8</f>
        <v>0</v>
      </c>
      <c r="J8" s="76">
        <f>$J$7*C8</f>
        <v>0</v>
      </c>
      <c r="K8" s="59">
        <f>H8+I8+J8</f>
        <v>30.75</v>
      </c>
      <c r="L8" s="58">
        <f t="shared" ref="L8:L38" si="4">K8-G8</f>
        <v>13.25</v>
      </c>
      <c r="M8" s="60">
        <f t="shared" ref="M8:M38" si="5">L8/G8</f>
        <v>0.75714285714285712</v>
      </c>
    </row>
    <row r="9" spans="1:13" ht="14.25" x14ac:dyDescent="0.2">
      <c r="B9" s="73">
        <v>2</v>
      </c>
      <c r="C9" s="74">
        <f>C8+100</f>
        <v>100</v>
      </c>
      <c r="D9" s="75">
        <f t="shared" si="0"/>
        <v>17.5</v>
      </c>
      <c r="E9" s="76">
        <f t="shared" si="1"/>
        <v>9.8159999999999989</v>
      </c>
      <c r="F9" s="76">
        <f t="shared" ref="F9:F38" si="6">$F$7*C9</f>
        <v>1.2192809953586299</v>
      </c>
      <c r="G9" s="77">
        <f t="shared" ref="G9:G38" si="7">E9+D9+F9</f>
        <v>28.535280995358629</v>
      </c>
      <c r="H9" s="58">
        <f t="shared" si="2"/>
        <v>30.75</v>
      </c>
      <c r="I9" s="76">
        <f t="shared" si="3"/>
        <v>9.8689999999999998</v>
      </c>
      <c r="J9" s="76">
        <f t="shared" ref="J9:J38" si="8">$J$7*C9</f>
        <v>1.2192809953586299</v>
      </c>
      <c r="K9" s="59">
        <f t="shared" ref="K9:K38" si="9">H9+I9+J9</f>
        <v>41.83828099535863</v>
      </c>
      <c r="L9" s="58">
        <f t="shared" si="4"/>
        <v>13.303000000000001</v>
      </c>
      <c r="M9" s="60">
        <f t="shared" si="5"/>
        <v>0.4661948134368743</v>
      </c>
    </row>
    <row r="10" spans="1:13" ht="14.25" x14ac:dyDescent="0.2">
      <c r="B10" s="73">
        <v>3</v>
      </c>
      <c r="C10" s="74">
        <f t="shared" ref="C10:C37" si="10">C9+100</f>
        <v>200</v>
      </c>
      <c r="D10" s="75">
        <f t="shared" si="0"/>
        <v>17.5</v>
      </c>
      <c r="E10" s="76">
        <f t="shared" si="1"/>
        <v>19.631999999999998</v>
      </c>
      <c r="F10" s="76">
        <f t="shared" si="6"/>
        <v>2.4385619907172598</v>
      </c>
      <c r="G10" s="77">
        <f t="shared" si="7"/>
        <v>39.570561990717259</v>
      </c>
      <c r="H10" s="58">
        <f t="shared" si="2"/>
        <v>30.75</v>
      </c>
      <c r="I10" s="76">
        <f t="shared" si="3"/>
        <v>19.738</v>
      </c>
      <c r="J10" s="76">
        <f t="shared" si="8"/>
        <v>2.4385619907172598</v>
      </c>
      <c r="K10" s="59">
        <f t="shared" si="9"/>
        <v>52.926561990717261</v>
      </c>
      <c r="L10" s="58">
        <f t="shared" si="4"/>
        <v>13.356000000000002</v>
      </c>
      <c r="M10" s="60">
        <f t="shared" si="5"/>
        <v>0.33752363696864213</v>
      </c>
    </row>
    <row r="11" spans="1:13" ht="14.25" x14ac:dyDescent="0.2">
      <c r="B11" s="73">
        <v>4</v>
      </c>
      <c r="C11" s="74">
        <f t="shared" si="10"/>
        <v>300</v>
      </c>
      <c r="D11" s="75">
        <f t="shared" si="0"/>
        <v>17.5</v>
      </c>
      <c r="E11" s="76">
        <f t="shared" si="1"/>
        <v>29.448</v>
      </c>
      <c r="F11" s="76">
        <f t="shared" si="6"/>
        <v>3.6578429860758899</v>
      </c>
      <c r="G11" s="77">
        <f t="shared" si="7"/>
        <v>50.605842986075892</v>
      </c>
      <c r="H11" s="58">
        <f t="shared" si="2"/>
        <v>30.75</v>
      </c>
      <c r="I11" s="76">
        <f t="shared" si="3"/>
        <v>29.606999999999999</v>
      </c>
      <c r="J11" s="76">
        <f t="shared" si="8"/>
        <v>3.6578429860758899</v>
      </c>
      <c r="K11" s="59">
        <f t="shared" si="9"/>
        <v>64.014842986075891</v>
      </c>
      <c r="L11" s="58">
        <f t="shared" si="4"/>
        <v>13.408999999999999</v>
      </c>
      <c r="M11" s="60">
        <f t="shared" si="5"/>
        <v>0.26496940291439197</v>
      </c>
    </row>
    <row r="12" spans="1:13" ht="14.25" x14ac:dyDescent="0.2">
      <c r="B12" s="73">
        <v>5</v>
      </c>
      <c r="C12" s="74">
        <f t="shared" si="10"/>
        <v>400</v>
      </c>
      <c r="D12" s="75">
        <f t="shared" si="0"/>
        <v>17.5</v>
      </c>
      <c r="E12" s="76">
        <f t="shared" si="1"/>
        <v>39.263999999999996</v>
      </c>
      <c r="F12" s="76">
        <f t="shared" si="6"/>
        <v>4.8771239814345195</v>
      </c>
      <c r="G12" s="77">
        <f t="shared" si="7"/>
        <v>61.641123981434518</v>
      </c>
      <c r="H12" s="58">
        <f t="shared" si="2"/>
        <v>30.75</v>
      </c>
      <c r="I12" s="76">
        <f t="shared" si="3"/>
        <v>39.475999999999999</v>
      </c>
      <c r="J12" s="76">
        <f t="shared" si="8"/>
        <v>4.8771239814345195</v>
      </c>
      <c r="K12" s="59">
        <f t="shared" si="9"/>
        <v>75.103123981434521</v>
      </c>
      <c r="L12" s="58">
        <f t="shared" si="4"/>
        <v>13.462000000000003</v>
      </c>
      <c r="M12" s="60">
        <f t="shared" si="5"/>
        <v>0.21839316239682097</v>
      </c>
    </row>
    <row r="13" spans="1:13" ht="14.25" x14ac:dyDescent="0.2">
      <c r="B13" s="73">
        <v>6</v>
      </c>
      <c r="C13" s="74">
        <f t="shared" si="10"/>
        <v>500</v>
      </c>
      <c r="D13" s="75">
        <f t="shared" si="0"/>
        <v>17.5</v>
      </c>
      <c r="E13" s="76">
        <f t="shared" si="1"/>
        <v>49.08</v>
      </c>
      <c r="F13" s="76">
        <f t="shared" si="6"/>
        <v>6.0964049767931492</v>
      </c>
      <c r="G13" s="77">
        <f t="shared" si="7"/>
        <v>72.676404976793151</v>
      </c>
      <c r="H13" s="58">
        <f t="shared" si="2"/>
        <v>30.75</v>
      </c>
      <c r="I13" s="76">
        <f t="shared" si="3"/>
        <v>49.344999999999999</v>
      </c>
      <c r="J13" s="76">
        <f t="shared" si="8"/>
        <v>6.0964049767931492</v>
      </c>
      <c r="K13" s="59">
        <f t="shared" si="9"/>
        <v>86.191404976793152</v>
      </c>
      <c r="L13" s="58">
        <f t="shared" si="4"/>
        <v>13.515000000000001</v>
      </c>
      <c r="M13" s="60">
        <f t="shared" si="5"/>
        <v>0.18596131721589113</v>
      </c>
    </row>
    <row r="14" spans="1:13" ht="14.25" x14ac:dyDescent="0.2">
      <c r="B14" s="73">
        <v>7</v>
      </c>
      <c r="C14" s="74">
        <f t="shared" si="10"/>
        <v>600</v>
      </c>
      <c r="D14" s="75">
        <f t="shared" si="0"/>
        <v>17.5</v>
      </c>
      <c r="E14" s="76">
        <f t="shared" si="1"/>
        <v>58.896000000000001</v>
      </c>
      <c r="F14" s="76">
        <f t="shared" si="6"/>
        <v>7.3156859721517797</v>
      </c>
      <c r="G14" s="77">
        <f t="shared" si="7"/>
        <v>83.711685972151784</v>
      </c>
      <c r="H14" s="58">
        <f t="shared" si="2"/>
        <v>30.75</v>
      </c>
      <c r="I14" s="76">
        <f t="shared" si="3"/>
        <v>59.213999999999999</v>
      </c>
      <c r="J14" s="76">
        <f t="shared" si="8"/>
        <v>7.3156859721517797</v>
      </c>
      <c r="K14" s="59">
        <f t="shared" si="9"/>
        <v>97.279685972151782</v>
      </c>
      <c r="L14" s="58">
        <f t="shared" si="4"/>
        <v>13.567999999999998</v>
      </c>
      <c r="M14" s="60">
        <f t="shared" si="5"/>
        <v>0.16208011871262085</v>
      </c>
    </row>
    <row r="15" spans="1:13" ht="14.25" x14ac:dyDescent="0.2">
      <c r="B15" s="73">
        <v>8</v>
      </c>
      <c r="C15" s="74">
        <f t="shared" si="10"/>
        <v>700</v>
      </c>
      <c r="D15" s="75">
        <f t="shared" si="0"/>
        <v>17.5</v>
      </c>
      <c r="E15" s="76">
        <f t="shared" si="1"/>
        <v>68.712000000000003</v>
      </c>
      <c r="F15" s="76">
        <f t="shared" si="6"/>
        <v>8.5349669675104085</v>
      </c>
      <c r="G15" s="77">
        <f t="shared" si="7"/>
        <v>94.746966967510417</v>
      </c>
      <c r="H15" s="58">
        <f t="shared" si="2"/>
        <v>30.75</v>
      </c>
      <c r="I15" s="76">
        <f t="shared" si="3"/>
        <v>69.082999999999998</v>
      </c>
      <c r="J15" s="76">
        <f t="shared" si="8"/>
        <v>8.5349669675104085</v>
      </c>
      <c r="K15" s="59">
        <f t="shared" si="9"/>
        <v>108.36796696751041</v>
      </c>
      <c r="L15" s="58">
        <f t="shared" si="4"/>
        <v>13.620999999999995</v>
      </c>
      <c r="M15" s="60">
        <f t="shared" si="5"/>
        <v>0.14376185788269885</v>
      </c>
    </row>
    <row r="16" spans="1:13" ht="14.25" x14ac:dyDescent="0.2">
      <c r="B16" s="73">
        <v>9</v>
      </c>
      <c r="C16" s="74">
        <f t="shared" si="10"/>
        <v>800</v>
      </c>
      <c r="D16" s="75">
        <f t="shared" si="0"/>
        <v>17.5</v>
      </c>
      <c r="E16" s="76">
        <f t="shared" si="1"/>
        <v>78.527999999999992</v>
      </c>
      <c r="F16" s="76">
        <f t="shared" si="6"/>
        <v>9.7542479628690391</v>
      </c>
      <c r="G16" s="77">
        <f t="shared" si="7"/>
        <v>105.78224796286904</v>
      </c>
      <c r="H16" s="58">
        <f t="shared" si="2"/>
        <v>30.75</v>
      </c>
      <c r="I16" s="76">
        <f t="shared" si="3"/>
        <v>78.951999999999998</v>
      </c>
      <c r="J16" s="76">
        <f t="shared" si="8"/>
        <v>9.7542479628690391</v>
      </c>
      <c r="K16" s="59">
        <f t="shared" si="9"/>
        <v>119.45624796286904</v>
      </c>
      <c r="L16" s="58">
        <f t="shared" si="4"/>
        <v>13.674000000000007</v>
      </c>
      <c r="M16" s="60">
        <f t="shared" si="5"/>
        <v>0.12926554562160336</v>
      </c>
    </row>
    <row r="17" spans="2:13" ht="14.25" x14ac:dyDescent="0.2">
      <c r="B17" s="73">
        <v>10</v>
      </c>
      <c r="C17" s="74">
        <f t="shared" si="10"/>
        <v>900</v>
      </c>
      <c r="D17" s="75">
        <f t="shared" si="0"/>
        <v>17.5</v>
      </c>
      <c r="E17" s="76">
        <f t="shared" si="1"/>
        <v>88.343999999999994</v>
      </c>
      <c r="F17" s="76">
        <f t="shared" si="6"/>
        <v>10.97352895822767</v>
      </c>
      <c r="G17" s="77">
        <f t="shared" si="7"/>
        <v>116.81752895822767</v>
      </c>
      <c r="H17" s="58">
        <f t="shared" si="2"/>
        <v>30.75</v>
      </c>
      <c r="I17" s="76">
        <f t="shared" si="3"/>
        <v>88.820999999999998</v>
      </c>
      <c r="J17" s="76">
        <f t="shared" si="8"/>
        <v>10.97352895822767</v>
      </c>
      <c r="K17" s="59">
        <f t="shared" si="9"/>
        <v>130.54452895822766</v>
      </c>
      <c r="L17" s="58">
        <f t="shared" si="4"/>
        <v>13.72699999999999</v>
      </c>
      <c r="M17" s="60">
        <f t="shared" si="5"/>
        <v>0.11750804971151696</v>
      </c>
    </row>
    <row r="18" spans="2:13" ht="14.25" x14ac:dyDescent="0.2">
      <c r="B18" s="78">
        <v>11</v>
      </c>
      <c r="C18" s="79">
        <f t="shared" si="10"/>
        <v>1000</v>
      </c>
      <c r="D18" s="80">
        <f t="shared" si="0"/>
        <v>17.5</v>
      </c>
      <c r="E18" s="81">
        <f t="shared" si="1"/>
        <v>98.16</v>
      </c>
      <c r="F18" s="81">
        <f t="shared" si="6"/>
        <v>12.192809953586298</v>
      </c>
      <c r="G18" s="82">
        <f t="shared" si="7"/>
        <v>127.8528099535863</v>
      </c>
      <c r="H18" s="61">
        <f t="shared" si="2"/>
        <v>30.75</v>
      </c>
      <c r="I18" s="81">
        <f t="shared" si="3"/>
        <v>98.69</v>
      </c>
      <c r="J18" s="81">
        <f t="shared" si="8"/>
        <v>12.192809953586298</v>
      </c>
      <c r="K18" s="62">
        <f t="shared" si="9"/>
        <v>141.6328099535863</v>
      </c>
      <c r="L18" s="61">
        <f t="shared" si="4"/>
        <v>13.780000000000001</v>
      </c>
      <c r="M18" s="63">
        <f t="shared" si="5"/>
        <v>0.10778018883591592</v>
      </c>
    </row>
    <row r="19" spans="2:13" ht="14.25" x14ac:dyDescent="0.2">
      <c r="B19" s="73">
        <v>12</v>
      </c>
      <c r="C19" s="90">
        <f t="shared" si="10"/>
        <v>1100</v>
      </c>
      <c r="D19" s="75">
        <f t="shared" si="0"/>
        <v>17.5</v>
      </c>
      <c r="E19" s="76">
        <f t="shared" si="1"/>
        <v>107.976</v>
      </c>
      <c r="F19" s="76">
        <f t="shared" si="6"/>
        <v>13.412090948944929</v>
      </c>
      <c r="G19" s="77">
        <f t="shared" si="7"/>
        <v>138.88809094894492</v>
      </c>
      <c r="H19" s="91">
        <f t="shared" si="2"/>
        <v>30.75</v>
      </c>
      <c r="I19" s="76">
        <f t="shared" si="3"/>
        <v>108.559</v>
      </c>
      <c r="J19" s="76">
        <f t="shared" si="8"/>
        <v>13.412090948944929</v>
      </c>
      <c r="K19" s="92">
        <f t="shared" si="9"/>
        <v>152.72109094894492</v>
      </c>
      <c r="L19" s="91">
        <f t="shared" si="4"/>
        <v>13.832999999999998</v>
      </c>
      <c r="M19" s="93">
        <f t="shared" si="5"/>
        <v>9.9598172208191643E-2</v>
      </c>
    </row>
    <row r="20" spans="2:13" ht="14.25" x14ac:dyDescent="0.2">
      <c r="B20" s="73">
        <v>13</v>
      </c>
      <c r="C20" s="74">
        <f t="shared" si="10"/>
        <v>1200</v>
      </c>
      <c r="D20" s="75">
        <f t="shared" si="0"/>
        <v>17.5</v>
      </c>
      <c r="E20" s="76">
        <f t="shared" si="1"/>
        <v>117.792</v>
      </c>
      <c r="F20" s="76">
        <f t="shared" si="6"/>
        <v>14.631371944303559</v>
      </c>
      <c r="G20" s="77">
        <f t="shared" si="7"/>
        <v>149.92337194430357</v>
      </c>
      <c r="H20" s="58">
        <f t="shared" si="2"/>
        <v>30.75</v>
      </c>
      <c r="I20" s="76">
        <f t="shared" si="3"/>
        <v>118.428</v>
      </c>
      <c r="J20" s="76">
        <f t="shared" si="8"/>
        <v>14.631371944303559</v>
      </c>
      <c r="K20" s="59">
        <f t="shared" si="9"/>
        <v>163.80937194430356</v>
      </c>
      <c r="L20" s="58">
        <f t="shared" si="4"/>
        <v>13.885999999999996</v>
      </c>
      <c r="M20" s="60">
        <f t="shared" si="5"/>
        <v>9.2620648934968158E-2</v>
      </c>
    </row>
    <row r="21" spans="2:13" ht="14.25" x14ac:dyDescent="0.2">
      <c r="B21" s="73">
        <v>14</v>
      </c>
      <c r="C21" s="74">
        <f t="shared" si="10"/>
        <v>1300</v>
      </c>
      <c r="D21" s="75">
        <f t="shared" si="0"/>
        <v>17.5</v>
      </c>
      <c r="E21" s="76">
        <f t="shared" si="1"/>
        <v>127.60799999999999</v>
      </c>
      <c r="F21" s="76">
        <f t="shared" si="6"/>
        <v>15.850652939662188</v>
      </c>
      <c r="G21" s="77">
        <f t="shared" si="7"/>
        <v>160.95865293966219</v>
      </c>
      <c r="H21" s="58">
        <f t="shared" si="2"/>
        <v>30.75</v>
      </c>
      <c r="I21" s="76">
        <f t="shared" si="3"/>
        <v>128.297</v>
      </c>
      <c r="J21" s="76">
        <f t="shared" si="8"/>
        <v>15.850652939662188</v>
      </c>
      <c r="K21" s="59">
        <f t="shared" si="9"/>
        <v>174.89765293966218</v>
      </c>
      <c r="L21" s="58">
        <f t="shared" si="4"/>
        <v>13.938999999999993</v>
      </c>
      <c r="M21" s="60">
        <f t="shared" si="5"/>
        <v>8.6599879816496972E-2</v>
      </c>
    </row>
    <row r="22" spans="2:13" ht="14.25" x14ac:dyDescent="0.2">
      <c r="B22" s="73">
        <v>15</v>
      </c>
      <c r="C22" s="74">
        <f t="shared" si="10"/>
        <v>1400</v>
      </c>
      <c r="D22" s="75">
        <f t="shared" si="0"/>
        <v>17.5</v>
      </c>
      <c r="E22" s="76">
        <f t="shared" si="1"/>
        <v>137.42400000000001</v>
      </c>
      <c r="F22" s="76">
        <f t="shared" si="6"/>
        <v>17.069933935020817</v>
      </c>
      <c r="G22" s="77">
        <f t="shared" si="7"/>
        <v>171.99393393502083</v>
      </c>
      <c r="H22" s="58">
        <f t="shared" si="2"/>
        <v>30.75</v>
      </c>
      <c r="I22" s="76">
        <f t="shared" si="3"/>
        <v>138.166</v>
      </c>
      <c r="J22" s="76">
        <f t="shared" si="8"/>
        <v>17.069933935020817</v>
      </c>
      <c r="K22" s="59">
        <f t="shared" si="9"/>
        <v>185.98593393502082</v>
      </c>
      <c r="L22" s="58">
        <f t="shared" si="4"/>
        <v>13.99199999999999</v>
      </c>
      <c r="M22" s="60">
        <f t="shared" si="5"/>
        <v>8.1351706306608207E-2</v>
      </c>
    </row>
    <row r="23" spans="2:13" ht="14.25" x14ac:dyDescent="0.2">
      <c r="B23" s="73">
        <v>16</v>
      </c>
      <c r="C23" s="74">
        <f t="shared" si="10"/>
        <v>1500</v>
      </c>
      <c r="D23" s="75">
        <f t="shared" si="0"/>
        <v>17.5</v>
      </c>
      <c r="E23" s="76">
        <f t="shared" si="1"/>
        <v>147.24</v>
      </c>
      <c r="F23" s="76">
        <f t="shared" si="6"/>
        <v>18.289214930379448</v>
      </c>
      <c r="G23" s="77">
        <f t="shared" si="7"/>
        <v>183.02921493037945</v>
      </c>
      <c r="H23" s="58">
        <f t="shared" si="2"/>
        <v>30.75</v>
      </c>
      <c r="I23" s="76">
        <f t="shared" si="3"/>
        <v>148.035</v>
      </c>
      <c r="J23" s="76">
        <f t="shared" si="8"/>
        <v>18.289214930379448</v>
      </c>
      <c r="K23" s="59">
        <f t="shared" si="9"/>
        <v>197.07421493037944</v>
      </c>
      <c r="L23" s="58">
        <f t="shared" si="4"/>
        <v>14.044999999999987</v>
      </c>
      <c r="M23" s="60">
        <f t="shared" si="5"/>
        <v>7.6736383343732395E-2</v>
      </c>
    </row>
    <row r="24" spans="2:13" ht="14.25" x14ac:dyDescent="0.2">
      <c r="B24" s="73">
        <v>17</v>
      </c>
      <c r="C24" s="74">
        <f t="shared" si="10"/>
        <v>1600</v>
      </c>
      <c r="D24" s="75">
        <f t="shared" si="0"/>
        <v>17.5</v>
      </c>
      <c r="E24" s="76">
        <f t="shared" si="1"/>
        <v>157.05599999999998</v>
      </c>
      <c r="F24" s="76">
        <f t="shared" si="6"/>
        <v>19.508495925738078</v>
      </c>
      <c r="G24" s="77">
        <f t="shared" si="7"/>
        <v>194.06449592573807</v>
      </c>
      <c r="H24" s="58">
        <f t="shared" si="2"/>
        <v>30.75</v>
      </c>
      <c r="I24" s="76">
        <f t="shared" si="3"/>
        <v>157.904</v>
      </c>
      <c r="J24" s="76">
        <f t="shared" si="8"/>
        <v>19.508495925738078</v>
      </c>
      <c r="K24" s="59">
        <f t="shared" si="9"/>
        <v>208.16249592573809</v>
      </c>
      <c r="L24" s="58">
        <f t="shared" si="4"/>
        <v>14.098000000000013</v>
      </c>
      <c r="M24" s="60">
        <f t="shared" si="5"/>
        <v>7.2645951711820811E-2</v>
      </c>
    </row>
    <row r="25" spans="2:13" ht="14.25" x14ac:dyDescent="0.2">
      <c r="B25" s="73">
        <v>18</v>
      </c>
      <c r="C25" s="74">
        <f t="shared" si="10"/>
        <v>1700</v>
      </c>
      <c r="D25" s="75">
        <f t="shared" si="0"/>
        <v>17.5</v>
      </c>
      <c r="E25" s="76">
        <f t="shared" si="1"/>
        <v>166.87199999999999</v>
      </c>
      <c r="F25" s="76">
        <f t="shared" si="6"/>
        <v>20.727776921096709</v>
      </c>
      <c r="G25" s="77">
        <f t="shared" si="7"/>
        <v>205.09977692109669</v>
      </c>
      <c r="H25" s="58">
        <f t="shared" si="2"/>
        <v>30.75</v>
      </c>
      <c r="I25" s="76">
        <f t="shared" si="3"/>
        <v>167.773</v>
      </c>
      <c r="J25" s="76">
        <f t="shared" si="8"/>
        <v>20.727776921096709</v>
      </c>
      <c r="K25" s="59">
        <f t="shared" si="9"/>
        <v>219.2507769210967</v>
      </c>
      <c r="L25" s="58">
        <f t="shared" si="4"/>
        <v>14.15100000000001</v>
      </c>
      <c r="M25" s="60">
        <f t="shared" si="5"/>
        <v>6.8995686940429971E-2</v>
      </c>
    </row>
    <row r="26" spans="2:13" ht="14.25" x14ac:dyDescent="0.2">
      <c r="B26" s="73">
        <v>19</v>
      </c>
      <c r="C26" s="74">
        <f t="shared" si="10"/>
        <v>1800</v>
      </c>
      <c r="D26" s="75">
        <f t="shared" si="0"/>
        <v>17.5</v>
      </c>
      <c r="E26" s="76">
        <f t="shared" si="1"/>
        <v>176.68799999999999</v>
      </c>
      <c r="F26" s="76">
        <f t="shared" si="6"/>
        <v>21.947057916455339</v>
      </c>
      <c r="G26" s="77">
        <f t="shared" si="7"/>
        <v>216.13505791645534</v>
      </c>
      <c r="H26" s="58">
        <f t="shared" si="2"/>
        <v>30.75</v>
      </c>
      <c r="I26" s="76">
        <f t="shared" si="3"/>
        <v>177.642</v>
      </c>
      <c r="J26" s="76">
        <f t="shared" si="8"/>
        <v>21.947057916455339</v>
      </c>
      <c r="K26" s="59">
        <f t="shared" si="9"/>
        <v>230.33905791645535</v>
      </c>
      <c r="L26" s="58">
        <f t="shared" si="4"/>
        <v>14.204000000000008</v>
      </c>
      <c r="M26" s="60">
        <f t="shared" si="5"/>
        <v>6.5718167783268222E-2</v>
      </c>
    </row>
    <row r="27" spans="2:13" ht="14.25" x14ac:dyDescent="0.2">
      <c r="B27" s="73">
        <v>20</v>
      </c>
      <c r="C27" s="74">
        <f t="shared" si="10"/>
        <v>1900</v>
      </c>
      <c r="D27" s="75">
        <f t="shared" si="0"/>
        <v>17.5</v>
      </c>
      <c r="E27" s="76">
        <f t="shared" si="1"/>
        <v>186.50399999999999</v>
      </c>
      <c r="F27" s="76">
        <f t="shared" si="6"/>
        <v>23.16633891181397</v>
      </c>
      <c r="G27" s="77">
        <f t="shared" si="7"/>
        <v>227.17033891181396</v>
      </c>
      <c r="H27" s="58">
        <f t="shared" si="2"/>
        <v>30.75</v>
      </c>
      <c r="I27" s="76">
        <f t="shared" si="3"/>
        <v>187.511</v>
      </c>
      <c r="J27" s="76">
        <f t="shared" si="8"/>
        <v>23.16633891181397</v>
      </c>
      <c r="K27" s="59">
        <f t="shared" si="9"/>
        <v>241.42733891181396</v>
      </c>
      <c r="L27" s="58">
        <f t="shared" si="4"/>
        <v>14.257000000000005</v>
      </c>
      <c r="M27" s="60">
        <f t="shared" si="5"/>
        <v>6.2759073514146044E-2</v>
      </c>
    </row>
    <row r="28" spans="2:13" ht="14.25" x14ac:dyDescent="0.2">
      <c r="B28" s="73">
        <v>21</v>
      </c>
      <c r="C28" s="74">
        <f t="shared" si="10"/>
        <v>2000</v>
      </c>
      <c r="D28" s="75">
        <f t="shared" si="0"/>
        <v>17.5</v>
      </c>
      <c r="E28" s="76">
        <f t="shared" si="1"/>
        <v>196.32</v>
      </c>
      <c r="F28" s="76">
        <f t="shared" si="6"/>
        <v>24.385619907172597</v>
      </c>
      <c r="G28" s="77">
        <f t="shared" si="7"/>
        <v>238.2056199071726</v>
      </c>
      <c r="H28" s="58">
        <f t="shared" si="2"/>
        <v>30.75</v>
      </c>
      <c r="I28" s="76">
        <f t="shared" si="3"/>
        <v>197.38</v>
      </c>
      <c r="J28" s="76">
        <f t="shared" si="8"/>
        <v>24.385619907172597</v>
      </c>
      <c r="K28" s="59">
        <f t="shared" si="9"/>
        <v>252.51561990717261</v>
      </c>
      <c r="L28" s="58">
        <f t="shared" si="4"/>
        <v>14.310000000000002</v>
      </c>
      <c r="M28" s="60">
        <f t="shared" si="5"/>
        <v>6.0074149407459525E-2</v>
      </c>
    </row>
    <row r="29" spans="2:13" ht="14.25" x14ac:dyDescent="0.2">
      <c r="B29" s="73">
        <v>22</v>
      </c>
      <c r="C29" s="74">
        <f>C28+100</f>
        <v>2100</v>
      </c>
      <c r="D29" s="75">
        <f t="shared" si="0"/>
        <v>17.5</v>
      </c>
      <c r="E29" s="76">
        <f t="shared" si="1"/>
        <v>206.136</v>
      </c>
      <c r="F29" s="76">
        <f t="shared" si="6"/>
        <v>25.604900902531227</v>
      </c>
      <c r="G29" s="77">
        <f t="shared" si="7"/>
        <v>249.24090090253122</v>
      </c>
      <c r="H29" s="58">
        <f t="shared" si="2"/>
        <v>30.75</v>
      </c>
      <c r="I29" s="76">
        <f t="shared" si="3"/>
        <v>207.249</v>
      </c>
      <c r="J29" s="76">
        <f t="shared" si="8"/>
        <v>25.604900902531227</v>
      </c>
      <c r="K29" s="59">
        <f t="shared" si="9"/>
        <v>263.60390090253122</v>
      </c>
      <c r="L29" s="58">
        <f t="shared" si="4"/>
        <v>14.363</v>
      </c>
      <c r="M29" s="60">
        <f t="shared" si="5"/>
        <v>5.7626978349018365E-2</v>
      </c>
    </row>
    <row r="30" spans="2:13" ht="14.25" x14ac:dyDescent="0.2">
      <c r="B30" s="73">
        <v>23</v>
      </c>
      <c r="C30" s="74">
        <f t="shared" si="10"/>
        <v>2200</v>
      </c>
      <c r="D30" s="75">
        <f t="shared" si="0"/>
        <v>17.5</v>
      </c>
      <c r="E30" s="76">
        <f t="shared" si="1"/>
        <v>215.952</v>
      </c>
      <c r="F30" s="76">
        <f t="shared" si="6"/>
        <v>26.824181897889858</v>
      </c>
      <c r="G30" s="77">
        <f t="shared" si="7"/>
        <v>260.27618189788984</v>
      </c>
      <c r="H30" s="58">
        <f t="shared" si="2"/>
        <v>30.75</v>
      </c>
      <c r="I30" s="76">
        <f t="shared" si="3"/>
        <v>217.11799999999999</v>
      </c>
      <c r="J30" s="76">
        <f t="shared" si="8"/>
        <v>26.824181897889858</v>
      </c>
      <c r="K30" s="59">
        <f t="shared" si="9"/>
        <v>274.69218189788984</v>
      </c>
      <c r="L30" s="58">
        <f t="shared" si="4"/>
        <v>14.415999999999997</v>
      </c>
      <c r="M30" s="60">
        <f t="shared" si="5"/>
        <v>5.5387319327035479E-2</v>
      </c>
    </row>
    <row r="31" spans="2:13" ht="14.25" x14ac:dyDescent="0.2">
      <c r="B31" s="73">
        <v>24</v>
      </c>
      <c r="C31" s="74">
        <f t="shared" si="10"/>
        <v>2300</v>
      </c>
      <c r="D31" s="75">
        <f t="shared" si="0"/>
        <v>17.5</v>
      </c>
      <c r="E31" s="76">
        <f t="shared" si="1"/>
        <v>225.768</v>
      </c>
      <c r="F31" s="76">
        <f t="shared" si="6"/>
        <v>28.043462893248488</v>
      </c>
      <c r="G31" s="77">
        <f t="shared" si="7"/>
        <v>271.31146289324852</v>
      </c>
      <c r="H31" s="58">
        <f t="shared" si="2"/>
        <v>30.75</v>
      </c>
      <c r="I31" s="76">
        <f t="shared" si="3"/>
        <v>226.98699999999999</v>
      </c>
      <c r="J31" s="76">
        <f t="shared" si="8"/>
        <v>28.043462893248488</v>
      </c>
      <c r="K31" s="59">
        <f t="shared" si="9"/>
        <v>285.78046289324845</v>
      </c>
      <c r="L31" s="58">
        <f t="shared" si="4"/>
        <v>14.468999999999937</v>
      </c>
      <c r="M31" s="60">
        <f t="shared" si="5"/>
        <v>5.3329851402898441E-2</v>
      </c>
    </row>
    <row r="32" spans="2:13" ht="14.25" x14ac:dyDescent="0.2">
      <c r="B32" s="73">
        <v>25</v>
      </c>
      <c r="C32" s="74">
        <f t="shared" si="10"/>
        <v>2400</v>
      </c>
      <c r="D32" s="75">
        <f t="shared" si="0"/>
        <v>17.5</v>
      </c>
      <c r="E32" s="76">
        <f t="shared" si="1"/>
        <v>235.584</v>
      </c>
      <c r="F32" s="76">
        <f t="shared" si="6"/>
        <v>29.262743888607119</v>
      </c>
      <c r="G32" s="77">
        <f t="shared" si="7"/>
        <v>282.34674388860714</v>
      </c>
      <c r="H32" s="58">
        <f t="shared" si="2"/>
        <v>30.75</v>
      </c>
      <c r="I32" s="76">
        <f t="shared" si="3"/>
        <v>236.85599999999999</v>
      </c>
      <c r="J32" s="76">
        <f t="shared" si="8"/>
        <v>29.262743888607119</v>
      </c>
      <c r="K32" s="59">
        <f t="shared" si="9"/>
        <v>296.86874388860713</v>
      </c>
      <c r="L32" s="58">
        <f t="shared" si="4"/>
        <v>14.521999999999991</v>
      </c>
      <c r="M32" s="60">
        <f t="shared" si="5"/>
        <v>5.1433212226910906E-2</v>
      </c>
    </row>
    <row r="33" spans="2:13" ht="14.25" x14ac:dyDescent="0.2">
      <c r="B33" s="73">
        <v>26</v>
      </c>
      <c r="C33" s="74">
        <f t="shared" si="10"/>
        <v>2500</v>
      </c>
      <c r="D33" s="75">
        <f t="shared" si="0"/>
        <v>17.5</v>
      </c>
      <c r="E33" s="76">
        <f t="shared" si="1"/>
        <v>245.4</v>
      </c>
      <c r="F33" s="76">
        <f t="shared" si="6"/>
        <v>30.482024883965749</v>
      </c>
      <c r="G33" s="77">
        <f t="shared" si="7"/>
        <v>293.38202488396576</v>
      </c>
      <c r="H33" s="58">
        <f t="shared" si="2"/>
        <v>30.75</v>
      </c>
      <c r="I33" s="76">
        <f t="shared" si="3"/>
        <v>246.72499999999999</v>
      </c>
      <c r="J33" s="76">
        <f t="shared" si="8"/>
        <v>30.482024883965749</v>
      </c>
      <c r="K33" s="59">
        <f t="shared" si="9"/>
        <v>307.9570248839658</v>
      </c>
      <c r="L33" s="58">
        <f t="shared" si="4"/>
        <v>14.575000000000045</v>
      </c>
      <c r="M33" s="60">
        <f t="shared" si="5"/>
        <v>4.967925354583172E-2</v>
      </c>
    </row>
    <row r="34" spans="2:13" ht="14.25" x14ac:dyDescent="0.2">
      <c r="B34" s="73">
        <v>27</v>
      </c>
      <c r="C34" s="74">
        <f t="shared" si="10"/>
        <v>2600</v>
      </c>
      <c r="D34" s="75">
        <f t="shared" si="0"/>
        <v>17.5</v>
      </c>
      <c r="E34" s="76">
        <f t="shared" si="1"/>
        <v>255.21599999999998</v>
      </c>
      <c r="F34" s="76">
        <f t="shared" si="6"/>
        <v>31.701305879324376</v>
      </c>
      <c r="G34" s="77">
        <f t="shared" si="7"/>
        <v>304.41730587932437</v>
      </c>
      <c r="H34" s="58">
        <f t="shared" si="2"/>
        <v>30.75</v>
      </c>
      <c r="I34" s="76">
        <f t="shared" si="3"/>
        <v>256.59399999999999</v>
      </c>
      <c r="J34" s="76">
        <f t="shared" si="8"/>
        <v>31.701305879324376</v>
      </c>
      <c r="K34" s="59">
        <f t="shared" si="9"/>
        <v>319.04530587932436</v>
      </c>
      <c r="L34" s="58">
        <f t="shared" si="4"/>
        <v>14.627999999999986</v>
      </c>
      <c r="M34" s="60">
        <f t="shared" si="5"/>
        <v>4.8052458639781623E-2</v>
      </c>
    </row>
    <row r="35" spans="2:13" ht="14.25" x14ac:dyDescent="0.2">
      <c r="B35" s="73">
        <v>28</v>
      </c>
      <c r="C35" s="74">
        <f>C34+100</f>
        <v>2700</v>
      </c>
      <c r="D35" s="75">
        <f t="shared" si="0"/>
        <v>17.5</v>
      </c>
      <c r="E35" s="76">
        <f t="shared" si="1"/>
        <v>265.03199999999998</v>
      </c>
      <c r="F35" s="76">
        <f t="shared" si="6"/>
        <v>32.920586874683011</v>
      </c>
      <c r="G35" s="77">
        <f t="shared" si="7"/>
        <v>315.45258687468299</v>
      </c>
      <c r="H35" s="58">
        <f t="shared" si="2"/>
        <v>30.75</v>
      </c>
      <c r="I35" s="76">
        <f t="shared" si="3"/>
        <v>266.46300000000002</v>
      </c>
      <c r="J35" s="76">
        <f t="shared" si="8"/>
        <v>32.920586874683011</v>
      </c>
      <c r="K35" s="59">
        <f t="shared" si="9"/>
        <v>330.13358687468303</v>
      </c>
      <c r="L35" s="58">
        <f t="shared" si="4"/>
        <v>14.68100000000004</v>
      </c>
      <c r="M35" s="60">
        <f t="shared" si="5"/>
        <v>4.6539482035797122E-2</v>
      </c>
    </row>
    <row r="36" spans="2:13" ht="14.25" x14ac:dyDescent="0.2">
      <c r="B36" s="73">
        <v>29</v>
      </c>
      <c r="C36" s="74">
        <f t="shared" si="10"/>
        <v>2800</v>
      </c>
      <c r="D36" s="75">
        <f t="shared" si="0"/>
        <v>17.5</v>
      </c>
      <c r="E36" s="76">
        <f t="shared" si="1"/>
        <v>274.84800000000001</v>
      </c>
      <c r="F36" s="76">
        <f t="shared" si="6"/>
        <v>34.139867870041634</v>
      </c>
      <c r="G36" s="77">
        <f t="shared" si="7"/>
        <v>326.48786787004167</v>
      </c>
      <c r="H36" s="58">
        <f t="shared" si="2"/>
        <v>30.75</v>
      </c>
      <c r="I36" s="76">
        <f t="shared" si="3"/>
        <v>276.33199999999999</v>
      </c>
      <c r="J36" s="76">
        <f t="shared" si="8"/>
        <v>34.139867870041634</v>
      </c>
      <c r="K36" s="59">
        <f t="shared" si="9"/>
        <v>341.22186787004165</v>
      </c>
      <c r="L36" s="58">
        <f t="shared" si="4"/>
        <v>14.73399999999998</v>
      </c>
      <c r="M36" s="60">
        <f t="shared" si="5"/>
        <v>4.5128782567396476E-2</v>
      </c>
    </row>
    <row r="37" spans="2:13" ht="14.25" x14ac:dyDescent="0.2">
      <c r="B37" s="73">
        <v>30</v>
      </c>
      <c r="C37" s="74">
        <f t="shared" si="10"/>
        <v>2900</v>
      </c>
      <c r="D37" s="75">
        <f t="shared" si="0"/>
        <v>17.5</v>
      </c>
      <c r="E37" s="76">
        <f t="shared" si="1"/>
        <v>284.66399999999999</v>
      </c>
      <c r="F37" s="76">
        <f t="shared" si="6"/>
        <v>35.359148865400265</v>
      </c>
      <c r="G37" s="77">
        <f t="shared" si="7"/>
        <v>337.52314886540023</v>
      </c>
      <c r="H37" s="58">
        <f t="shared" si="2"/>
        <v>30.75</v>
      </c>
      <c r="I37" s="76">
        <f t="shared" si="3"/>
        <v>286.20100000000002</v>
      </c>
      <c r="J37" s="76">
        <f t="shared" si="8"/>
        <v>35.359148865400265</v>
      </c>
      <c r="K37" s="59">
        <f t="shared" si="9"/>
        <v>352.31014886540027</v>
      </c>
      <c r="L37" s="58">
        <f t="shared" si="4"/>
        <v>14.787000000000035</v>
      </c>
      <c r="M37" s="60">
        <f t="shared" si="5"/>
        <v>4.3810328416605565E-2</v>
      </c>
    </row>
    <row r="38" spans="2:13" ht="15" thickBot="1" x14ac:dyDescent="0.25">
      <c r="B38" s="83">
        <v>31</v>
      </c>
      <c r="C38" s="84">
        <f>C37+100</f>
        <v>3000</v>
      </c>
      <c r="D38" s="85">
        <f t="shared" si="0"/>
        <v>17.5</v>
      </c>
      <c r="E38" s="86">
        <f t="shared" si="1"/>
        <v>294.48</v>
      </c>
      <c r="F38" s="86">
        <f t="shared" si="6"/>
        <v>36.578429860758895</v>
      </c>
      <c r="G38" s="87">
        <f t="shared" si="7"/>
        <v>348.55842986075891</v>
      </c>
      <c r="H38" s="64">
        <f t="shared" si="2"/>
        <v>30.75</v>
      </c>
      <c r="I38" s="86">
        <f t="shared" si="3"/>
        <v>296.07</v>
      </c>
      <c r="J38" s="86">
        <f t="shared" si="8"/>
        <v>36.578429860758895</v>
      </c>
      <c r="K38" s="65">
        <f t="shared" si="9"/>
        <v>363.39842986075888</v>
      </c>
      <c r="L38" s="64">
        <f t="shared" si="4"/>
        <v>14.839999999999975</v>
      </c>
      <c r="M38" s="66">
        <f t="shared" si="5"/>
        <v>4.2575358185794603E-2</v>
      </c>
    </row>
    <row r="39" spans="2:13" ht="15" thickTop="1" x14ac:dyDescent="0.2">
      <c r="D39" s="76"/>
      <c r="E39" s="67"/>
      <c r="F39" s="67"/>
      <c r="G39" s="76"/>
      <c r="H39" s="88"/>
      <c r="I39" s="67"/>
      <c r="J39" s="67"/>
      <c r="K39" s="88"/>
      <c r="L39" s="88"/>
      <c r="M39" s="89"/>
    </row>
    <row r="40" spans="2:13" x14ac:dyDescent="0.2">
      <c r="B40" s="102" t="s">
        <v>82</v>
      </c>
      <c r="C40" s="101">
        <f>'Billing Detail'!E17</f>
        <v>993.47027302295703</v>
      </c>
      <c r="D40" s="70" t="s">
        <v>83</v>
      </c>
    </row>
  </sheetData>
  <mergeCells count="3">
    <mergeCell ref="D5:G5"/>
    <mergeCell ref="H5:K5"/>
    <mergeCell ref="L5:M5"/>
  </mergeCells>
  <printOptions horizontalCentered="1"/>
  <pageMargins left="1" right="0.75" top="0.75" bottom="0.75" header="0.3" footer="0.3"/>
  <pageSetup scale="81" orientation="landscape" r:id="rId1"/>
  <headerFooter>
    <oddFooter>&amp;RExhibit JW-9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Summary</vt:lpstr>
      <vt:lpstr>Billing Detail</vt:lpstr>
      <vt:lpstr>Incr-R</vt:lpstr>
      <vt:lpstr>'Billing Detail'!Print_Area</vt:lpstr>
      <vt:lpstr>'Incr-R'!Print_Area</vt:lpstr>
      <vt:lpstr>Summary!Print_Area</vt:lpstr>
      <vt:lpstr>'Billing Detail'!Print_Titles</vt:lpstr>
      <vt:lpstr>'Incr-R'!Print_Titles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2025-01-30T17:39:21Z</cp:lastPrinted>
  <dcterms:created xsi:type="dcterms:W3CDTF">2021-02-09T02:13:44Z</dcterms:created>
  <dcterms:modified xsi:type="dcterms:W3CDTF">2025-01-30T17:39:21Z</dcterms:modified>
</cp:coreProperties>
</file>