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South KY/2023 Rate Case No. 2024-00xxx/COSS and Rates/"/>
    </mc:Choice>
  </mc:AlternateContent>
  <xr:revisionPtr revIDLastSave="76" documentId="8_{04124A08-578C-4B15-8251-8C5A0031AD6C}" xr6:coauthVersionLast="47" xr6:coauthVersionMax="47" xr10:uidLastSave="{1CD9D44B-1307-4138-B6C9-41EA38C29E10}"/>
  <bookViews>
    <workbookView xWindow="-120" yWindow="-120" windowWidth="29040" windowHeight="15720" tabRatio="741" activeTab="5" xr2:uid="{00000000-000D-0000-FFFF-FFFF00000000}"/>
  </bookViews>
  <sheets>
    <sheet name="Summary of Returns" sheetId="4" r:id="rId1"/>
    <sheet name="Summary of Rates" sheetId="17" r:id="rId2"/>
    <sheet name="Func &amp; Classif" sheetId="1" r:id="rId3"/>
    <sheet name="Alloc &amp; Returns" sheetId="2" r:id="rId4"/>
    <sheet name="Billing Det" sheetId="15" r:id="rId5"/>
    <sheet name="Purchased Power" sheetId="16" r:id="rId6"/>
    <sheet name="Meters" sheetId="8" r:id="rId7"/>
    <sheet name="Services" sheetId="9" r:id="rId8"/>
    <sheet name="Line Loss Calculation" sheetId="10" state="hidden" r:id="rId9"/>
    <sheet name="ZeroInt" sheetId="18" r:id="rId10"/>
  </sheets>
  <definedNames>
    <definedName name="_xlnm.Print_Area" localSheetId="3">'Alloc &amp; Returns'!$A$1:$N$653</definedName>
    <definedName name="_xlnm.Print_Area" localSheetId="4">'Billing Det'!$A$1:$T$205</definedName>
    <definedName name="_xlnm.Print_Area" localSheetId="2">'Func &amp; Classif'!$A$1:$AA$487</definedName>
    <definedName name="_xlnm.Print_Area" localSheetId="6">Meters!$A$1:$G$32</definedName>
    <definedName name="_xlnm.Print_Area" localSheetId="5">'Purchased Power'!$A$1:$O$260</definedName>
    <definedName name="_xlnm.Print_Area" localSheetId="7">Services!$A$1:$G$33</definedName>
    <definedName name="_xlnm.Print_Area" localSheetId="1">'Summary of Rates'!$A$1:$G$16</definedName>
    <definedName name="_xlnm.Print_Area" localSheetId="0">'Summary of Returns'!$A$1:$I$49</definedName>
    <definedName name="_xlnm.Print_Titles" localSheetId="3">'Alloc &amp; Returns'!$A:$D,'Alloc &amp; Returns'!$1:$3</definedName>
    <definedName name="_xlnm.Print_Titles" localSheetId="4">'Billing Det'!$A:$B,'Billing Det'!$32:$36</definedName>
    <definedName name="_xlnm.Print_Titles" localSheetId="2">'Func &amp; Classif'!$A:$E,'Func &amp; Classif'!$1:$3</definedName>
    <definedName name="_xlnm.Print_Titles" localSheetId="5">'Purchased Power'!$1:$4</definedName>
    <definedName name="_xlnm.Print_Titles" localSheetId="9">ZeroInt!$1:$3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44" i="2" l="1"/>
  <c r="AG345" i="2"/>
  <c r="AG346" i="2"/>
  <c r="AG347" i="2"/>
  <c r="AG348" i="2"/>
  <c r="E345" i="2"/>
  <c r="F345" i="2" s="1"/>
  <c r="E346" i="2"/>
  <c r="F346" i="2" s="1"/>
  <c r="E347" i="2"/>
  <c r="F347" i="2"/>
  <c r="E348" i="2"/>
  <c r="F348" i="2"/>
  <c r="F344" i="2"/>
  <c r="E344" i="2"/>
  <c r="F349" i="2" l="1"/>
  <c r="AK358" i="2"/>
  <c r="E349" i="2" s="1"/>
  <c r="AI360" i="2" l="1"/>
  <c r="AI361" i="2" s="1"/>
  <c r="AI362" i="2" s="1"/>
  <c r="G343" i="2"/>
  <c r="H343" i="2"/>
  <c r="I343" i="2"/>
  <c r="F343" i="2"/>
  <c r="AT342" i="2"/>
  <c r="G342" i="2" s="1"/>
  <c r="J341" i="2"/>
  <c r="K341" i="2"/>
  <c r="L341" i="2"/>
  <c r="M341" i="2"/>
  <c r="AT341" i="2"/>
  <c r="N341" i="2" s="1"/>
  <c r="I362" i="2" l="1"/>
  <c r="G362" i="2"/>
  <c r="F362" i="2"/>
  <c r="H362" i="2"/>
  <c r="AI363" i="2"/>
  <c r="AI364" i="2" s="1"/>
  <c r="AI365" i="2" s="1"/>
  <c r="AI366" i="2" s="1"/>
  <c r="AI367" i="2" s="1"/>
  <c r="AI368" i="2" s="1"/>
  <c r="AI369" i="2" s="1"/>
  <c r="AI370" i="2" s="1"/>
  <c r="AI371" i="2" s="1"/>
  <c r="AI373" i="2" s="1"/>
  <c r="AI374" i="2" s="1"/>
  <c r="AI375" i="2" s="1"/>
  <c r="I341" i="2"/>
  <c r="H341" i="2"/>
  <c r="F341" i="2"/>
  <c r="G341" i="2"/>
  <c r="L342" i="2"/>
  <c r="N342" i="2"/>
  <c r="M342" i="2"/>
  <c r="J342" i="2"/>
  <c r="H342" i="2"/>
  <c r="F342" i="2"/>
  <c r="K342" i="2"/>
  <c r="I342" i="2"/>
  <c r="D307" i="16" l="1"/>
  <c r="E307" i="16"/>
  <c r="F307" i="16"/>
  <c r="G307" i="16"/>
  <c r="H307" i="16"/>
  <c r="I307" i="16"/>
  <c r="J307" i="16"/>
  <c r="K307" i="16"/>
  <c r="L307" i="16"/>
  <c r="M307" i="16"/>
  <c r="N307" i="16"/>
  <c r="O307" i="16"/>
  <c r="D308" i="16"/>
  <c r="E308" i="16"/>
  <c r="F308" i="16"/>
  <c r="G308" i="16"/>
  <c r="H308" i="16"/>
  <c r="I308" i="16"/>
  <c r="J308" i="16"/>
  <c r="K308" i="16"/>
  <c r="L308" i="16"/>
  <c r="M308" i="16"/>
  <c r="N308" i="16"/>
  <c r="O308" i="16"/>
  <c r="C308" i="16"/>
  <c r="C307" i="16"/>
  <c r="D296" i="16"/>
  <c r="E296" i="16"/>
  <c r="F296" i="16"/>
  <c r="G296" i="16"/>
  <c r="G298" i="16" s="1"/>
  <c r="H296" i="16"/>
  <c r="I296" i="16"/>
  <c r="J296" i="16"/>
  <c r="K296" i="16"/>
  <c r="L296" i="16"/>
  <c r="M296" i="16"/>
  <c r="N296" i="16"/>
  <c r="O296" i="16"/>
  <c r="D297" i="16"/>
  <c r="D298" i="16" s="1"/>
  <c r="E297" i="16"/>
  <c r="E298" i="16" s="1"/>
  <c r="F297" i="16"/>
  <c r="F298" i="16" s="1"/>
  <c r="G297" i="16"/>
  <c r="H297" i="16"/>
  <c r="I297" i="16"/>
  <c r="J297" i="16"/>
  <c r="K297" i="16"/>
  <c r="K298" i="16" s="1"/>
  <c r="L297" i="16"/>
  <c r="L298" i="16" s="1"/>
  <c r="M297" i="16"/>
  <c r="M298" i="16" s="1"/>
  <c r="N297" i="16"/>
  <c r="N298" i="16" s="1"/>
  <c r="O297" i="16"/>
  <c r="H298" i="16"/>
  <c r="I298" i="16"/>
  <c r="J298" i="16"/>
  <c r="O298" i="16"/>
  <c r="D299" i="16"/>
  <c r="D300" i="16" s="1"/>
  <c r="E299" i="16"/>
  <c r="E300" i="16" s="1"/>
  <c r="F299" i="16"/>
  <c r="F300" i="16" s="1"/>
  <c r="G299" i="16"/>
  <c r="H299" i="16"/>
  <c r="I299" i="16"/>
  <c r="J299" i="16"/>
  <c r="K299" i="16"/>
  <c r="K300" i="16" s="1"/>
  <c r="L299" i="16"/>
  <c r="L300" i="16" s="1"/>
  <c r="M299" i="16"/>
  <c r="M300" i="16" s="1"/>
  <c r="N299" i="16"/>
  <c r="N300" i="16" s="1"/>
  <c r="O299" i="16"/>
  <c r="H300" i="16"/>
  <c r="I300" i="16"/>
  <c r="J300" i="16"/>
  <c r="O300" i="16"/>
  <c r="C300" i="16"/>
  <c r="C299" i="16"/>
  <c r="D288" i="16"/>
  <c r="E288" i="16"/>
  <c r="F288" i="16"/>
  <c r="G288" i="16"/>
  <c r="G289" i="16" s="1"/>
  <c r="H288" i="16"/>
  <c r="H289" i="16" s="1"/>
  <c r="I288" i="16"/>
  <c r="I289" i="16" s="1"/>
  <c r="J288" i="16"/>
  <c r="J289" i="16" s="1"/>
  <c r="K288" i="16"/>
  <c r="L288" i="16"/>
  <c r="M288" i="16"/>
  <c r="N288" i="16"/>
  <c r="O288" i="16"/>
  <c r="O289" i="16" s="1"/>
  <c r="D289" i="16"/>
  <c r="E289" i="16"/>
  <c r="F289" i="16"/>
  <c r="K289" i="16"/>
  <c r="L289" i="16"/>
  <c r="M289" i="16"/>
  <c r="N289" i="16"/>
  <c r="C289" i="16"/>
  <c r="C288" i="16"/>
  <c r="D285" i="16"/>
  <c r="E285" i="16"/>
  <c r="F285" i="16"/>
  <c r="G285" i="16"/>
  <c r="H285" i="16"/>
  <c r="I285" i="16"/>
  <c r="I287" i="16" s="1"/>
  <c r="J285" i="16"/>
  <c r="J287" i="16" s="1"/>
  <c r="K285" i="16"/>
  <c r="K287" i="16" s="1"/>
  <c r="L285" i="16"/>
  <c r="M285" i="16"/>
  <c r="N285" i="16"/>
  <c r="D286" i="16"/>
  <c r="E286" i="16"/>
  <c r="E287" i="16" s="1"/>
  <c r="F286" i="16"/>
  <c r="F287" i="16" s="1"/>
  <c r="G286" i="16"/>
  <c r="G287" i="16" s="1"/>
  <c r="H286" i="16"/>
  <c r="I286" i="16"/>
  <c r="J286" i="16"/>
  <c r="K286" i="16"/>
  <c r="L286" i="16"/>
  <c r="M286" i="16"/>
  <c r="M287" i="16" s="1"/>
  <c r="N286" i="16"/>
  <c r="N287" i="16" s="1"/>
  <c r="D287" i="16"/>
  <c r="H287" i="16"/>
  <c r="L287" i="16"/>
  <c r="C297" i="16"/>
  <c r="C296" i="16"/>
  <c r="C298" i="16" s="1"/>
  <c r="C286" i="16"/>
  <c r="C287" i="16" s="1"/>
  <c r="C285" i="16"/>
  <c r="G300" i="16" l="1"/>
  <c r="D276" i="16" l="1"/>
  <c r="E276" i="16"/>
  <c r="F276" i="16"/>
  <c r="G276" i="16"/>
  <c r="H276" i="16"/>
  <c r="I276" i="16"/>
  <c r="J276" i="16"/>
  <c r="K276" i="16"/>
  <c r="L276" i="16"/>
  <c r="M276" i="16"/>
  <c r="N276" i="16"/>
  <c r="D277" i="16"/>
  <c r="D279" i="16" s="1"/>
  <c r="E277" i="16"/>
  <c r="F277" i="16"/>
  <c r="F279" i="16" s="1"/>
  <c r="G277" i="16"/>
  <c r="G279" i="16" s="1"/>
  <c r="H277" i="16"/>
  <c r="I277" i="16"/>
  <c r="J277" i="16"/>
  <c r="K277" i="16"/>
  <c r="K279" i="16" s="1"/>
  <c r="L277" i="16"/>
  <c r="L279" i="16" s="1"/>
  <c r="M277" i="16"/>
  <c r="N277" i="16"/>
  <c r="E279" i="16"/>
  <c r="H279" i="16"/>
  <c r="I279" i="16"/>
  <c r="J279" i="16"/>
  <c r="M279" i="16"/>
  <c r="N279" i="16"/>
  <c r="C277" i="16"/>
  <c r="C279" i="16" s="1"/>
  <c r="C276" i="16"/>
  <c r="D264" i="16" l="1"/>
  <c r="E264" i="16"/>
  <c r="F264" i="16"/>
  <c r="G264" i="16"/>
  <c r="H264" i="16"/>
  <c r="I264" i="16"/>
  <c r="J264" i="16"/>
  <c r="K264" i="16"/>
  <c r="L264" i="16"/>
  <c r="M264" i="16"/>
  <c r="N264" i="16"/>
  <c r="D265" i="16"/>
  <c r="E265" i="16"/>
  <c r="F265" i="16"/>
  <c r="G265" i="16"/>
  <c r="H265" i="16"/>
  <c r="I265" i="16"/>
  <c r="J265" i="16"/>
  <c r="K265" i="16"/>
  <c r="L265" i="16"/>
  <c r="M265" i="16"/>
  <c r="N265" i="16"/>
  <c r="C265" i="16"/>
  <c r="C264" i="16"/>
  <c r="D251" i="16" l="1"/>
  <c r="E251" i="16"/>
  <c r="F251" i="16"/>
  <c r="G251" i="16"/>
  <c r="H251" i="16"/>
  <c r="I251" i="16"/>
  <c r="I253" i="16" s="1"/>
  <c r="J251" i="16"/>
  <c r="J253" i="16" s="1"/>
  <c r="K251" i="16"/>
  <c r="L251" i="16"/>
  <c r="M251" i="16"/>
  <c r="N251" i="16"/>
  <c r="D252" i="16"/>
  <c r="E252" i="16"/>
  <c r="F252" i="16"/>
  <c r="F253" i="16" s="1"/>
  <c r="G252" i="16"/>
  <c r="G253" i="16" s="1"/>
  <c r="H252" i="16"/>
  <c r="I252" i="16"/>
  <c r="J252" i="16"/>
  <c r="K252" i="16"/>
  <c r="L252" i="16"/>
  <c r="M252" i="16"/>
  <c r="M253" i="16" s="1"/>
  <c r="N252" i="16"/>
  <c r="N253" i="16" s="1"/>
  <c r="C252" i="16"/>
  <c r="C251" i="16"/>
  <c r="D245" i="16"/>
  <c r="E245" i="16"/>
  <c r="F245" i="16"/>
  <c r="G245" i="16"/>
  <c r="H245" i="16"/>
  <c r="I245" i="16"/>
  <c r="J245" i="16"/>
  <c r="K245" i="16"/>
  <c r="L245" i="16"/>
  <c r="M245" i="16"/>
  <c r="N245" i="16"/>
  <c r="D246" i="16"/>
  <c r="E246" i="16"/>
  <c r="E247" i="16" s="1"/>
  <c r="F246" i="16"/>
  <c r="G246" i="16"/>
  <c r="H246" i="16"/>
  <c r="I246" i="16"/>
  <c r="J246" i="16"/>
  <c r="K246" i="16"/>
  <c r="L246" i="16"/>
  <c r="L247" i="16" s="1"/>
  <c r="M246" i="16"/>
  <c r="M247" i="16" s="1"/>
  <c r="N246" i="16"/>
  <c r="C246" i="16"/>
  <c r="C245" i="16"/>
  <c r="E253" i="16" l="1"/>
  <c r="K247" i="16"/>
  <c r="C247" i="16"/>
  <c r="H253" i="16"/>
  <c r="K253" i="16"/>
  <c r="L253" i="16"/>
  <c r="D253" i="16"/>
  <c r="J247" i="16"/>
  <c r="N247" i="16"/>
  <c r="F247" i="16"/>
  <c r="G247" i="16"/>
  <c r="D247" i="16"/>
  <c r="I247" i="16"/>
  <c r="H247" i="16"/>
  <c r="C253" i="16"/>
  <c r="A49" i="4" l="1"/>
  <c r="A26" i="4"/>
  <c r="M610" i="2"/>
  <c r="L610" i="2"/>
  <c r="K610" i="2"/>
  <c r="J610" i="2"/>
  <c r="H610" i="2"/>
  <c r="N146" i="15"/>
  <c r="F146" i="15"/>
  <c r="N144" i="15"/>
  <c r="M144" i="15"/>
  <c r="L144" i="15"/>
  <c r="K144" i="15"/>
  <c r="J144" i="15"/>
  <c r="I144" i="15"/>
  <c r="H144" i="15"/>
  <c r="G144" i="15"/>
  <c r="F144" i="15"/>
  <c r="E144" i="15"/>
  <c r="D144" i="15"/>
  <c r="C144" i="15"/>
  <c r="O142" i="15"/>
  <c r="N140" i="15"/>
  <c r="M140" i="15"/>
  <c r="M146" i="15" s="1"/>
  <c r="L140" i="15"/>
  <c r="L146" i="15" s="1"/>
  <c r="K140" i="15"/>
  <c r="K146" i="15" s="1"/>
  <c r="J140" i="15"/>
  <c r="J146" i="15" s="1"/>
  <c r="I140" i="15"/>
  <c r="I146" i="15" s="1"/>
  <c r="H140" i="15"/>
  <c r="H146" i="15" s="1"/>
  <c r="G140" i="15"/>
  <c r="G146" i="15" s="1"/>
  <c r="F140" i="15"/>
  <c r="E140" i="15"/>
  <c r="E146" i="15" s="1"/>
  <c r="D140" i="15"/>
  <c r="D146" i="15" s="1"/>
  <c r="C140" i="15"/>
  <c r="C146" i="15" s="1"/>
  <c r="O139" i="15"/>
  <c r="O140" i="15" s="1"/>
  <c r="H136" i="15"/>
  <c r="G136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O132" i="15"/>
  <c r="N130" i="15"/>
  <c r="N136" i="15" s="1"/>
  <c r="M130" i="15"/>
  <c r="M136" i="15" s="1"/>
  <c r="L130" i="15"/>
  <c r="L136" i="15" s="1"/>
  <c r="K130" i="15"/>
  <c r="K136" i="15" s="1"/>
  <c r="J130" i="15"/>
  <c r="J136" i="15" s="1"/>
  <c r="I130" i="15"/>
  <c r="I136" i="15" s="1"/>
  <c r="H130" i="15"/>
  <c r="G130" i="15"/>
  <c r="F130" i="15"/>
  <c r="F136" i="15" s="1"/>
  <c r="E130" i="15"/>
  <c r="E136" i="15" s="1"/>
  <c r="D130" i="15"/>
  <c r="D136" i="15" s="1"/>
  <c r="C130" i="15"/>
  <c r="C136" i="15" s="1"/>
  <c r="O129" i="15"/>
  <c r="O130" i="15" s="1"/>
  <c r="H126" i="15"/>
  <c r="F126" i="15"/>
  <c r="N120" i="15"/>
  <c r="N122" i="15" s="1"/>
  <c r="N124" i="15" s="1"/>
  <c r="M120" i="15"/>
  <c r="M126" i="15" s="1"/>
  <c r="L120" i="15"/>
  <c r="L126" i="15" s="1"/>
  <c r="K120" i="15"/>
  <c r="K126" i="15" s="1"/>
  <c r="J120" i="15"/>
  <c r="J122" i="15" s="1"/>
  <c r="J124" i="15" s="1"/>
  <c r="I120" i="15"/>
  <c r="I126" i="15" s="1"/>
  <c r="H120" i="15"/>
  <c r="H122" i="15" s="1"/>
  <c r="H124" i="15" s="1"/>
  <c r="G120" i="15"/>
  <c r="G126" i="15" s="1"/>
  <c r="F120" i="15"/>
  <c r="F122" i="15" s="1"/>
  <c r="F124" i="15" s="1"/>
  <c r="E120" i="15"/>
  <c r="E126" i="15" s="1"/>
  <c r="D120" i="15"/>
  <c r="D126" i="15" s="1"/>
  <c r="C120" i="15"/>
  <c r="C126" i="15" s="1"/>
  <c r="F115" i="15"/>
  <c r="D111" i="15"/>
  <c r="E111" i="15" s="1"/>
  <c r="F111" i="15" s="1"/>
  <c r="N110" i="15"/>
  <c r="N115" i="15" s="1"/>
  <c r="M110" i="15"/>
  <c r="M115" i="15" s="1"/>
  <c r="L110" i="15"/>
  <c r="L115" i="15" s="1"/>
  <c r="K110" i="15"/>
  <c r="K115" i="15" s="1"/>
  <c r="J110" i="15"/>
  <c r="J115" i="15" s="1"/>
  <c r="I110" i="15"/>
  <c r="I115" i="15" s="1"/>
  <c r="H110" i="15"/>
  <c r="H115" i="15" s="1"/>
  <c r="G110" i="15"/>
  <c r="G115" i="15" s="1"/>
  <c r="F110" i="15"/>
  <c r="E110" i="15"/>
  <c r="E115" i="15" s="1"/>
  <c r="D110" i="15"/>
  <c r="D115" i="15" s="1"/>
  <c r="C110" i="15"/>
  <c r="C115" i="15" s="1"/>
  <c r="N103" i="15"/>
  <c r="M103" i="15"/>
  <c r="L103" i="15"/>
  <c r="K103" i="15"/>
  <c r="D103" i="15"/>
  <c r="C103" i="15"/>
  <c r="E101" i="15"/>
  <c r="F101" i="15" s="1"/>
  <c r="G101" i="15" s="1"/>
  <c r="D101" i="15"/>
  <c r="N100" i="15"/>
  <c r="M100" i="15"/>
  <c r="M105" i="15" s="1"/>
  <c r="L100" i="15"/>
  <c r="K100" i="15"/>
  <c r="K105" i="15" s="1"/>
  <c r="J100" i="15"/>
  <c r="I100" i="15"/>
  <c r="I105" i="15" s="1"/>
  <c r="H100" i="15"/>
  <c r="H105" i="15" s="1"/>
  <c r="G100" i="15"/>
  <c r="G105" i="15" s="1"/>
  <c r="F100" i="15"/>
  <c r="E100" i="15"/>
  <c r="E102" i="15" s="1"/>
  <c r="E104" i="15" s="1"/>
  <c r="D100" i="15"/>
  <c r="D102" i="15" s="1"/>
  <c r="D104" i="15" s="1"/>
  <c r="C100" i="15"/>
  <c r="C102" i="15" s="1"/>
  <c r="C104" i="15" s="1"/>
  <c r="E93" i="15"/>
  <c r="F93" i="15" s="1"/>
  <c r="G93" i="15" s="1"/>
  <c r="H93" i="15" s="1"/>
  <c r="I93" i="15" s="1"/>
  <c r="J93" i="15" s="1"/>
  <c r="K93" i="15" s="1"/>
  <c r="L93" i="15" s="1"/>
  <c r="M93" i="15" s="1"/>
  <c r="N93" i="15" s="1"/>
  <c r="D93" i="15"/>
  <c r="K92" i="15"/>
  <c r="K94" i="15" s="1"/>
  <c r="N90" i="15"/>
  <c r="N95" i="15" s="1"/>
  <c r="M90" i="15"/>
  <c r="M95" i="15" s="1"/>
  <c r="L90" i="15"/>
  <c r="L95" i="15" s="1"/>
  <c r="K90" i="15"/>
  <c r="K95" i="15" s="1"/>
  <c r="J90" i="15"/>
  <c r="J95" i="15" s="1"/>
  <c r="I90" i="15"/>
  <c r="I92" i="15" s="1"/>
  <c r="I94" i="15" s="1"/>
  <c r="H90" i="15"/>
  <c r="H92" i="15" s="1"/>
  <c r="H94" i="15" s="1"/>
  <c r="G90" i="15"/>
  <c r="G92" i="15" s="1"/>
  <c r="F90" i="15"/>
  <c r="F95" i="15" s="1"/>
  <c r="E90" i="15"/>
  <c r="E92" i="15" s="1"/>
  <c r="E94" i="15" s="1"/>
  <c r="D90" i="15"/>
  <c r="D95" i="15" s="1"/>
  <c r="C90" i="15"/>
  <c r="C95" i="15" s="1"/>
  <c r="D83" i="15"/>
  <c r="E83" i="15" s="1"/>
  <c r="F83" i="15" s="1"/>
  <c r="G83" i="15" s="1"/>
  <c r="H83" i="15" s="1"/>
  <c r="I83" i="15" s="1"/>
  <c r="J83" i="15" s="1"/>
  <c r="K83" i="15" s="1"/>
  <c r="L83" i="15" s="1"/>
  <c r="M83" i="15" s="1"/>
  <c r="N83" i="15" s="1"/>
  <c r="D81" i="15"/>
  <c r="E81" i="15" s="1"/>
  <c r="F81" i="15" s="1"/>
  <c r="N80" i="15"/>
  <c r="N85" i="15" s="1"/>
  <c r="M80" i="15"/>
  <c r="M85" i="15" s="1"/>
  <c r="L80" i="15"/>
  <c r="L85" i="15" s="1"/>
  <c r="K80" i="15"/>
  <c r="K85" i="15" s="1"/>
  <c r="J80" i="15"/>
  <c r="I80" i="15"/>
  <c r="I85" i="15" s="1"/>
  <c r="H80" i="15"/>
  <c r="H85" i="15" s="1"/>
  <c r="G80" i="15"/>
  <c r="G85" i="15" s="1"/>
  <c r="F80" i="15"/>
  <c r="F85" i="15" s="1"/>
  <c r="E80" i="15"/>
  <c r="E85" i="15" s="1"/>
  <c r="D80" i="15"/>
  <c r="D82" i="15" s="1"/>
  <c r="D84" i="15" s="1"/>
  <c r="C80" i="15"/>
  <c r="C85" i="15" s="1"/>
  <c r="D73" i="15"/>
  <c r="E73" i="15" s="1"/>
  <c r="F73" i="15" s="1"/>
  <c r="N70" i="15"/>
  <c r="N72" i="15" s="1"/>
  <c r="M70" i="15"/>
  <c r="M75" i="15" s="1"/>
  <c r="L70" i="15"/>
  <c r="L75" i="15" s="1"/>
  <c r="K70" i="15"/>
  <c r="K75" i="15" s="1"/>
  <c r="J70" i="15"/>
  <c r="J72" i="15" s="1"/>
  <c r="I70" i="15"/>
  <c r="I72" i="15" s="1"/>
  <c r="H70" i="15"/>
  <c r="H72" i="15" s="1"/>
  <c r="G70" i="15"/>
  <c r="G75" i="15" s="1"/>
  <c r="F70" i="15"/>
  <c r="F72" i="15" s="1"/>
  <c r="E70" i="15"/>
  <c r="E75" i="15" s="1"/>
  <c r="D70" i="15"/>
  <c r="D75" i="15" s="1"/>
  <c r="C70" i="15"/>
  <c r="C75" i="15" s="1"/>
  <c r="D61" i="15"/>
  <c r="E61" i="15" s="1"/>
  <c r="F61" i="15" s="1"/>
  <c r="N60" i="15"/>
  <c r="N65" i="15" s="1"/>
  <c r="M60" i="15"/>
  <c r="M65" i="15" s="1"/>
  <c r="L60" i="15"/>
  <c r="L65" i="15" s="1"/>
  <c r="K60" i="15"/>
  <c r="K65" i="15" s="1"/>
  <c r="J60" i="15"/>
  <c r="J65" i="15" s="1"/>
  <c r="I60" i="15"/>
  <c r="I65" i="15" s="1"/>
  <c r="H60" i="15"/>
  <c r="H65" i="15" s="1"/>
  <c r="G60" i="15"/>
  <c r="G65" i="15" s="1"/>
  <c r="F60" i="15"/>
  <c r="F65" i="15" s="1"/>
  <c r="E60" i="15"/>
  <c r="E65" i="15" s="1"/>
  <c r="D60" i="15"/>
  <c r="D65" i="15" s="1"/>
  <c r="C60" i="15"/>
  <c r="C65" i="15" s="1"/>
  <c r="E55" i="15"/>
  <c r="F55" i="15" s="1"/>
  <c r="G55" i="15" s="1"/>
  <c r="H55" i="15" s="1"/>
  <c r="I55" i="15" s="1"/>
  <c r="J55" i="15" s="1"/>
  <c r="K55" i="15" s="1"/>
  <c r="L55" i="15" s="1"/>
  <c r="M55" i="15" s="1"/>
  <c r="N55" i="15" s="1"/>
  <c r="D55" i="15"/>
  <c r="E10" i="8"/>
  <c r="E11" i="8" s="1"/>
  <c r="E7" i="9"/>
  <c r="G10" i="17"/>
  <c r="G9" i="17"/>
  <c r="O610" i="2"/>
  <c r="N126" i="15" l="1"/>
  <c r="C105" i="15"/>
  <c r="L72" i="15"/>
  <c r="F75" i="15"/>
  <c r="E105" i="15"/>
  <c r="M92" i="15"/>
  <c r="M94" i="15" s="1"/>
  <c r="E95" i="15"/>
  <c r="C92" i="15"/>
  <c r="C94" i="15" s="1"/>
  <c r="H95" i="15"/>
  <c r="C82" i="15"/>
  <c r="C84" i="15" s="1"/>
  <c r="D85" i="15"/>
  <c r="I75" i="15"/>
  <c r="D72" i="15"/>
  <c r="D74" i="15" s="1"/>
  <c r="J75" i="15"/>
  <c r="N75" i="15"/>
  <c r="O134" i="15"/>
  <c r="O144" i="15"/>
  <c r="O146" i="15"/>
  <c r="O136" i="15"/>
  <c r="H101" i="15"/>
  <c r="I101" i="15" s="1"/>
  <c r="G102" i="15"/>
  <c r="G104" i="15" s="1"/>
  <c r="G111" i="15"/>
  <c r="H111" i="15" s="1"/>
  <c r="F112" i="15"/>
  <c r="F114" i="15" s="1"/>
  <c r="F102" i="15"/>
  <c r="F104" i="15" s="1"/>
  <c r="J105" i="15"/>
  <c r="G112" i="15"/>
  <c r="G114" i="15" s="1"/>
  <c r="G122" i="15"/>
  <c r="G124" i="15" s="1"/>
  <c r="D105" i="15"/>
  <c r="L105" i="15"/>
  <c r="I122" i="15"/>
  <c r="I124" i="15" s="1"/>
  <c r="J126" i="15"/>
  <c r="F105" i="15"/>
  <c r="N105" i="15"/>
  <c r="C112" i="15"/>
  <c r="C114" i="15" s="1"/>
  <c r="C122" i="15"/>
  <c r="C124" i="15" s="1"/>
  <c r="K122" i="15"/>
  <c r="K124" i="15" s="1"/>
  <c r="D112" i="15"/>
  <c r="D114" i="15" s="1"/>
  <c r="D122" i="15"/>
  <c r="D124" i="15" s="1"/>
  <c r="L122" i="15"/>
  <c r="L124" i="15" s="1"/>
  <c r="E112" i="15"/>
  <c r="E114" i="15" s="1"/>
  <c r="E122" i="15"/>
  <c r="E124" i="15" s="1"/>
  <c r="M122" i="15"/>
  <c r="M124" i="15" s="1"/>
  <c r="G73" i="15"/>
  <c r="H73" i="15" s="1"/>
  <c r="I73" i="15" s="1"/>
  <c r="J73" i="15" s="1"/>
  <c r="K73" i="15" s="1"/>
  <c r="L73" i="15" s="1"/>
  <c r="M73" i="15" s="1"/>
  <c r="N73" i="15" s="1"/>
  <c r="N74" i="15" s="1"/>
  <c r="F74" i="15"/>
  <c r="J74" i="15"/>
  <c r="H74" i="15"/>
  <c r="F82" i="15"/>
  <c r="F84" i="15" s="1"/>
  <c r="G81" i="15"/>
  <c r="I74" i="15"/>
  <c r="G94" i="15"/>
  <c r="C72" i="15"/>
  <c r="C74" i="15" s="1"/>
  <c r="K72" i="15"/>
  <c r="K74" i="15" s="1"/>
  <c r="H75" i="15"/>
  <c r="E82" i="15"/>
  <c r="E84" i="15" s="1"/>
  <c r="J85" i="15"/>
  <c r="J92" i="15"/>
  <c r="J94" i="15" s="1"/>
  <c r="G95" i="15"/>
  <c r="E72" i="15"/>
  <c r="E74" i="15" s="1"/>
  <c r="M72" i="15"/>
  <c r="M74" i="15" s="1"/>
  <c r="D92" i="15"/>
  <c r="D94" i="15" s="1"/>
  <c r="L92" i="15"/>
  <c r="L94" i="15" s="1"/>
  <c r="I95" i="15"/>
  <c r="G72" i="15"/>
  <c r="G74" i="15" s="1"/>
  <c r="F92" i="15"/>
  <c r="F94" i="15" s="1"/>
  <c r="N92" i="15"/>
  <c r="N94" i="15" s="1"/>
  <c r="G61" i="15"/>
  <c r="H61" i="15" s="1"/>
  <c r="F62" i="15"/>
  <c r="F64" i="15" s="1"/>
  <c r="G62" i="15"/>
  <c r="G64" i="15" s="1"/>
  <c r="C62" i="15"/>
  <c r="C64" i="15" s="1"/>
  <c r="D62" i="15"/>
  <c r="D64" i="15" s="1"/>
  <c r="E62" i="15"/>
  <c r="E64" i="15" s="1"/>
  <c r="J101" i="15" l="1"/>
  <c r="I102" i="15"/>
  <c r="I104" i="15" s="1"/>
  <c r="I111" i="15"/>
  <c r="H112" i="15"/>
  <c r="H114" i="15" s="1"/>
  <c r="H102" i="15"/>
  <c r="H104" i="15" s="1"/>
  <c r="L74" i="15"/>
  <c r="H81" i="15"/>
  <c r="G82" i="15"/>
  <c r="G84" i="15" s="1"/>
  <c r="I61" i="15"/>
  <c r="H62" i="15"/>
  <c r="H64" i="15" s="1"/>
  <c r="K101" i="15" l="1"/>
  <c r="J102" i="15"/>
  <c r="J104" i="15" s="1"/>
  <c r="J111" i="15"/>
  <c r="I112" i="15"/>
  <c r="I114" i="15" s="1"/>
  <c r="H82" i="15"/>
  <c r="H84" i="15" s="1"/>
  <c r="I81" i="15"/>
  <c r="J61" i="15"/>
  <c r="I62" i="15"/>
  <c r="I64" i="15" s="1"/>
  <c r="K102" i="15" l="1"/>
  <c r="K104" i="15" s="1"/>
  <c r="L101" i="15"/>
  <c r="J112" i="15"/>
  <c r="J114" i="15" s="1"/>
  <c r="K111" i="15"/>
  <c r="J81" i="15"/>
  <c r="I82" i="15"/>
  <c r="I84" i="15" s="1"/>
  <c r="J62" i="15"/>
  <c r="J64" i="15" s="1"/>
  <c r="K61" i="15"/>
  <c r="L111" i="15" l="1"/>
  <c r="K112" i="15"/>
  <c r="K114" i="15" s="1"/>
  <c r="M101" i="15"/>
  <c r="L102" i="15"/>
  <c r="L104" i="15" s="1"/>
  <c r="K81" i="15"/>
  <c r="J82" i="15"/>
  <c r="J84" i="15" s="1"/>
  <c r="L61" i="15"/>
  <c r="K62" i="15"/>
  <c r="K64" i="15" s="1"/>
  <c r="N101" i="15" l="1"/>
  <c r="N102" i="15" s="1"/>
  <c r="N104" i="15" s="1"/>
  <c r="M102" i="15"/>
  <c r="M104" i="15" s="1"/>
  <c r="M111" i="15"/>
  <c r="L112" i="15"/>
  <c r="L114" i="15" s="1"/>
  <c r="K82" i="15"/>
  <c r="K84" i="15" s="1"/>
  <c r="L81" i="15"/>
  <c r="M61" i="15"/>
  <c r="L62" i="15"/>
  <c r="L64" i="15" s="1"/>
  <c r="N111" i="15" l="1"/>
  <c r="N112" i="15" s="1"/>
  <c r="N114" i="15" s="1"/>
  <c r="M112" i="15"/>
  <c r="M114" i="15" s="1"/>
  <c r="M81" i="15"/>
  <c r="L82" i="15"/>
  <c r="L84" i="15" s="1"/>
  <c r="N61" i="15"/>
  <c r="N62" i="15" s="1"/>
  <c r="N64" i="15" s="1"/>
  <c r="M62" i="15"/>
  <c r="M64" i="15" s="1"/>
  <c r="N81" i="15" l="1"/>
  <c r="N82" i="15" s="1"/>
  <c r="N84" i="15" s="1"/>
  <c r="M82" i="15"/>
  <c r="M84" i="15" s="1"/>
  <c r="D225" i="16" l="1"/>
  <c r="E225" i="16"/>
  <c r="F225" i="16"/>
  <c r="G225" i="16"/>
  <c r="H225" i="16"/>
  <c r="I225" i="16"/>
  <c r="J225" i="16"/>
  <c r="K225" i="16"/>
  <c r="L225" i="16"/>
  <c r="M225" i="16"/>
  <c r="N225" i="16"/>
  <c r="D226" i="16"/>
  <c r="E226" i="16"/>
  <c r="F226" i="16"/>
  <c r="F227" i="16" s="1"/>
  <c r="G226" i="16"/>
  <c r="H226" i="16"/>
  <c r="I226" i="16"/>
  <c r="J226" i="16"/>
  <c r="K226" i="16"/>
  <c r="L226" i="16"/>
  <c r="M226" i="16"/>
  <c r="N226" i="16"/>
  <c r="N227" i="16" s="1"/>
  <c r="C226" i="16"/>
  <c r="C225" i="16"/>
  <c r="D219" i="16"/>
  <c r="E219" i="16"/>
  <c r="F219" i="16"/>
  <c r="G219" i="16"/>
  <c r="H219" i="16"/>
  <c r="I219" i="16"/>
  <c r="J219" i="16"/>
  <c r="K219" i="16"/>
  <c r="L219" i="16"/>
  <c r="M219" i="16"/>
  <c r="N219" i="16"/>
  <c r="D220" i="16"/>
  <c r="E220" i="16"/>
  <c r="F220" i="16"/>
  <c r="G220" i="16"/>
  <c r="H220" i="16"/>
  <c r="H232" i="16" s="1"/>
  <c r="I220" i="16"/>
  <c r="J220" i="16"/>
  <c r="K220" i="16"/>
  <c r="L220" i="16"/>
  <c r="M220" i="16"/>
  <c r="M221" i="16" s="1"/>
  <c r="N220" i="16"/>
  <c r="C220" i="16"/>
  <c r="C219" i="16"/>
  <c r="D213" i="16"/>
  <c r="E213" i="16"/>
  <c r="F213" i="16"/>
  <c r="G213" i="16"/>
  <c r="H213" i="16"/>
  <c r="I213" i="16"/>
  <c r="J213" i="16"/>
  <c r="K213" i="16"/>
  <c r="L213" i="16"/>
  <c r="M213" i="16"/>
  <c r="N213" i="16"/>
  <c r="D214" i="16"/>
  <c r="E214" i="16"/>
  <c r="F214" i="16"/>
  <c r="F215" i="16" s="1"/>
  <c r="G214" i="16"/>
  <c r="H214" i="16"/>
  <c r="I214" i="16"/>
  <c r="J214" i="16"/>
  <c r="K214" i="16"/>
  <c r="L214" i="16"/>
  <c r="M214" i="16"/>
  <c r="N214" i="16"/>
  <c r="N215" i="16" s="1"/>
  <c r="J215" i="16"/>
  <c r="C214" i="16"/>
  <c r="C213" i="16"/>
  <c r="C231" i="16" l="1"/>
  <c r="H238" i="16"/>
  <c r="H258" i="16" s="1"/>
  <c r="H215" i="16"/>
  <c r="M232" i="16"/>
  <c r="M238" i="16" s="1"/>
  <c r="M258" i="16" s="1"/>
  <c r="H231" i="16"/>
  <c r="H237" i="16" s="1"/>
  <c r="J231" i="16"/>
  <c r="J237" i="16" s="1"/>
  <c r="J257" i="16" s="1"/>
  <c r="L221" i="16"/>
  <c r="D221" i="16"/>
  <c r="K231" i="16"/>
  <c r="K237" i="16" s="1"/>
  <c r="K257" i="16" s="1"/>
  <c r="N221" i="16"/>
  <c r="L215" i="16"/>
  <c r="D215" i="16"/>
  <c r="J227" i="16"/>
  <c r="M231" i="16"/>
  <c r="M233" i="16" s="1"/>
  <c r="I232" i="16"/>
  <c r="I238" i="16" s="1"/>
  <c r="I258" i="16" s="1"/>
  <c r="L231" i="16"/>
  <c r="L237" i="16" s="1"/>
  <c r="L257" i="16" s="1"/>
  <c r="D231" i="16"/>
  <c r="M227" i="16"/>
  <c r="G232" i="16"/>
  <c r="G238" i="16" s="1"/>
  <c r="G258" i="16" s="1"/>
  <c r="C227" i="16"/>
  <c r="C215" i="16"/>
  <c r="M215" i="16"/>
  <c r="I231" i="16"/>
  <c r="I237" i="16" s="1"/>
  <c r="H221" i="16"/>
  <c r="I215" i="16"/>
  <c r="F221" i="16"/>
  <c r="K215" i="16"/>
  <c r="J221" i="16"/>
  <c r="L227" i="16"/>
  <c r="D227" i="16"/>
  <c r="G231" i="16"/>
  <c r="K221" i="16"/>
  <c r="E227" i="16"/>
  <c r="G215" i="16"/>
  <c r="I221" i="16"/>
  <c r="K232" i="16"/>
  <c r="K238" i="16" s="1"/>
  <c r="N231" i="16"/>
  <c r="N237" i="16" s="1"/>
  <c r="N257" i="16" s="1"/>
  <c r="F231" i="16"/>
  <c r="F237" i="16" s="1"/>
  <c r="F257" i="16" s="1"/>
  <c r="D237" i="16"/>
  <c r="D257" i="16" s="1"/>
  <c r="C237" i="16"/>
  <c r="C257" i="16" s="1"/>
  <c r="J232" i="16"/>
  <c r="I227" i="16"/>
  <c r="H227" i="16"/>
  <c r="N232" i="16"/>
  <c r="F232" i="16"/>
  <c r="G221" i="16"/>
  <c r="D232" i="16"/>
  <c r="D238" i="16" s="1"/>
  <c r="D258" i="16" s="1"/>
  <c r="G227" i="16"/>
  <c r="K227" i="16"/>
  <c r="L232" i="16"/>
  <c r="L238" i="16" s="1"/>
  <c r="L258" i="16" s="1"/>
  <c r="E232" i="16"/>
  <c r="E238" i="16" s="1"/>
  <c r="E258" i="16" s="1"/>
  <c r="C232" i="16"/>
  <c r="C238" i="16" s="1"/>
  <c r="C258" i="16" s="1"/>
  <c r="E215" i="16"/>
  <c r="E221" i="16"/>
  <c r="E231" i="16"/>
  <c r="C221" i="16"/>
  <c r="O48" i="16"/>
  <c r="O49" i="16"/>
  <c r="O50" i="16"/>
  <c r="O51" i="16"/>
  <c r="O285" i="16" s="1"/>
  <c r="O52" i="16"/>
  <c r="O53" i="16"/>
  <c r="O54" i="16"/>
  <c r="O55" i="16"/>
  <c r="O56" i="16"/>
  <c r="O57" i="16"/>
  <c r="O93" i="16"/>
  <c r="O94" i="16"/>
  <c r="O95" i="16"/>
  <c r="O96" i="16"/>
  <c r="O97" i="16"/>
  <c r="O98" i="16"/>
  <c r="O99" i="16"/>
  <c r="O100" i="16"/>
  <c r="O101" i="16"/>
  <c r="O102" i="16"/>
  <c r="O103" i="16"/>
  <c r="O158" i="16"/>
  <c r="O159" i="16"/>
  <c r="O160" i="16"/>
  <c r="O161" i="16"/>
  <c r="O162" i="16"/>
  <c r="O163" i="16"/>
  <c r="O164" i="16"/>
  <c r="O165" i="16"/>
  <c r="O166" i="16"/>
  <c r="O167" i="16"/>
  <c r="O168" i="16"/>
  <c r="O60" i="16"/>
  <c r="O61" i="16"/>
  <c r="O62" i="16"/>
  <c r="O63" i="16"/>
  <c r="O64" i="16"/>
  <c r="O65" i="16"/>
  <c r="O66" i="16"/>
  <c r="O67" i="16"/>
  <c r="O68" i="16"/>
  <c r="O69" i="16"/>
  <c r="O70" i="16"/>
  <c r="O106" i="16"/>
  <c r="O107" i="16"/>
  <c r="O108" i="16"/>
  <c r="O109" i="16"/>
  <c r="O110" i="16"/>
  <c r="O111" i="16"/>
  <c r="O112" i="16"/>
  <c r="O113" i="16"/>
  <c r="O114" i="16"/>
  <c r="O115" i="16"/>
  <c r="O116" i="16"/>
  <c r="O119" i="16"/>
  <c r="O120" i="16"/>
  <c r="O121" i="16"/>
  <c r="O122" i="16"/>
  <c r="O123" i="16"/>
  <c r="O124" i="16"/>
  <c r="O125" i="16"/>
  <c r="O126" i="16"/>
  <c r="O127" i="16"/>
  <c r="O128" i="16"/>
  <c r="O129" i="16"/>
  <c r="O132" i="16"/>
  <c r="O133" i="16"/>
  <c r="O134" i="16"/>
  <c r="O135" i="16"/>
  <c r="O136" i="16"/>
  <c r="O137" i="16"/>
  <c r="O138" i="16"/>
  <c r="O139" i="16"/>
  <c r="O140" i="16"/>
  <c r="O141" i="16"/>
  <c r="O142" i="16"/>
  <c r="O145" i="16"/>
  <c r="O146" i="16"/>
  <c r="O147" i="16"/>
  <c r="O148" i="16"/>
  <c r="O149" i="16"/>
  <c r="O150" i="16"/>
  <c r="O151" i="16"/>
  <c r="O152" i="16"/>
  <c r="O153" i="16"/>
  <c r="O154" i="16"/>
  <c r="O155" i="16"/>
  <c r="O171" i="16"/>
  <c r="O172" i="16"/>
  <c r="O173" i="16"/>
  <c r="O174" i="16"/>
  <c r="O175" i="16"/>
  <c r="O176" i="16"/>
  <c r="O177" i="16"/>
  <c r="O178" i="16"/>
  <c r="O179" i="16"/>
  <c r="O180" i="16"/>
  <c r="O181" i="16"/>
  <c r="O184" i="16"/>
  <c r="O185" i="16"/>
  <c r="O186" i="16"/>
  <c r="O187" i="16"/>
  <c r="O188" i="16"/>
  <c r="O189" i="16"/>
  <c r="O190" i="16"/>
  <c r="O191" i="16"/>
  <c r="O192" i="16"/>
  <c r="O193" i="16"/>
  <c r="O194" i="16"/>
  <c r="O197" i="16"/>
  <c r="O198" i="16"/>
  <c r="O199" i="16"/>
  <c r="O200" i="16"/>
  <c r="O201" i="16"/>
  <c r="O202" i="16"/>
  <c r="O203" i="16"/>
  <c r="O204" i="16"/>
  <c r="O205" i="16"/>
  <c r="O206" i="16"/>
  <c r="O207" i="16"/>
  <c r="O73" i="16"/>
  <c r="O74" i="16"/>
  <c r="O75" i="16"/>
  <c r="O76" i="16"/>
  <c r="O77" i="16"/>
  <c r="O78" i="16"/>
  <c r="O79" i="16"/>
  <c r="O80" i="16"/>
  <c r="O81" i="16"/>
  <c r="O276" i="16" s="1"/>
  <c r="O82" i="16"/>
  <c r="O277" i="16" s="1"/>
  <c r="O279" i="16" s="1"/>
  <c r="O83" i="16"/>
  <c r="O84" i="16"/>
  <c r="O85" i="16"/>
  <c r="O86" i="16"/>
  <c r="O87" i="16"/>
  <c r="O89" i="16"/>
  <c r="O90" i="16"/>
  <c r="O47" i="16"/>
  <c r="O286" i="16" s="1"/>
  <c r="D58" i="16"/>
  <c r="E58" i="16"/>
  <c r="F58" i="16"/>
  <c r="G58" i="16"/>
  <c r="H58" i="16"/>
  <c r="I58" i="16"/>
  <c r="J58" i="16"/>
  <c r="K58" i="16"/>
  <c r="L58" i="16"/>
  <c r="M58" i="16"/>
  <c r="N58" i="16"/>
  <c r="D104" i="16"/>
  <c r="D248" i="16" s="1"/>
  <c r="E104" i="16"/>
  <c r="E248" i="16" s="1"/>
  <c r="F104" i="16"/>
  <c r="F248" i="16" s="1"/>
  <c r="G104" i="16"/>
  <c r="G248" i="16" s="1"/>
  <c r="H104" i="16"/>
  <c r="H248" i="16" s="1"/>
  <c r="I104" i="16"/>
  <c r="I248" i="16" s="1"/>
  <c r="J104" i="16"/>
  <c r="J248" i="16" s="1"/>
  <c r="K104" i="16"/>
  <c r="K248" i="16" s="1"/>
  <c r="L104" i="16"/>
  <c r="L248" i="16" s="1"/>
  <c r="M104" i="16"/>
  <c r="M248" i="16" s="1"/>
  <c r="N104" i="16"/>
  <c r="N248" i="16" s="1"/>
  <c r="D169" i="16"/>
  <c r="E169" i="16"/>
  <c r="F169" i="16"/>
  <c r="G169" i="16"/>
  <c r="H169" i="16"/>
  <c r="I169" i="16"/>
  <c r="J169" i="16"/>
  <c r="K169" i="16"/>
  <c r="L169" i="16"/>
  <c r="M169" i="16"/>
  <c r="N169" i="16"/>
  <c r="D71" i="16"/>
  <c r="E71" i="16"/>
  <c r="F71" i="16"/>
  <c r="G71" i="16"/>
  <c r="H71" i="16"/>
  <c r="I71" i="16"/>
  <c r="J71" i="16"/>
  <c r="K71" i="16"/>
  <c r="L71" i="16"/>
  <c r="M71" i="16"/>
  <c r="N71" i="16"/>
  <c r="D117" i="16"/>
  <c r="E117" i="16"/>
  <c r="F117" i="16"/>
  <c r="G117" i="16"/>
  <c r="H117" i="16"/>
  <c r="I117" i="16"/>
  <c r="J117" i="16"/>
  <c r="K117" i="16"/>
  <c r="L117" i="16"/>
  <c r="M117" i="16"/>
  <c r="N117" i="16"/>
  <c r="D130" i="16"/>
  <c r="E130" i="16"/>
  <c r="F130" i="16"/>
  <c r="G130" i="16"/>
  <c r="H130" i="16"/>
  <c r="I130" i="16"/>
  <c r="J130" i="16"/>
  <c r="K130" i="16"/>
  <c r="L130" i="16"/>
  <c r="M130" i="16"/>
  <c r="N130" i="16"/>
  <c r="D143" i="16"/>
  <c r="E143" i="16"/>
  <c r="F143" i="16"/>
  <c r="G143" i="16"/>
  <c r="H143" i="16"/>
  <c r="I143" i="16"/>
  <c r="J143" i="16"/>
  <c r="K143" i="16"/>
  <c r="L143" i="16"/>
  <c r="M143" i="16"/>
  <c r="N143" i="16"/>
  <c r="D156" i="16"/>
  <c r="E156" i="16"/>
  <c r="F156" i="16"/>
  <c r="G156" i="16"/>
  <c r="H156" i="16"/>
  <c r="I156" i="16"/>
  <c r="J156" i="16"/>
  <c r="K156" i="16"/>
  <c r="L156" i="16"/>
  <c r="M156" i="16"/>
  <c r="N156" i="16"/>
  <c r="D182" i="16"/>
  <c r="E182" i="16"/>
  <c r="F182" i="16"/>
  <c r="G182" i="16"/>
  <c r="H182" i="16"/>
  <c r="I182" i="16"/>
  <c r="J182" i="16"/>
  <c r="K182" i="16"/>
  <c r="L182" i="16"/>
  <c r="M182" i="16"/>
  <c r="N182" i="16"/>
  <c r="D195" i="16"/>
  <c r="E195" i="16"/>
  <c r="F195" i="16"/>
  <c r="G195" i="16"/>
  <c r="H195" i="16"/>
  <c r="I195" i="16"/>
  <c r="J195" i="16"/>
  <c r="K195" i="16"/>
  <c r="L195" i="16"/>
  <c r="M195" i="16"/>
  <c r="N195" i="16"/>
  <c r="D208" i="16"/>
  <c r="E208" i="16"/>
  <c r="F208" i="16"/>
  <c r="G208" i="16"/>
  <c r="H208" i="16"/>
  <c r="I208" i="16"/>
  <c r="J208" i="16"/>
  <c r="K208" i="16"/>
  <c r="L208" i="16"/>
  <c r="M208" i="16"/>
  <c r="N208" i="16"/>
  <c r="D88" i="16"/>
  <c r="D91" i="16" s="1"/>
  <c r="E88" i="16"/>
  <c r="E91" i="16" s="1"/>
  <c r="E228" i="16" s="1"/>
  <c r="F88" i="16"/>
  <c r="F91" i="16" s="1"/>
  <c r="F228" i="16" s="1"/>
  <c r="G88" i="16"/>
  <c r="G91" i="16" s="1"/>
  <c r="H88" i="16"/>
  <c r="H91" i="16" s="1"/>
  <c r="I88" i="16"/>
  <c r="I91" i="16" s="1"/>
  <c r="J88" i="16"/>
  <c r="J91" i="16" s="1"/>
  <c r="J228" i="16" s="1"/>
  <c r="K88" i="16"/>
  <c r="K91" i="16" s="1"/>
  <c r="L88" i="16"/>
  <c r="L91" i="16" s="1"/>
  <c r="L228" i="16" s="1"/>
  <c r="M88" i="16"/>
  <c r="M91" i="16" s="1"/>
  <c r="N88" i="16"/>
  <c r="N91" i="16" s="1"/>
  <c r="N228" i="16" s="1"/>
  <c r="O287" i="16" l="1"/>
  <c r="H233" i="16"/>
  <c r="I233" i="16"/>
  <c r="M237" i="16"/>
  <c r="J254" i="16"/>
  <c r="G233" i="16"/>
  <c r="I254" i="16"/>
  <c r="H254" i="16"/>
  <c r="M254" i="16"/>
  <c r="E254" i="16"/>
  <c r="H239" i="16"/>
  <c r="H240" i="16" s="1"/>
  <c r="H257" i="16"/>
  <c r="H259" i="16" s="1"/>
  <c r="O252" i="16"/>
  <c r="L259" i="16"/>
  <c r="G216" i="16"/>
  <c r="G254" i="16"/>
  <c r="D259" i="16"/>
  <c r="K233" i="16"/>
  <c r="K234" i="16" s="1"/>
  <c r="I239" i="16"/>
  <c r="I240" i="16" s="1"/>
  <c r="I257" i="16"/>
  <c r="I259" i="16" s="1"/>
  <c r="K259" i="16"/>
  <c r="O251" i="16"/>
  <c r="J491" i="2" s="1"/>
  <c r="M228" i="16"/>
  <c r="N254" i="16"/>
  <c r="F254" i="16"/>
  <c r="G237" i="16"/>
  <c r="K239" i="16"/>
  <c r="K258" i="16"/>
  <c r="C259" i="16"/>
  <c r="K222" i="16"/>
  <c r="L216" i="16"/>
  <c r="L254" i="16"/>
  <c r="D216" i="16"/>
  <c r="D254" i="16"/>
  <c r="M239" i="16"/>
  <c r="M240" i="16" s="1"/>
  <c r="M257" i="16"/>
  <c r="M259" i="16" s="1"/>
  <c r="K216" i="16"/>
  <c r="K254" i="16"/>
  <c r="M234" i="16"/>
  <c r="H222" i="16"/>
  <c r="H234" i="16"/>
  <c r="H216" i="16"/>
  <c r="N216" i="16"/>
  <c r="F216" i="16"/>
  <c r="D228" i="16"/>
  <c r="I222" i="16"/>
  <c r="L222" i="16"/>
  <c r="D222" i="16"/>
  <c r="M216" i="16"/>
  <c r="O246" i="16"/>
  <c r="I498" i="2" s="1"/>
  <c r="J222" i="16"/>
  <c r="E216" i="16"/>
  <c r="O245" i="16"/>
  <c r="F233" i="16"/>
  <c r="F234" i="16" s="1"/>
  <c r="F238" i="16"/>
  <c r="O225" i="16"/>
  <c r="K228" i="16"/>
  <c r="N233" i="16"/>
  <c r="N234" i="16" s="1"/>
  <c r="N238" i="16"/>
  <c r="G222" i="16"/>
  <c r="J216" i="16"/>
  <c r="I216" i="16"/>
  <c r="G228" i="16"/>
  <c r="H228" i="16"/>
  <c r="I234" i="16"/>
  <c r="G234" i="16"/>
  <c r="D233" i="16"/>
  <c r="D234" i="16" s="1"/>
  <c r="D239" i="16"/>
  <c r="N222" i="16"/>
  <c r="F222" i="16"/>
  <c r="J238" i="16"/>
  <c r="J233" i="16"/>
  <c r="J234" i="16" s="1"/>
  <c r="C233" i="16"/>
  <c r="C234" i="16" s="1"/>
  <c r="L233" i="16"/>
  <c r="L234" i="16" s="1"/>
  <c r="I228" i="16"/>
  <c r="M222" i="16"/>
  <c r="O226" i="16"/>
  <c r="C239" i="16"/>
  <c r="L239" i="16"/>
  <c r="O213" i="16"/>
  <c r="O214" i="16"/>
  <c r="O220" i="16"/>
  <c r="E222" i="16"/>
  <c r="O219" i="16"/>
  <c r="E237" i="16"/>
  <c r="E233" i="16"/>
  <c r="E234" i="16" s="1"/>
  <c r="N50" i="15"/>
  <c r="M50" i="15"/>
  <c r="L50" i="15"/>
  <c r="K50" i="15"/>
  <c r="J50" i="15"/>
  <c r="I50" i="15"/>
  <c r="H50" i="15"/>
  <c r="G50" i="15"/>
  <c r="F50" i="15"/>
  <c r="E50" i="15"/>
  <c r="D50" i="15"/>
  <c r="C50" i="15"/>
  <c r="D40" i="15"/>
  <c r="E40" i="15"/>
  <c r="F40" i="15"/>
  <c r="G40" i="15"/>
  <c r="H40" i="15"/>
  <c r="I40" i="15"/>
  <c r="J40" i="15"/>
  <c r="K40" i="15"/>
  <c r="L40" i="15"/>
  <c r="M40" i="15"/>
  <c r="N40" i="15"/>
  <c r="C40" i="15"/>
  <c r="O33" i="15"/>
  <c r="M33" i="15"/>
  <c r="K33" i="15"/>
  <c r="H33" i="15"/>
  <c r="F33" i="15"/>
  <c r="D33" i="15"/>
  <c r="E33" i="15"/>
  <c r="G33" i="15"/>
  <c r="I33" i="15"/>
  <c r="J33" i="15"/>
  <c r="L33" i="15"/>
  <c r="N33" i="15"/>
  <c r="C33" i="15"/>
  <c r="C18" i="15"/>
  <c r="M260" i="16" l="1"/>
  <c r="D260" i="16"/>
  <c r="I260" i="16"/>
  <c r="L260" i="16"/>
  <c r="O247" i="16"/>
  <c r="I491" i="2"/>
  <c r="N239" i="16"/>
  <c r="N240" i="16" s="1"/>
  <c r="N258" i="16"/>
  <c r="N259" i="16" s="1"/>
  <c r="N260" i="16" s="1"/>
  <c r="J239" i="16"/>
  <c r="J240" i="16" s="1"/>
  <c r="J258" i="16"/>
  <c r="J259" i="16" s="1"/>
  <c r="K240" i="16"/>
  <c r="K260" i="16"/>
  <c r="O253" i="16"/>
  <c r="J498" i="2"/>
  <c r="C260" i="16"/>
  <c r="G239" i="16"/>
  <c r="G257" i="16"/>
  <c r="G259" i="16" s="1"/>
  <c r="E239" i="16"/>
  <c r="E257" i="16"/>
  <c r="E259" i="16" s="1"/>
  <c r="E260" i="16" s="1"/>
  <c r="F239" i="16"/>
  <c r="F240" i="16" s="1"/>
  <c r="F258" i="16"/>
  <c r="F259" i="16" s="1"/>
  <c r="F260" i="16" s="1"/>
  <c r="H260" i="16"/>
  <c r="O231" i="16"/>
  <c r="O237" i="16" s="1"/>
  <c r="C240" i="16"/>
  <c r="O227" i="16"/>
  <c r="O232" i="16"/>
  <c r="O238" i="16" s="1"/>
  <c r="O258" i="16" s="1"/>
  <c r="K498" i="2" s="1"/>
  <c r="O215" i="16"/>
  <c r="L240" i="16"/>
  <c r="D240" i="16"/>
  <c r="O221" i="16"/>
  <c r="E240" i="16"/>
  <c r="F133" i="1"/>
  <c r="G260" i="16" l="1"/>
  <c r="G240" i="16"/>
  <c r="O239" i="16"/>
  <c r="O257" i="16"/>
  <c r="J260" i="16"/>
  <c r="O233" i="16"/>
  <c r="O234" i="16" s="1"/>
  <c r="O28" i="16"/>
  <c r="O27" i="16"/>
  <c r="O25" i="16"/>
  <c r="O20" i="16"/>
  <c r="D17" i="16"/>
  <c r="E17" i="16"/>
  <c r="F17" i="16"/>
  <c r="G17" i="16"/>
  <c r="H17" i="16"/>
  <c r="I17" i="16"/>
  <c r="J17" i="16"/>
  <c r="K17" i="16"/>
  <c r="L17" i="16"/>
  <c r="M17" i="16"/>
  <c r="N17" i="16"/>
  <c r="C88" i="16"/>
  <c r="C208" i="16"/>
  <c r="O208" i="16" s="1"/>
  <c r="C195" i="16"/>
  <c r="O195" i="16" s="1"/>
  <c r="C182" i="16"/>
  <c r="O182" i="16" s="1"/>
  <c r="C156" i="16"/>
  <c r="O156" i="16" s="1"/>
  <c r="C143" i="16"/>
  <c r="O143" i="16" s="1"/>
  <c r="C130" i="16"/>
  <c r="O130" i="16" s="1"/>
  <c r="C117" i="16"/>
  <c r="O117" i="16" s="1"/>
  <c r="C71" i="16"/>
  <c r="C169" i="16"/>
  <c r="O169" i="16" s="1"/>
  <c r="C104" i="16"/>
  <c r="C58" i="16"/>
  <c r="C254" i="16" l="1"/>
  <c r="O259" i="16"/>
  <c r="O260" i="16" s="1"/>
  <c r="K491" i="2"/>
  <c r="O104" i="16"/>
  <c r="O248" i="16" s="1"/>
  <c r="C248" i="16"/>
  <c r="O240" i="16"/>
  <c r="O58" i="16"/>
  <c r="O254" i="16" s="1"/>
  <c r="C216" i="16"/>
  <c r="O71" i="16"/>
  <c r="C222" i="16"/>
  <c r="O222" i="16"/>
  <c r="C91" i="16"/>
  <c r="O88" i="16"/>
  <c r="L139" i="18"/>
  <c r="M139" i="18" s="1"/>
  <c r="J139" i="18"/>
  <c r="I139" i="18"/>
  <c r="F139" i="18"/>
  <c r="H139" i="18" s="1"/>
  <c r="L130" i="18"/>
  <c r="M130" i="18" s="1"/>
  <c r="J130" i="18"/>
  <c r="I130" i="18"/>
  <c r="F130" i="18"/>
  <c r="H130" i="18" s="1"/>
  <c r="L126" i="18"/>
  <c r="M126" i="18" s="1"/>
  <c r="J126" i="18"/>
  <c r="I126" i="18"/>
  <c r="F126" i="18"/>
  <c r="H126" i="18" s="1"/>
  <c r="J73" i="18"/>
  <c r="I73" i="18"/>
  <c r="F73" i="18"/>
  <c r="H73" i="18" s="1"/>
  <c r="J32" i="18"/>
  <c r="I32" i="18"/>
  <c r="F32" i="18"/>
  <c r="H32" i="18" s="1"/>
  <c r="O216" i="16" l="1"/>
  <c r="O91" i="16"/>
  <c r="O228" i="16" s="1"/>
  <c r="C228" i="16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C33" i="4"/>
  <c r="B33" i="4"/>
  <c r="L117" i="18" l="1"/>
  <c r="M117" i="18" s="1"/>
  <c r="J117" i="18"/>
  <c r="I117" i="18"/>
  <c r="F117" i="18"/>
  <c r="H117" i="18" s="1"/>
  <c r="L116" i="18"/>
  <c r="M116" i="18" s="1"/>
  <c r="J116" i="18"/>
  <c r="I116" i="18"/>
  <c r="F116" i="18"/>
  <c r="H116" i="18" s="1"/>
  <c r="L115" i="18"/>
  <c r="M115" i="18" s="1"/>
  <c r="J115" i="18"/>
  <c r="I115" i="18"/>
  <c r="F115" i="18"/>
  <c r="H115" i="18" s="1"/>
  <c r="L114" i="18"/>
  <c r="M114" i="18" s="1"/>
  <c r="J114" i="18"/>
  <c r="I114" i="18"/>
  <c r="F114" i="18"/>
  <c r="H114" i="18" s="1"/>
  <c r="L113" i="18"/>
  <c r="M113" i="18" s="1"/>
  <c r="J113" i="18"/>
  <c r="I113" i="18"/>
  <c r="F113" i="18"/>
  <c r="H113" i="18" s="1"/>
  <c r="L112" i="18"/>
  <c r="M112" i="18" s="1"/>
  <c r="J112" i="18"/>
  <c r="I112" i="18"/>
  <c r="F112" i="18"/>
  <c r="H112" i="18" s="1"/>
  <c r="L111" i="18"/>
  <c r="M111" i="18" s="1"/>
  <c r="J111" i="18"/>
  <c r="I111" i="18"/>
  <c r="F111" i="18"/>
  <c r="H111" i="18" s="1"/>
  <c r="L110" i="18"/>
  <c r="M110" i="18" s="1"/>
  <c r="J110" i="18"/>
  <c r="I110" i="18"/>
  <c r="F110" i="18"/>
  <c r="H110" i="18" s="1"/>
  <c r="J70" i="18"/>
  <c r="I70" i="18"/>
  <c r="F70" i="18"/>
  <c r="H70" i="18" s="1"/>
  <c r="J69" i="18"/>
  <c r="I69" i="18"/>
  <c r="F69" i="18"/>
  <c r="H69" i="18" s="1"/>
  <c r="J68" i="18"/>
  <c r="I68" i="18"/>
  <c r="F68" i="18"/>
  <c r="H68" i="18" s="1"/>
  <c r="J67" i="18"/>
  <c r="I67" i="18"/>
  <c r="F67" i="18"/>
  <c r="H67" i="18" s="1"/>
  <c r="J24" i="18"/>
  <c r="I24" i="18"/>
  <c r="F24" i="18"/>
  <c r="H24" i="18" s="1"/>
  <c r="J23" i="18"/>
  <c r="I23" i="18"/>
  <c r="F23" i="18"/>
  <c r="H23" i="18" s="1"/>
  <c r="J22" i="18"/>
  <c r="I22" i="18"/>
  <c r="F22" i="18"/>
  <c r="H22" i="18" s="1"/>
  <c r="J21" i="18"/>
  <c r="I21" i="18"/>
  <c r="F21" i="18"/>
  <c r="H21" i="18" s="1"/>
  <c r="J20" i="18"/>
  <c r="I20" i="18"/>
  <c r="F20" i="18"/>
  <c r="H20" i="18" s="1"/>
  <c r="J19" i="18"/>
  <c r="I19" i="18"/>
  <c r="F19" i="18"/>
  <c r="H19" i="18" s="1"/>
  <c r="J18" i="18"/>
  <c r="I18" i="18"/>
  <c r="F18" i="18"/>
  <c r="H18" i="18" s="1"/>
  <c r="J17" i="18"/>
  <c r="I17" i="18"/>
  <c r="F17" i="18"/>
  <c r="H17" i="18" s="1"/>
  <c r="J16" i="18"/>
  <c r="I16" i="18"/>
  <c r="F16" i="18"/>
  <c r="H16" i="18" s="1"/>
  <c r="J15" i="18"/>
  <c r="I15" i="18"/>
  <c r="F15" i="18"/>
  <c r="H15" i="18" s="1"/>
  <c r="J14" i="18"/>
  <c r="I14" i="18"/>
  <c r="F14" i="18"/>
  <c r="H14" i="18" s="1"/>
  <c r="J13" i="18"/>
  <c r="I13" i="18"/>
  <c r="F13" i="18"/>
  <c r="H13" i="18" s="1"/>
  <c r="J12" i="18"/>
  <c r="I12" i="18"/>
  <c r="F12" i="18"/>
  <c r="H12" i="18" s="1"/>
  <c r="J11" i="18"/>
  <c r="I11" i="18"/>
  <c r="F11" i="18"/>
  <c r="H11" i="18" s="1"/>
  <c r="J10" i="18"/>
  <c r="I10" i="18"/>
  <c r="F10" i="18"/>
  <c r="H10" i="18" s="1"/>
  <c r="J9" i="18"/>
  <c r="I9" i="18"/>
  <c r="F9" i="18"/>
  <c r="H9" i="18" s="1"/>
  <c r="F277" i="1" l="1"/>
  <c r="F273" i="1"/>
  <c r="F250" i="1"/>
  <c r="F241" i="1"/>
  <c r="F227" i="1"/>
  <c r="F225" i="1"/>
  <c r="F222" i="1"/>
  <c r="F205" i="1"/>
  <c r="F204" i="1"/>
  <c r="A1" i="18" l="1"/>
  <c r="A1" i="9"/>
  <c r="A1" i="8"/>
  <c r="A1" i="16"/>
  <c r="A1" i="17"/>
  <c r="A1" i="15"/>
  <c r="L12" i="4"/>
  <c r="L14" i="4"/>
  <c r="L16" i="4"/>
  <c r="L11" i="4"/>
  <c r="L10" i="4"/>
  <c r="C16" i="17" l="1"/>
  <c r="B16" i="17"/>
  <c r="D200" i="15" l="1"/>
  <c r="E200" i="15"/>
  <c r="F200" i="15"/>
  <c r="G200" i="15"/>
  <c r="H200" i="15"/>
  <c r="I200" i="15"/>
  <c r="J200" i="15"/>
  <c r="K200" i="15"/>
  <c r="L200" i="15"/>
  <c r="M200" i="15"/>
  <c r="N200" i="15"/>
  <c r="C200" i="15"/>
  <c r="A33" i="4"/>
  <c r="A34" i="4" s="1"/>
  <c r="A35" i="4" s="1"/>
  <c r="A36" i="4" s="1"/>
  <c r="A37" i="4" s="1"/>
  <c r="A38" i="4" s="1"/>
  <c r="A39" i="4" s="1"/>
  <c r="A40" i="4" s="1"/>
  <c r="A41" i="4" s="1"/>
  <c r="O26" i="16" l="1"/>
  <c r="O200" i="15" s="1"/>
  <c r="O16" i="16"/>
  <c r="O18" i="16"/>
  <c r="O19" i="16"/>
  <c r="O21" i="16"/>
  <c r="O22" i="16"/>
  <c r="L26" i="15" l="1"/>
  <c r="AH344" i="2" l="1"/>
  <c r="E431" i="2" l="1"/>
  <c r="E432" i="2" s="1"/>
  <c r="F246" i="1" l="1"/>
  <c r="J29" i="18" l="1"/>
  <c r="I29" i="18"/>
  <c r="F29" i="18"/>
  <c r="H29" i="18" s="1"/>
  <c r="J28" i="18"/>
  <c r="I28" i="18"/>
  <c r="F28" i="18"/>
  <c r="H28" i="18" s="1"/>
  <c r="J27" i="18"/>
  <c r="I27" i="18"/>
  <c r="F27" i="18"/>
  <c r="H27" i="18" s="1"/>
  <c r="J26" i="18"/>
  <c r="I26" i="18"/>
  <c r="F26" i="18"/>
  <c r="H26" i="18" s="1"/>
  <c r="J25" i="18"/>
  <c r="I25" i="18"/>
  <c r="F25" i="18"/>
  <c r="H25" i="18" s="1"/>
  <c r="J30" i="18"/>
  <c r="I30" i="18"/>
  <c r="F30" i="18"/>
  <c r="H30" i="18" s="1"/>
  <c r="AA489" i="2" l="1"/>
  <c r="AB489" i="2"/>
  <c r="AC489" i="2"/>
  <c r="AD489" i="2"/>
  <c r="AE489" i="2"/>
  <c r="AF489" i="2"/>
  <c r="D51" i="15" l="1"/>
  <c r="E51" i="15"/>
  <c r="F51" i="15"/>
  <c r="G51" i="15"/>
  <c r="H51" i="15"/>
  <c r="I51" i="15"/>
  <c r="J51" i="15"/>
  <c r="K51" i="15"/>
  <c r="L51" i="15"/>
  <c r="M51" i="15"/>
  <c r="N51" i="15"/>
  <c r="C51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F52" i="15" l="1"/>
  <c r="F54" i="15" s="1"/>
  <c r="J52" i="15"/>
  <c r="J54" i="15" s="1"/>
  <c r="N52" i="15"/>
  <c r="N54" i="15" s="1"/>
  <c r="C52" i="15"/>
  <c r="C54" i="15" s="1"/>
  <c r="G52" i="15"/>
  <c r="G54" i="15" s="1"/>
  <c r="K52" i="15"/>
  <c r="K54" i="15" s="1"/>
  <c r="D52" i="15"/>
  <c r="D54" i="15" s="1"/>
  <c r="H52" i="15"/>
  <c r="H54" i="15" s="1"/>
  <c r="L52" i="15"/>
  <c r="L54" i="15" s="1"/>
  <c r="E52" i="15"/>
  <c r="E54" i="15" s="1"/>
  <c r="I52" i="15"/>
  <c r="I54" i="15" s="1"/>
  <c r="M52" i="15"/>
  <c r="M54" i="15" s="1"/>
  <c r="H168" i="18" l="1"/>
  <c r="H167" i="18"/>
  <c r="H166" i="18"/>
  <c r="E142" i="18"/>
  <c r="L128" i="18"/>
  <c r="M128" i="18" s="1"/>
  <c r="J128" i="18"/>
  <c r="I128" i="18"/>
  <c r="F128" i="18"/>
  <c r="H128" i="18" s="1"/>
  <c r="L127" i="18"/>
  <c r="M127" i="18" s="1"/>
  <c r="J127" i="18"/>
  <c r="I127" i="18"/>
  <c r="F127" i="18"/>
  <c r="H127" i="18" s="1"/>
  <c r="L129" i="18"/>
  <c r="M129" i="18" s="1"/>
  <c r="J129" i="18"/>
  <c r="I129" i="18"/>
  <c r="F129" i="18"/>
  <c r="H129" i="18" s="1"/>
  <c r="L124" i="18"/>
  <c r="M124" i="18" s="1"/>
  <c r="J124" i="18"/>
  <c r="I124" i="18"/>
  <c r="F124" i="18"/>
  <c r="H124" i="18" s="1"/>
  <c r="L123" i="18"/>
  <c r="M123" i="18" s="1"/>
  <c r="J123" i="18"/>
  <c r="I123" i="18"/>
  <c r="F123" i="18"/>
  <c r="H123" i="18" s="1"/>
  <c r="L125" i="18"/>
  <c r="M125" i="18" s="1"/>
  <c r="J125" i="18"/>
  <c r="I125" i="18"/>
  <c r="F125" i="18"/>
  <c r="H125" i="18" s="1"/>
  <c r="L120" i="18"/>
  <c r="M120" i="18" s="1"/>
  <c r="J120" i="18"/>
  <c r="I120" i="18"/>
  <c r="F120" i="18"/>
  <c r="H120" i="18" s="1"/>
  <c r="J66" i="18" l="1"/>
  <c r="I66" i="18"/>
  <c r="F66" i="18"/>
  <c r="H66" i="18" s="1"/>
  <c r="J65" i="18"/>
  <c r="I65" i="18"/>
  <c r="F65" i="18"/>
  <c r="H65" i="18" s="1"/>
  <c r="J64" i="18"/>
  <c r="I64" i="18"/>
  <c r="F64" i="18"/>
  <c r="H64" i="18" s="1"/>
  <c r="J75" i="18"/>
  <c r="I75" i="18"/>
  <c r="F75" i="18"/>
  <c r="H75" i="18" s="1"/>
  <c r="J74" i="18"/>
  <c r="I74" i="18"/>
  <c r="F74" i="18"/>
  <c r="H74" i="18" s="1"/>
  <c r="J72" i="18"/>
  <c r="I72" i="18"/>
  <c r="F72" i="18"/>
  <c r="H72" i="18" s="1"/>
  <c r="J71" i="18"/>
  <c r="I71" i="18"/>
  <c r="F71" i="18"/>
  <c r="H71" i="18" s="1"/>
  <c r="J77" i="18"/>
  <c r="I77" i="18"/>
  <c r="F77" i="18"/>
  <c r="H77" i="18" s="1"/>
  <c r="J76" i="18"/>
  <c r="I76" i="18"/>
  <c r="F76" i="18"/>
  <c r="H76" i="18" s="1"/>
  <c r="J78" i="18"/>
  <c r="I78" i="18"/>
  <c r="F78" i="18"/>
  <c r="H78" i="18" s="1"/>
  <c r="J37" i="18"/>
  <c r="I37" i="18"/>
  <c r="F37" i="18"/>
  <c r="H37" i="18" s="1"/>
  <c r="J36" i="18"/>
  <c r="I36" i="18"/>
  <c r="F36" i="18"/>
  <c r="H36" i="18" s="1"/>
  <c r="J35" i="18"/>
  <c r="I35" i="18"/>
  <c r="F35" i="18"/>
  <c r="H35" i="18" s="1"/>
  <c r="J34" i="18"/>
  <c r="I34" i="18"/>
  <c r="F34" i="18"/>
  <c r="H34" i="18" s="1"/>
  <c r="J33" i="18"/>
  <c r="I33" i="18"/>
  <c r="F33" i="18"/>
  <c r="H33" i="18" s="1"/>
  <c r="J31" i="18"/>
  <c r="I31" i="18"/>
  <c r="F31" i="18"/>
  <c r="H31" i="18" s="1"/>
  <c r="J8" i="18"/>
  <c r="I8" i="18"/>
  <c r="F8" i="18"/>
  <c r="H8" i="18" s="1"/>
  <c r="J38" i="18"/>
  <c r="I38" i="18"/>
  <c r="F38" i="18"/>
  <c r="H38" i="18" s="1"/>
  <c r="D14" i="16" l="1"/>
  <c r="E14" i="16"/>
  <c r="F14" i="16"/>
  <c r="F23" i="16" s="1"/>
  <c r="G14" i="16"/>
  <c r="H14" i="16"/>
  <c r="I14" i="16"/>
  <c r="J14" i="16"/>
  <c r="K14" i="16"/>
  <c r="L14" i="16"/>
  <c r="M14" i="16"/>
  <c r="N14" i="16"/>
  <c r="C17" i="16"/>
  <c r="C14" i="16"/>
  <c r="C23" i="16" l="1"/>
  <c r="J23" i="16"/>
  <c r="I23" i="16"/>
  <c r="K23" i="16"/>
  <c r="G23" i="16"/>
  <c r="O17" i="16"/>
  <c r="H23" i="16"/>
  <c r="E23" i="16"/>
  <c r="D23" i="16"/>
  <c r="N23" i="16"/>
  <c r="M23" i="16"/>
  <c r="L23" i="16"/>
  <c r="C10" i="17"/>
  <c r="C11" i="17"/>
  <c r="C12" i="17"/>
  <c r="C13" i="17"/>
  <c r="C14" i="17"/>
  <c r="C15" i="17"/>
  <c r="C9" i="17"/>
  <c r="O23" i="16" l="1"/>
  <c r="D201" i="15"/>
  <c r="E201" i="15"/>
  <c r="F201" i="15"/>
  <c r="G201" i="15"/>
  <c r="H201" i="15"/>
  <c r="I201" i="15"/>
  <c r="J201" i="15"/>
  <c r="K201" i="15"/>
  <c r="L201" i="15"/>
  <c r="M201" i="15"/>
  <c r="N201" i="15"/>
  <c r="C201" i="15"/>
  <c r="B10" i="17" l="1"/>
  <c r="B11" i="17"/>
  <c r="B12" i="17"/>
  <c r="B13" i="17"/>
  <c r="B14" i="17"/>
  <c r="B15" i="17"/>
  <c r="B9" i="17"/>
  <c r="C17" i="15" l="1"/>
  <c r="O108" i="15"/>
  <c r="C15" i="15" s="1"/>
  <c r="O118" i="15"/>
  <c r="C16" i="15" s="1"/>
  <c r="N30" i="16" l="1"/>
  <c r="D30" i="16"/>
  <c r="E30" i="16"/>
  <c r="F30" i="16"/>
  <c r="G30" i="16"/>
  <c r="H30" i="16"/>
  <c r="I30" i="16"/>
  <c r="J30" i="16"/>
  <c r="K30" i="16"/>
  <c r="L30" i="16"/>
  <c r="M30" i="16"/>
  <c r="C30" i="16"/>
  <c r="O30" i="16" l="1"/>
  <c r="D16" i="9" l="1"/>
  <c r="F16" i="9" s="1"/>
  <c r="D15" i="9"/>
  <c r="F15" i="9" s="1"/>
  <c r="D14" i="9"/>
  <c r="F14" i="9" s="1"/>
  <c r="D13" i="9"/>
  <c r="F13" i="9" s="1"/>
  <c r="C12" i="9"/>
  <c r="C13" i="9"/>
  <c r="C14" i="9"/>
  <c r="C15" i="9"/>
  <c r="B12" i="9"/>
  <c r="B13" i="9"/>
  <c r="B14" i="9"/>
  <c r="B15" i="9"/>
  <c r="B16" i="9"/>
  <c r="D16" i="8"/>
  <c r="F16" i="8" s="1"/>
  <c r="D15" i="8"/>
  <c r="F15" i="8" s="1"/>
  <c r="D14" i="8"/>
  <c r="F14" i="8" s="1"/>
  <c r="D13" i="8"/>
  <c r="F13" i="8" s="1"/>
  <c r="C12" i="8"/>
  <c r="C13" i="8"/>
  <c r="C14" i="8"/>
  <c r="C15" i="8"/>
  <c r="B12" i="8"/>
  <c r="B13" i="8"/>
  <c r="B14" i="8"/>
  <c r="B15" i="8"/>
  <c r="B16" i="8"/>
  <c r="P2" i="2"/>
  <c r="O2" i="2"/>
  <c r="N2" i="2"/>
  <c r="M2" i="2"/>
  <c r="L2" i="2"/>
  <c r="P3" i="2"/>
  <c r="F104" i="18" l="1"/>
  <c r="F105" i="18"/>
  <c r="F106" i="18"/>
  <c r="F107" i="18"/>
  <c r="F108" i="18"/>
  <c r="F109" i="18"/>
  <c r="F118" i="18"/>
  <c r="F119" i="18"/>
  <c r="F121" i="18"/>
  <c r="F122" i="18"/>
  <c r="F131" i="18"/>
  <c r="F132" i="18"/>
  <c r="F133" i="18"/>
  <c r="F134" i="18"/>
  <c r="F135" i="18"/>
  <c r="F136" i="18"/>
  <c r="F137" i="18"/>
  <c r="F138" i="18"/>
  <c r="F140" i="18"/>
  <c r="F141" i="18"/>
  <c r="L104" i="18"/>
  <c r="L105" i="18"/>
  <c r="L106" i="18"/>
  <c r="L107" i="18"/>
  <c r="L108" i="18"/>
  <c r="L109" i="18"/>
  <c r="L118" i="18"/>
  <c r="L119" i="18"/>
  <c r="L121" i="18"/>
  <c r="L122" i="18"/>
  <c r="L131" i="18"/>
  <c r="L132" i="18"/>
  <c r="L133" i="18"/>
  <c r="L134" i="18"/>
  <c r="L135" i="18"/>
  <c r="L136" i="18"/>
  <c r="L137" i="18"/>
  <c r="L138" i="18"/>
  <c r="L140" i="18"/>
  <c r="L141" i="18"/>
  <c r="M141" i="18" l="1"/>
  <c r="J141" i="18"/>
  <c r="I141" i="18"/>
  <c r="H141" i="18"/>
  <c r="M140" i="18"/>
  <c r="J140" i="18"/>
  <c r="I140" i="18"/>
  <c r="H140" i="18"/>
  <c r="M138" i="18"/>
  <c r="J138" i="18"/>
  <c r="I138" i="18"/>
  <c r="H138" i="18"/>
  <c r="M137" i="18"/>
  <c r="J137" i="18"/>
  <c r="I137" i="18"/>
  <c r="H137" i="18"/>
  <c r="M136" i="18"/>
  <c r="J136" i="18"/>
  <c r="I136" i="18"/>
  <c r="H136" i="18"/>
  <c r="M135" i="18"/>
  <c r="J135" i="18"/>
  <c r="I135" i="18"/>
  <c r="H135" i="18"/>
  <c r="H104" i="18"/>
  <c r="I104" i="18"/>
  <c r="J104" i="18"/>
  <c r="M104" i="18"/>
  <c r="H105" i="18"/>
  <c r="I105" i="18"/>
  <c r="J105" i="18"/>
  <c r="M105" i="18"/>
  <c r="H106" i="18"/>
  <c r="I106" i="18"/>
  <c r="J106" i="18"/>
  <c r="M106" i="18"/>
  <c r="H107" i="18"/>
  <c r="I107" i="18"/>
  <c r="J107" i="18"/>
  <c r="M107" i="18"/>
  <c r="H108" i="18"/>
  <c r="I108" i="18"/>
  <c r="J108" i="18"/>
  <c r="M108" i="18"/>
  <c r="H109" i="18"/>
  <c r="I109" i="18"/>
  <c r="J109" i="18"/>
  <c r="M109" i="18"/>
  <c r="H118" i="18"/>
  <c r="I118" i="18"/>
  <c r="J118" i="18"/>
  <c r="M118" i="18"/>
  <c r="H119" i="18"/>
  <c r="I119" i="18"/>
  <c r="J119" i="18"/>
  <c r="M119" i="18"/>
  <c r="H121" i="18"/>
  <c r="I121" i="18"/>
  <c r="J121" i="18"/>
  <c r="M121" i="18"/>
  <c r="H122" i="18"/>
  <c r="I122" i="18"/>
  <c r="J122" i="18"/>
  <c r="M122" i="18"/>
  <c r="H131" i="18"/>
  <c r="I131" i="18"/>
  <c r="J131" i="18"/>
  <c r="M131" i="18"/>
  <c r="H132" i="18"/>
  <c r="I132" i="18"/>
  <c r="J132" i="18"/>
  <c r="M132" i="18"/>
  <c r="H133" i="18"/>
  <c r="I133" i="18"/>
  <c r="J133" i="18"/>
  <c r="M133" i="18"/>
  <c r="H134" i="18"/>
  <c r="I134" i="18"/>
  <c r="J134" i="18"/>
  <c r="M134" i="18"/>
  <c r="A6" i="16" l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l="1"/>
  <c r="A23" i="16" s="1"/>
  <c r="A24" i="16" s="1"/>
  <c r="A25" i="16" s="1"/>
  <c r="A26" i="16" s="1"/>
  <c r="A27" i="16" s="1"/>
  <c r="A28" i="16" s="1"/>
  <c r="A29" i="16" s="1"/>
  <c r="A30" i="16" s="1"/>
  <c r="D31" i="16"/>
  <c r="D32" i="16" s="1"/>
  <c r="D33" i="16" s="1"/>
  <c r="E31" i="16"/>
  <c r="E32" i="16" s="1"/>
  <c r="E33" i="16" s="1"/>
  <c r="F31" i="16"/>
  <c r="F32" i="16" s="1"/>
  <c r="F33" i="16" s="1"/>
  <c r="G31" i="16"/>
  <c r="G32" i="16" s="1"/>
  <c r="G33" i="16" s="1"/>
  <c r="H31" i="16"/>
  <c r="H32" i="16" s="1"/>
  <c r="H33" i="16" s="1"/>
  <c r="I31" i="16"/>
  <c r="I32" i="16" s="1"/>
  <c r="I33" i="16" s="1"/>
  <c r="J31" i="16"/>
  <c r="J32" i="16" s="1"/>
  <c r="J33" i="16" s="1"/>
  <c r="K31" i="16"/>
  <c r="K32" i="16" s="1"/>
  <c r="K33" i="16" s="1"/>
  <c r="L31" i="16"/>
  <c r="L32" i="16" s="1"/>
  <c r="L33" i="16" s="1"/>
  <c r="M31" i="16"/>
  <c r="M32" i="16" s="1"/>
  <c r="M33" i="16" s="1"/>
  <c r="N31" i="16"/>
  <c r="N32" i="16" s="1"/>
  <c r="N33" i="16" s="1"/>
  <c r="C31" i="16"/>
  <c r="A31" i="16" l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O31" i="16"/>
  <c r="L23" i="15"/>
  <c r="L22" i="15"/>
  <c r="L21" i="15"/>
  <c r="L20" i="15"/>
  <c r="L19" i="15"/>
  <c r="D142" i="18"/>
  <c r="D157" i="18" s="1"/>
  <c r="E79" i="18"/>
  <c r="D89" i="18" s="1"/>
  <c r="D79" i="18"/>
  <c r="D94" i="18" s="1"/>
  <c r="E39" i="18"/>
  <c r="D49" i="18" s="1"/>
  <c r="D39" i="18"/>
  <c r="D54" i="18" s="1"/>
  <c r="N190" i="15"/>
  <c r="N196" i="15" s="1"/>
  <c r="M190" i="15"/>
  <c r="M196" i="15" s="1"/>
  <c r="L190" i="15"/>
  <c r="L196" i="15" s="1"/>
  <c r="K190" i="15"/>
  <c r="K196" i="15" s="1"/>
  <c r="J190" i="15"/>
  <c r="J196" i="15" s="1"/>
  <c r="I190" i="15"/>
  <c r="I196" i="15" s="1"/>
  <c r="H190" i="15"/>
  <c r="H196" i="15" s="1"/>
  <c r="G190" i="15"/>
  <c r="G196" i="15" s="1"/>
  <c r="F190" i="15"/>
  <c r="F196" i="15" s="1"/>
  <c r="E190" i="15"/>
  <c r="E196" i="15" s="1"/>
  <c r="D190" i="15"/>
  <c r="D196" i="15" s="1"/>
  <c r="C190" i="15"/>
  <c r="C196" i="15" s="1"/>
  <c r="N180" i="15"/>
  <c r="N186" i="15" s="1"/>
  <c r="M180" i="15"/>
  <c r="M186" i="15" s="1"/>
  <c r="L180" i="15"/>
  <c r="L186" i="15" s="1"/>
  <c r="K180" i="15"/>
  <c r="K186" i="15" s="1"/>
  <c r="J180" i="15"/>
  <c r="J186" i="15" s="1"/>
  <c r="I180" i="15"/>
  <c r="I186" i="15" s="1"/>
  <c r="H180" i="15"/>
  <c r="H186" i="15" s="1"/>
  <c r="G180" i="15"/>
  <c r="G186" i="15" s="1"/>
  <c r="F180" i="15"/>
  <c r="F186" i="15" s="1"/>
  <c r="E180" i="15"/>
  <c r="E186" i="15" s="1"/>
  <c r="D180" i="15"/>
  <c r="D186" i="15" s="1"/>
  <c r="C180" i="15"/>
  <c r="C186" i="15" s="1"/>
  <c r="N170" i="15"/>
  <c r="N176" i="15" s="1"/>
  <c r="M170" i="15"/>
  <c r="M176" i="15" s="1"/>
  <c r="L170" i="15"/>
  <c r="L176" i="15" s="1"/>
  <c r="K170" i="15"/>
  <c r="K176" i="15" s="1"/>
  <c r="J170" i="15"/>
  <c r="J176" i="15" s="1"/>
  <c r="I170" i="15"/>
  <c r="I176" i="15" s="1"/>
  <c r="H170" i="15"/>
  <c r="H176" i="15" s="1"/>
  <c r="G170" i="15"/>
  <c r="G176" i="15" s="1"/>
  <c r="F170" i="15"/>
  <c r="F176" i="15" s="1"/>
  <c r="E170" i="15"/>
  <c r="E176" i="15" s="1"/>
  <c r="D170" i="15"/>
  <c r="D176" i="15" s="1"/>
  <c r="C170" i="15"/>
  <c r="C176" i="15" s="1"/>
  <c r="N160" i="15"/>
  <c r="N166" i="15" s="1"/>
  <c r="M160" i="15"/>
  <c r="M166" i="15" s="1"/>
  <c r="L160" i="15"/>
  <c r="L166" i="15" s="1"/>
  <c r="K160" i="15"/>
  <c r="K166" i="15" s="1"/>
  <c r="J160" i="15"/>
  <c r="J166" i="15" s="1"/>
  <c r="I160" i="15"/>
  <c r="I166" i="15" s="1"/>
  <c r="H160" i="15"/>
  <c r="H166" i="15" s="1"/>
  <c r="G160" i="15"/>
  <c r="G166" i="15" s="1"/>
  <c r="F160" i="15"/>
  <c r="F166" i="15" s="1"/>
  <c r="E160" i="15"/>
  <c r="E166" i="15" s="1"/>
  <c r="D160" i="15"/>
  <c r="D166" i="15" s="1"/>
  <c r="C160" i="15"/>
  <c r="C166" i="15" s="1"/>
  <c r="N150" i="15"/>
  <c r="N156" i="15" s="1"/>
  <c r="M150" i="15"/>
  <c r="M156" i="15" s="1"/>
  <c r="L150" i="15"/>
  <c r="L156" i="15" s="1"/>
  <c r="K150" i="15"/>
  <c r="K156" i="15" s="1"/>
  <c r="J150" i="15"/>
  <c r="J156" i="15" s="1"/>
  <c r="I150" i="15"/>
  <c r="I156" i="15" s="1"/>
  <c r="H150" i="15"/>
  <c r="H156" i="15" s="1"/>
  <c r="G150" i="15"/>
  <c r="G156" i="15" s="1"/>
  <c r="F150" i="15"/>
  <c r="F156" i="15" s="1"/>
  <c r="E150" i="15"/>
  <c r="E156" i="15" s="1"/>
  <c r="D150" i="15"/>
  <c r="D156" i="15" s="1"/>
  <c r="C150" i="15"/>
  <c r="C156" i="15" s="1"/>
  <c r="M198" i="15"/>
  <c r="M211" i="15" s="1"/>
  <c r="K198" i="15"/>
  <c r="K211" i="15" s="1"/>
  <c r="I198" i="15"/>
  <c r="I211" i="15" s="1"/>
  <c r="E198" i="15"/>
  <c r="E211" i="15" s="1"/>
  <c r="I46" i="15"/>
  <c r="H46" i="15"/>
  <c r="D46" i="15"/>
  <c r="O88" i="15"/>
  <c r="C13" i="15" s="1"/>
  <c r="M13" i="15" s="1"/>
  <c r="E350" i="2"/>
  <c r="O78" i="15"/>
  <c r="C12" i="15" s="1"/>
  <c r="M12" i="15" s="1"/>
  <c r="O98" i="15"/>
  <c r="C14" i="15" s="1"/>
  <c r="O68" i="15"/>
  <c r="C11" i="15" s="1"/>
  <c r="O58" i="15"/>
  <c r="C10" i="15" s="1"/>
  <c r="O48" i="15"/>
  <c r="C9" i="15" s="1"/>
  <c r="O38" i="15"/>
  <c r="C8" i="15" s="1"/>
  <c r="C46" i="15"/>
  <c r="O15" i="16"/>
  <c r="O8" i="16"/>
  <c r="O9" i="16"/>
  <c r="O10" i="16"/>
  <c r="O11" i="16"/>
  <c r="O12" i="16"/>
  <c r="O6" i="16"/>
  <c r="O13" i="16"/>
  <c r="O7" i="16"/>
  <c r="F283" i="1"/>
  <c r="C11" i="8"/>
  <c r="B11" i="8"/>
  <c r="C10" i="8"/>
  <c r="B10" i="8"/>
  <c r="C9" i="8"/>
  <c r="B9" i="8"/>
  <c r="C8" i="8"/>
  <c r="B8" i="8"/>
  <c r="C7" i="8"/>
  <c r="B7" i="8"/>
  <c r="C6" i="8"/>
  <c r="B6" i="8"/>
  <c r="B7" i="9"/>
  <c r="C7" i="9"/>
  <c r="B8" i="9"/>
  <c r="C8" i="9"/>
  <c r="B9" i="9"/>
  <c r="C9" i="9"/>
  <c r="B10" i="9"/>
  <c r="C10" i="9"/>
  <c r="B11" i="9"/>
  <c r="C11" i="9"/>
  <c r="C6" i="9"/>
  <c r="B6" i="9"/>
  <c r="A32" i="15"/>
  <c r="O109" i="15"/>
  <c r="O110" i="15" s="1"/>
  <c r="F262" i="1"/>
  <c r="Y258" i="1"/>
  <c r="W258" i="1"/>
  <c r="U258" i="1"/>
  <c r="S258" i="1"/>
  <c r="R258" i="1"/>
  <c r="P258" i="1"/>
  <c r="O258" i="1"/>
  <c r="M258" i="1"/>
  <c r="K258" i="1"/>
  <c r="I258" i="1"/>
  <c r="H258" i="1"/>
  <c r="O59" i="15"/>
  <c r="D10" i="15" s="1"/>
  <c r="B8" i="15"/>
  <c r="B38" i="15" s="1"/>
  <c r="B9" i="15"/>
  <c r="B48" i="15" s="1"/>
  <c r="B10" i="15"/>
  <c r="B58" i="15" s="1"/>
  <c r="B11" i="15"/>
  <c r="B68" i="15" s="1"/>
  <c r="B12" i="15"/>
  <c r="B78" i="15" s="1"/>
  <c r="B13" i="15"/>
  <c r="B88" i="15" s="1"/>
  <c r="B14" i="15"/>
  <c r="B98" i="15" s="1"/>
  <c r="B15" i="15"/>
  <c r="B108" i="15" s="1"/>
  <c r="B16" i="15"/>
  <c r="B118" i="15" s="1"/>
  <c r="B17" i="15"/>
  <c r="B128" i="15" s="1"/>
  <c r="B18" i="15"/>
  <c r="B19" i="15"/>
  <c r="B148" i="15" s="1"/>
  <c r="B20" i="15"/>
  <c r="B158" i="15" s="1"/>
  <c r="B21" i="15"/>
  <c r="B168" i="15" s="1"/>
  <c r="B22" i="15"/>
  <c r="B178" i="15" s="1"/>
  <c r="B23" i="15"/>
  <c r="B188" i="15" s="1"/>
  <c r="A23" i="15"/>
  <c r="A188" i="15" s="1"/>
  <c r="A22" i="15"/>
  <c r="A178" i="15" s="1"/>
  <c r="A21" i="15"/>
  <c r="A168" i="15" s="1"/>
  <c r="A20" i="15"/>
  <c r="A158" i="15" s="1"/>
  <c r="A19" i="15"/>
  <c r="A148" i="15" s="1"/>
  <c r="A18" i="15"/>
  <c r="A17" i="15"/>
  <c r="A16" i="15"/>
  <c r="A15" i="15"/>
  <c r="A14" i="15"/>
  <c r="A13" i="15"/>
  <c r="L13" i="15" s="1"/>
  <c r="A12" i="15"/>
  <c r="L12" i="15" s="1"/>
  <c r="A11" i="15"/>
  <c r="L11" i="15" s="1"/>
  <c r="A10" i="15"/>
  <c r="L10" i="15" s="1"/>
  <c r="A9" i="15"/>
  <c r="L9" i="15" s="1"/>
  <c r="A8" i="15"/>
  <c r="L8" i="15" s="1"/>
  <c r="O3" i="2"/>
  <c r="N3" i="2"/>
  <c r="M3" i="2"/>
  <c r="L3" i="2"/>
  <c r="K3" i="2"/>
  <c r="J3" i="2"/>
  <c r="I3" i="2"/>
  <c r="H3" i="2"/>
  <c r="G3" i="2"/>
  <c r="F3" i="2"/>
  <c r="K2" i="2"/>
  <c r="J2" i="2"/>
  <c r="I2" i="2"/>
  <c r="H2" i="2"/>
  <c r="G2" i="2"/>
  <c r="F2" i="2"/>
  <c r="N184" i="15"/>
  <c r="M184" i="15"/>
  <c r="L184" i="15"/>
  <c r="K184" i="15"/>
  <c r="J184" i="15"/>
  <c r="I184" i="15"/>
  <c r="H184" i="15"/>
  <c r="G184" i="15"/>
  <c r="F184" i="15"/>
  <c r="E184" i="15"/>
  <c r="D184" i="15"/>
  <c r="C184" i="15"/>
  <c r="Q182" i="15"/>
  <c r="H22" i="15" s="1"/>
  <c r="T437" i="2" s="1"/>
  <c r="O182" i="15"/>
  <c r="O179" i="15"/>
  <c r="O180" i="15" s="1"/>
  <c r="N174" i="15"/>
  <c r="M174" i="15"/>
  <c r="L174" i="15"/>
  <c r="K174" i="15"/>
  <c r="J174" i="15"/>
  <c r="I174" i="15"/>
  <c r="H174" i="15"/>
  <c r="G174" i="15"/>
  <c r="F174" i="15"/>
  <c r="E174" i="15"/>
  <c r="D174" i="15"/>
  <c r="C174" i="15"/>
  <c r="Q172" i="15"/>
  <c r="H21" i="15" s="1"/>
  <c r="S437" i="2" s="1"/>
  <c r="O172" i="15"/>
  <c r="O169" i="15"/>
  <c r="O170" i="15" s="1"/>
  <c r="N164" i="15"/>
  <c r="M164" i="15"/>
  <c r="L164" i="15"/>
  <c r="K164" i="15"/>
  <c r="J164" i="15"/>
  <c r="I164" i="15"/>
  <c r="H164" i="15"/>
  <c r="G164" i="15"/>
  <c r="F164" i="15"/>
  <c r="E164" i="15"/>
  <c r="D164" i="15"/>
  <c r="C164" i="15"/>
  <c r="Q162" i="15"/>
  <c r="H20" i="15" s="1"/>
  <c r="R437" i="2" s="1"/>
  <c r="O162" i="15"/>
  <c r="O159" i="15"/>
  <c r="N154" i="15"/>
  <c r="M154" i="15"/>
  <c r="L154" i="15"/>
  <c r="K154" i="15"/>
  <c r="J154" i="15"/>
  <c r="I154" i="15"/>
  <c r="H154" i="15"/>
  <c r="G154" i="15"/>
  <c r="F154" i="15"/>
  <c r="E154" i="15"/>
  <c r="D154" i="15"/>
  <c r="C154" i="15"/>
  <c r="Q152" i="15"/>
  <c r="H19" i="15" s="1"/>
  <c r="Q437" i="2" s="1"/>
  <c r="O152" i="15"/>
  <c r="O149" i="15"/>
  <c r="Q142" i="15"/>
  <c r="H18" i="15" s="1"/>
  <c r="P437" i="2" s="1"/>
  <c r="Q132" i="15"/>
  <c r="H17" i="15" s="1"/>
  <c r="O437" i="2" s="1"/>
  <c r="D17" i="15"/>
  <c r="O119" i="15"/>
  <c r="N6" i="15"/>
  <c r="P6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M6" i="15"/>
  <c r="M15" i="15"/>
  <c r="M16" i="15"/>
  <c r="M17" i="15"/>
  <c r="M18" i="15"/>
  <c r="M19" i="15"/>
  <c r="M20" i="15"/>
  <c r="M21" i="15"/>
  <c r="M22" i="15"/>
  <c r="M23" i="15"/>
  <c r="M5" i="15"/>
  <c r="E384" i="2"/>
  <c r="E520" i="2" s="1"/>
  <c r="AF615" i="2"/>
  <c r="AE615" i="2"/>
  <c r="AD615" i="2"/>
  <c r="AC615" i="2"/>
  <c r="AB615" i="2"/>
  <c r="AA615" i="2"/>
  <c r="Z615" i="2"/>
  <c r="Y615" i="2"/>
  <c r="X615" i="2"/>
  <c r="W615" i="2"/>
  <c r="V615" i="2"/>
  <c r="U615" i="2"/>
  <c r="T615" i="2"/>
  <c r="S615" i="2"/>
  <c r="AF589" i="2"/>
  <c r="AE589" i="2"/>
  <c r="AD589" i="2"/>
  <c r="AC589" i="2"/>
  <c r="AB589" i="2"/>
  <c r="AA589" i="2"/>
  <c r="Z589" i="2"/>
  <c r="Y589" i="2"/>
  <c r="X589" i="2"/>
  <c r="W589" i="2"/>
  <c r="V589" i="2"/>
  <c r="U589" i="2"/>
  <c r="T589" i="2"/>
  <c r="S589" i="2"/>
  <c r="Q287" i="1"/>
  <c r="S649" i="2"/>
  <c r="S639" i="2"/>
  <c r="S637" i="2"/>
  <c r="O201" i="15"/>
  <c r="AG430" i="2"/>
  <c r="AH430" i="2" s="1"/>
  <c r="Z417" i="2"/>
  <c r="U426" i="2"/>
  <c r="U427" i="2" s="1"/>
  <c r="U429" i="2" s="1"/>
  <c r="T426" i="2"/>
  <c r="T427" i="2" s="1"/>
  <c r="S426" i="2"/>
  <c r="S427" i="2" s="1"/>
  <c r="S429" i="2" s="1"/>
  <c r="R426" i="2"/>
  <c r="R431" i="2" s="1"/>
  <c r="Q426" i="2"/>
  <c r="Q431" i="2" s="1"/>
  <c r="P426" i="2"/>
  <c r="O426" i="2"/>
  <c r="O427" i="2" s="1"/>
  <c r="O429" i="2" s="1"/>
  <c r="N426" i="2"/>
  <c r="N427" i="2" s="1"/>
  <c r="N429" i="2" s="1"/>
  <c r="N431" i="2" s="1"/>
  <c r="M426" i="2"/>
  <c r="U422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D198" i="15"/>
  <c r="D211" i="15" s="1"/>
  <c r="F198" i="15"/>
  <c r="F211" i="15" s="1"/>
  <c r="H198" i="15"/>
  <c r="H211" i="15" s="1"/>
  <c r="J198" i="15"/>
  <c r="J211" i="15" s="1"/>
  <c r="L198" i="15"/>
  <c r="L211" i="15" s="1"/>
  <c r="N198" i="15"/>
  <c r="N211" i="15" s="1"/>
  <c r="V425" i="2"/>
  <c r="V403" i="2" s="1"/>
  <c r="W425" i="2"/>
  <c r="W403" i="2" s="1"/>
  <c r="X425" i="2"/>
  <c r="X403" i="2" s="1"/>
  <c r="Y425" i="2"/>
  <c r="Y403" i="2" s="1"/>
  <c r="Z425" i="2"/>
  <c r="Z403" i="2" s="1"/>
  <c r="AA425" i="2"/>
  <c r="AA403" i="2"/>
  <c r="AB425" i="2"/>
  <c r="AB403" i="2" s="1"/>
  <c r="AC425" i="2"/>
  <c r="AC403" i="2" s="1"/>
  <c r="AD425" i="2"/>
  <c r="AD403" i="2" s="1"/>
  <c r="AE425" i="2"/>
  <c r="AE403" i="2" s="1"/>
  <c r="AF425" i="2"/>
  <c r="AF403" i="2" s="1"/>
  <c r="V416" i="2"/>
  <c r="W416" i="2"/>
  <c r="X416" i="2"/>
  <c r="Y416" i="2"/>
  <c r="Z416" i="2"/>
  <c r="AA416" i="2"/>
  <c r="AB416" i="2"/>
  <c r="AC416" i="2"/>
  <c r="AD416" i="2"/>
  <c r="AE416" i="2"/>
  <c r="AF416" i="2"/>
  <c r="V409" i="2"/>
  <c r="V410" i="2" s="1"/>
  <c r="W409" i="2"/>
  <c r="W410" i="2" s="1"/>
  <c r="X409" i="2"/>
  <c r="X410" i="2" s="1"/>
  <c r="Y409" i="2"/>
  <c r="Y410" i="2" s="1"/>
  <c r="Z409" i="2"/>
  <c r="Z410" i="2" s="1"/>
  <c r="AA409" i="2"/>
  <c r="AA410" i="2" s="1"/>
  <c r="AB409" i="2"/>
  <c r="AB410" i="2" s="1"/>
  <c r="AC409" i="2"/>
  <c r="AC410" i="2" s="1"/>
  <c r="AD409" i="2"/>
  <c r="AD410" i="2" s="1"/>
  <c r="AE409" i="2"/>
  <c r="AE410" i="2" s="1"/>
  <c r="AF409" i="2"/>
  <c r="AF410" i="2" s="1"/>
  <c r="V442" i="2"/>
  <c r="V449" i="2" s="1"/>
  <c r="V456" i="2"/>
  <c r="V463" i="2" s="1"/>
  <c r="V470" i="2"/>
  <c r="V477" i="2" s="1"/>
  <c r="V489" i="2"/>
  <c r="V496" i="2"/>
  <c r="V562" i="2"/>
  <c r="V564" i="2"/>
  <c r="V573" i="2"/>
  <c r="V578" i="2"/>
  <c r="V598" i="2"/>
  <c r="V624" i="2" s="1"/>
  <c r="V603" i="2"/>
  <c r="V629" i="2" s="1"/>
  <c r="F354" i="1"/>
  <c r="F345" i="1"/>
  <c r="AA352" i="1"/>
  <c r="Y352" i="1"/>
  <c r="W352" i="1"/>
  <c r="U352" i="1"/>
  <c r="S352" i="1"/>
  <c r="R352" i="1"/>
  <c r="P352" i="1"/>
  <c r="O352" i="1"/>
  <c r="M352" i="1"/>
  <c r="K352" i="1"/>
  <c r="I352" i="1"/>
  <c r="H352" i="1"/>
  <c r="AA351" i="1"/>
  <c r="Y351" i="1"/>
  <c r="W351" i="1"/>
  <c r="U351" i="1"/>
  <c r="S351" i="1"/>
  <c r="R351" i="1"/>
  <c r="P351" i="1"/>
  <c r="O351" i="1"/>
  <c r="M351" i="1"/>
  <c r="K351" i="1"/>
  <c r="I351" i="1"/>
  <c r="H351" i="1"/>
  <c r="AA350" i="1"/>
  <c r="Y350" i="1"/>
  <c r="W350" i="1"/>
  <c r="U350" i="1"/>
  <c r="S350" i="1"/>
  <c r="R350" i="1"/>
  <c r="P350" i="1"/>
  <c r="O350" i="1"/>
  <c r="M350" i="1"/>
  <c r="K350" i="1"/>
  <c r="I350" i="1"/>
  <c r="H350" i="1"/>
  <c r="AA349" i="1"/>
  <c r="Y349" i="1"/>
  <c r="W349" i="1"/>
  <c r="U349" i="1"/>
  <c r="S349" i="1"/>
  <c r="R349" i="1"/>
  <c r="P349" i="1"/>
  <c r="O349" i="1"/>
  <c r="M349" i="1"/>
  <c r="K349" i="1"/>
  <c r="I349" i="1"/>
  <c r="H349" i="1"/>
  <c r="AA348" i="1"/>
  <c r="Y348" i="1"/>
  <c r="W348" i="1"/>
  <c r="U348" i="1"/>
  <c r="S348" i="1"/>
  <c r="R348" i="1"/>
  <c r="P348" i="1"/>
  <c r="O348" i="1"/>
  <c r="M348" i="1"/>
  <c r="K348" i="1"/>
  <c r="I348" i="1"/>
  <c r="H348" i="1"/>
  <c r="AA343" i="1"/>
  <c r="Y343" i="1"/>
  <c r="W343" i="1"/>
  <c r="U343" i="1"/>
  <c r="S343" i="1"/>
  <c r="R343" i="1"/>
  <c r="P343" i="1"/>
  <c r="O343" i="1"/>
  <c r="M343" i="1"/>
  <c r="K343" i="1"/>
  <c r="I343" i="1"/>
  <c r="H343" i="1"/>
  <c r="AA342" i="1"/>
  <c r="Y342" i="1"/>
  <c r="W342" i="1"/>
  <c r="U342" i="1"/>
  <c r="S342" i="1"/>
  <c r="R342" i="1"/>
  <c r="P342" i="1"/>
  <c r="O342" i="1"/>
  <c r="M342" i="1"/>
  <c r="K342" i="1"/>
  <c r="I342" i="1"/>
  <c r="H342" i="1"/>
  <c r="AA341" i="1"/>
  <c r="Y341" i="1"/>
  <c r="W341" i="1"/>
  <c r="U341" i="1"/>
  <c r="S341" i="1"/>
  <c r="R341" i="1"/>
  <c r="P341" i="1"/>
  <c r="O341" i="1"/>
  <c r="M341" i="1"/>
  <c r="K341" i="1"/>
  <c r="I341" i="1"/>
  <c r="H341" i="1"/>
  <c r="AA340" i="1"/>
  <c r="Y340" i="1"/>
  <c r="W340" i="1"/>
  <c r="U340" i="1"/>
  <c r="S340" i="1"/>
  <c r="R340" i="1"/>
  <c r="P340" i="1"/>
  <c r="O340" i="1"/>
  <c r="M340" i="1"/>
  <c r="K340" i="1"/>
  <c r="I340" i="1"/>
  <c r="H340" i="1"/>
  <c r="AA339" i="1"/>
  <c r="Y339" i="1"/>
  <c r="W339" i="1"/>
  <c r="U339" i="1"/>
  <c r="S339" i="1"/>
  <c r="R339" i="1"/>
  <c r="P339" i="1"/>
  <c r="O339" i="1"/>
  <c r="M339" i="1"/>
  <c r="K339" i="1"/>
  <c r="I339" i="1"/>
  <c r="H339" i="1"/>
  <c r="AA338" i="1"/>
  <c r="Y338" i="1"/>
  <c r="W338" i="1"/>
  <c r="U338" i="1"/>
  <c r="S338" i="1"/>
  <c r="R338" i="1"/>
  <c r="P338" i="1"/>
  <c r="O338" i="1"/>
  <c r="M338" i="1"/>
  <c r="K338" i="1"/>
  <c r="I338" i="1"/>
  <c r="H338" i="1"/>
  <c r="AA337" i="1"/>
  <c r="Y337" i="1"/>
  <c r="W337" i="1"/>
  <c r="U337" i="1"/>
  <c r="S337" i="1"/>
  <c r="R337" i="1"/>
  <c r="P337" i="1"/>
  <c r="O337" i="1"/>
  <c r="M337" i="1"/>
  <c r="K337" i="1"/>
  <c r="I337" i="1"/>
  <c r="H337" i="1"/>
  <c r="AA336" i="1"/>
  <c r="Y336" i="1"/>
  <c r="W336" i="1"/>
  <c r="U336" i="1"/>
  <c r="S336" i="1"/>
  <c r="R336" i="1"/>
  <c r="P336" i="1"/>
  <c r="O336" i="1"/>
  <c r="M336" i="1"/>
  <c r="K336" i="1"/>
  <c r="I336" i="1"/>
  <c r="H336" i="1"/>
  <c r="AA177" i="1"/>
  <c r="Y177" i="1"/>
  <c r="W177" i="1"/>
  <c r="U177" i="1"/>
  <c r="S177" i="1"/>
  <c r="R177" i="1"/>
  <c r="P177" i="1"/>
  <c r="O177" i="1"/>
  <c r="M177" i="1"/>
  <c r="K177" i="1"/>
  <c r="AB486" i="1"/>
  <c r="AC486" i="1" s="1"/>
  <c r="AA156" i="1"/>
  <c r="Y156" i="1"/>
  <c r="W156" i="1"/>
  <c r="U156" i="1"/>
  <c r="S156" i="1"/>
  <c r="R156" i="1"/>
  <c r="P156" i="1"/>
  <c r="O156" i="1"/>
  <c r="M156" i="1"/>
  <c r="K156" i="1"/>
  <c r="I156" i="1"/>
  <c r="H156" i="1"/>
  <c r="AA21" i="1"/>
  <c r="Y21" i="1"/>
  <c r="W21" i="1"/>
  <c r="U21" i="1"/>
  <c r="S21" i="1"/>
  <c r="R21" i="1"/>
  <c r="P21" i="1"/>
  <c r="O21" i="1"/>
  <c r="M21" i="1"/>
  <c r="K21" i="1"/>
  <c r="I21" i="1"/>
  <c r="H21" i="1"/>
  <c r="AA22" i="1"/>
  <c r="Y22" i="1"/>
  <c r="W22" i="1"/>
  <c r="U22" i="1"/>
  <c r="S22" i="1"/>
  <c r="R22" i="1"/>
  <c r="P22" i="1"/>
  <c r="O22" i="1"/>
  <c r="M22" i="1"/>
  <c r="K22" i="1"/>
  <c r="I22" i="1"/>
  <c r="H22" i="1"/>
  <c r="AA20" i="1"/>
  <c r="Y20" i="1"/>
  <c r="W20" i="1"/>
  <c r="U20" i="1"/>
  <c r="S20" i="1"/>
  <c r="R20" i="1"/>
  <c r="P20" i="1"/>
  <c r="O20" i="1"/>
  <c r="M20" i="1"/>
  <c r="K20" i="1"/>
  <c r="I20" i="1"/>
  <c r="H20" i="1"/>
  <c r="AA19" i="1"/>
  <c r="Y19" i="1"/>
  <c r="W19" i="1"/>
  <c r="U19" i="1"/>
  <c r="S19" i="1"/>
  <c r="R19" i="1"/>
  <c r="P19" i="1"/>
  <c r="O19" i="1"/>
  <c r="M19" i="1"/>
  <c r="K19" i="1"/>
  <c r="I19" i="1"/>
  <c r="H19" i="1"/>
  <c r="AA18" i="1"/>
  <c r="Y18" i="1"/>
  <c r="W18" i="1"/>
  <c r="U18" i="1"/>
  <c r="S18" i="1"/>
  <c r="R18" i="1"/>
  <c r="P18" i="1"/>
  <c r="O18" i="1"/>
  <c r="M18" i="1"/>
  <c r="K18" i="1"/>
  <c r="I18" i="1"/>
  <c r="H18" i="1"/>
  <c r="AA17" i="1"/>
  <c r="Y17" i="1"/>
  <c r="W17" i="1"/>
  <c r="U17" i="1"/>
  <c r="S17" i="1"/>
  <c r="R17" i="1"/>
  <c r="P17" i="1"/>
  <c r="O17" i="1"/>
  <c r="M17" i="1"/>
  <c r="K17" i="1"/>
  <c r="I17" i="1"/>
  <c r="H17" i="1"/>
  <c r="AA16" i="1"/>
  <c r="Y16" i="1"/>
  <c r="W16" i="1"/>
  <c r="U16" i="1"/>
  <c r="S16" i="1"/>
  <c r="R16" i="1"/>
  <c r="P16" i="1"/>
  <c r="O16" i="1"/>
  <c r="M16" i="1"/>
  <c r="K16" i="1"/>
  <c r="I16" i="1"/>
  <c r="H16" i="1"/>
  <c r="AA15" i="1"/>
  <c r="Y15" i="1"/>
  <c r="W15" i="1"/>
  <c r="U15" i="1"/>
  <c r="S15" i="1"/>
  <c r="R15" i="1"/>
  <c r="P15" i="1"/>
  <c r="O15" i="1"/>
  <c r="M15" i="1"/>
  <c r="K15" i="1"/>
  <c r="I15" i="1"/>
  <c r="H15" i="1"/>
  <c r="F24" i="1"/>
  <c r="K162" i="1"/>
  <c r="F159" i="1"/>
  <c r="F168" i="1"/>
  <c r="F180" i="1"/>
  <c r="AA176" i="1"/>
  <c r="Y176" i="1"/>
  <c r="W176" i="1"/>
  <c r="U176" i="1"/>
  <c r="S176" i="1"/>
  <c r="R176" i="1"/>
  <c r="P176" i="1"/>
  <c r="O176" i="1"/>
  <c r="M176" i="1"/>
  <c r="K176" i="1"/>
  <c r="Y241" i="1"/>
  <c r="K27" i="1"/>
  <c r="AE587" i="2"/>
  <c r="AE613" i="2" s="1"/>
  <c r="AE588" i="2"/>
  <c r="AE614" i="2" s="1"/>
  <c r="G451" i="2"/>
  <c r="AG451" i="2" s="1"/>
  <c r="AH451" i="2" s="1"/>
  <c r="H451" i="2"/>
  <c r="I451" i="2"/>
  <c r="J451" i="2"/>
  <c r="K451" i="2"/>
  <c r="L451" i="2"/>
  <c r="M451" i="2"/>
  <c r="N451" i="2"/>
  <c r="O451" i="2"/>
  <c r="P451" i="2"/>
  <c r="Q451" i="2"/>
  <c r="R451" i="2"/>
  <c r="S451" i="2"/>
  <c r="F451" i="2"/>
  <c r="E451" i="2"/>
  <c r="F422" i="2"/>
  <c r="N194" i="15"/>
  <c r="M194" i="15"/>
  <c r="K194" i="15"/>
  <c r="G194" i="15"/>
  <c r="F194" i="15"/>
  <c r="E194" i="15"/>
  <c r="C194" i="15"/>
  <c r="O189" i="15"/>
  <c r="O190" i="15" s="1"/>
  <c r="O99" i="15"/>
  <c r="O100" i="15" s="1"/>
  <c r="O69" i="15"/>
  <c r="O70" i="15" s="1"/>
  <c r="O49" i="15"/>
  <c r="O50" i="15" s="1"/>
  <c r="N46" i="15"/>
  <c r="M42" i="15"/>
  <c r="M44" i="15" s="1"/>
  <c r="L42" i="15"/>
  <c r="L44" i="15" s="1"/>
  <c r="K42" i="15"/>
  <c r="K44" i="15" s="1"/>
  <c r="J42" i="15"/>
  <c r="J44" i="15" s="1"/>
  <c r="G46" i="15"/>
  <c r="F42" i="15"/>
  <c r="E46" i="15"/>
  <c r="O39" i="15"/>
  <c r="E25" i="15"/>
  <c r="M40" i="1"/>
  <c r="L54" i="1"/>
  <c r="L56" i="1" s="1"/>
  <c r="L58" i="1" s="1"/>
  <c r="F54" i="1"/>
  <c r="F392" i="1"/>
  <c r="J56" i="1"/>
  <c r="J58" i="1" s="1"/>
  <c r="Q56" i="1"/>
  <c r="Q58" i="1" s="1"/>
  <c r="T56" i="1"/>
  <c r="T58" i="1" s="1"/>
  <c r="V56" i="1"/>
  <c r="V58" i="1" s="1"/>
  <c r="X56" i="1"/>
  <c r="X58" i="1" s="1"/>
  <c r="Z56" i="1"/>
  <c r="Q458" i="2"/>
  <c r="AG458" i="2" s="1"/>
  <c r="AH458" i="2" s="1"/>
  <c r="N8" i="10"/>
  <c r="O8" i="10"/>
  <c r="F8" i="10"/>
  <c r="K7" i="10"/>
  <c r="K8" i="10" s="1"/>
  <c r="L7" i="10"/>
  <c r="L8" i="10" s="1"/>
  <c r="R7" i="10"/>
  <c r="R8" i="10" s="1"/>
  <c r="Q7" i="10"/>
  <c r="Q8" i="10" s="1"/>
  <c r="M7" i="10"/>
  <c r="M8" i="10"/>
  <c r="J7" i="10"/>
  <c r="J8" i="10" s="1"/>
  <c r="I7" i="10"/>
  <c r="I8" i="10" s="1"/>
  <c r="H7" i="10"/>
  <c r="H8" i="10" s="1"/>
  <c r="G7" i="10"/>
  <c r="S6" i="10"/>
  <c r="T6" i="10" s="1"/>
  <c r="AG491" i="2"/>
  <c r="AH491" i="2" s="1"/>
  <c r="K175" i="1"/>
  <c r="M175" i="1"/>
  <c r="O175" i="1"/>
  <c r="P175" i="1"/>
  <c r="R175" i="1"/>
  <c r="S175" i="1"/>
  <c r="U175" i="1"/>
  <c r="W175" i="1"/>
  <c r="Y175" i="1"/>
  <c r="AA175" i="1"/>
  <c r="AA432" i="1"/>
  <c r="W432" i="1"/>
  <c r="U432" i="1"/>
  <c r="S432" i="1"/>
  <c r="R432" i="1"/>
  <c r="P432" i="1"/>
  <c r="O432" i="1"/>
  <c r="M432" i="1"/>
  <c r="K432" i="1"/>
  <c r="I432" i="1"/>
  <c r="H432" i="1"/>
  <c r="Y432" i="1"/>
  <c r="AA255" i="1"/>
  <c r="W255" i="1"/>
  <c r="U255" i="1"/>
  <c r="S255" i="1"/>
  <c r="R255" i="1"/>
  <c r="P255" i="1"/>
  <c r="O255" i="1"/>
  <c r="M255" i="1"/>
  <c r="K255" i="1"/>
  <c r="I255" i="1"/>
  <c r="H255" i="1"/>
  <c r="Y255" i="1"/>
  <c r="AD456" i="2"/>
  <c r="AD486" i="2" s="1"/>
  <c r="AC456" i="2"/>
  <c r="AC486" i="2" s="1"/>
  <c r="AA456" i="2"/>
  <c r="AA486" i="2" s="1"/>
  <c r="Z427" i="2"/>
  <c r="Z428" i="2" s="1"/>
  <c r="AB427" i="2"/>
  <c r="AB429" i="2" s="1"/>
  <c r="AD427" i="2"/>
  <c r="AD429" i="2" s="1"/>
  <c r="AA427" i="2"/>
  <c r="AA429" i="2" s="1"/>
  <c r="AC427" i="2"/>
  <c r="AC429" i="2" s="1"/>
  <c r="AE427" i="2"/>
  <c r="AE428" i="2" s="1"/>
  <c r="AF427" i="2"/>
  <c r="AF429" i="2" s="1"/>
  <c r="AE442" i="2"/>
  <c r="AE449" i="2" s="1"/>
  <c r="AF442" i="2"/>
  <c r="AF449" i="2" s="1"/>
  <c r="AG444" i="2"/>
  <c r="AH444" i="2" s="1"/>
  <c r="AE456" i="2"/>
  <c r="AE486" i="2" s="1"/>
  <c r="AF456" i="2"/>
  <c r="AF486" i="2" s="1"/>
  <c r="E463" i="2"/>
  <c r="AD465" i="2"/>
  <c r="AG465" i="2" s="1"/>
  <c r="AH465" i="2" s="1"/>
  <c r="AF470" i="2"/>
  <c r="AF477" i="2" s="1"/>
  <c r="AG472" i="2"/>
  <c r="AH472" i="2" s="1"/>
  <c r="AE477" i="2"/>
  <c r="AG479" i="2"/>
  <c r="AH479" i="2" s="1"/>
  <c r="E486" i="2"/>
  <c r="AF496" i="2"/>
  <c r="AF624" i="2"/>
  <c r="AF629" i="2"/>
  <c r="AE630" i="2"/>
  <c r="Z456" i="2"/>
  <c r="Z486" i="2" s="1"/>
  <c r="Z470" i="2"/>
  <c r="Z477" i="2" s="1"/>
  <c r="AD477" i="2"/>
  <c r="AB442" i="2"/>
  <c r="AB449" i="2" s="1"/>
  <c r="AB470" i="2"/>
  <c r="AB477" i="2" s="1"/>
  <c r="K28" i="1"/>
  <c r="K29" i="1"/>
  <c r="K30" i="1"/>
  <c r="K31" i="1"/>
  <c r="K32" i="1"/>
  <c r="K33" i="1"/>
  <c r="M41" i="1"/>
  <c r="M295" i="1" s="1"/>
  <c r="M42" i="1"/>
  <c r="M400" i="1" s="1"/>
  <c r="M43" i="1"/>
  <c r="M44" i="1"/>
  <c r="M401" i="1" s="1"/>
  <c r="M45" i="1"/>
  <c r="M299" i="1" s="1"/>
  <c r="M46" i="1"/>
  <c r="M47" i="1"/>
  <c r="M301" i="1" s="1"/>
  <c r="M166" i="1"/>
  <c r="M48" i="1"/>
  <c r="M388" i="1" s="1"/>
  <c r="M49" i="1"/>
  <c r="M50" i="1"/>
  <c r="M51" i="1"/>
  <c r="M52" i="1"/>
  <c r="M305" i="1" s="1"/>
  <c r="O40" i="1"/>
  <c r="O41" i="1"/>
  <c r="O109" i="1" s="1"/>
  <c r="O42" i="1"/>
  <c r="O400" i="1" s="1"/>
  <c r="O48" i="1"/>
  <c r="O388" i="1" s="1"/>
  <c r="O49" i="1"/>
  <c r="O117" i="1" s="1"/>
  <c r="O50" i="1"/>
  <c r="O118" i="1" s="1"/>
  <c r="O154" i="1"/>
  <c r="O51" i="1"/>
  <c r="O52" i="1"/>
  <c r="O225" i="1" s="1"/>
  <c r="U27" i="1"/>
  <c r="U28" i="1"/>
  <c r="U29" i="1"/>
  <c r="U30" i="1"/>
  <c r="U31" i="1"/>
  <c r="U32" i="1"/>
  <c r="U33" i="1"/>
  <c r="U40" i="1"/>
  <c r="U41" i="1"/>
  <c r="U42" i="1"/>
  <c r="U203" i="1" s="1"/>
  <c r="U43" i="1"/>
  <c r="U44" i="1"/>
  <c r="U205" i="1" s="1"/>
  <c r="U45" i="1"/>
  <c r="U113" i="1" s="1"/>
  <c r="U46" i="1"/>
  <c r="U300" i="1" s="1"/>
  <c r="U47" i="1"/>
  <c r="U224" i="1" s="1"/>
  <c r="U48" i="1"/>
  <c r="U49" i="1"/>
  <c r="U226" i="1" s="1"/>
  <c r="U50" i="1"/>
  <c r="U207" i="1" s="1"/>
  <c r="U51" i="1"/>
  <c r="U52" i="1"/>
  <c r="U404" i="1" s="1"/>
  <c r="S27" i="1"/>
  <c r="S28" i="1"/>
  <c r="S29" i="1"/>
  <c r="S30" i="1"/>
  <c r="S31" i="1"/>
  <c r="S32" i="1"/>
  <c r="S33" i="1"/>
  <c r="S40" i="1"/>
  <c r="S41" i="1"/>
  <c r="S109" i="1" s="1"/>
  <c r="S42" i="1"/>
  <c r="S381" i="1" s="1"/>
  <c r="S43" i="1"/>
  <c r="S44" i="1"/>
  <c r="S45" i="1"/>
  <c r="S299" i="1" s="1"/>
  <c r="S46" i="1"/>
  <c r="S402" i="1" s="1"/>
  <c r="S47" i="1"/>
  <c r="S403" i="1" s="1"/>
  <c r="S48" i="1"/>
  <c r="S210" i="1" s="1"/>
  <c r="S49" i="1"/>
  <c r="S117" i="1" s="1"/>
  <c r="S50" i="1"/>
  <c r="S207" i="1" s="1"/>
  <c r="S51" i="1"/>
  <c r="S52" i="1"/>
  <c r="S225" i="1" s="1"/>
  <c r="R27" i="1"/>
  <c r="R28" i="1"/>
  <c r="R29" i="1"/>
  <c r="R30" i="1"/>
  <c r="R31" i="1"/>
  <c r="R32" i="1"/>
  <c r="R33" i="1"/>
  <c r="R40" i="1"/>
  <c r="R41" i="1"/>
  <c r="R42" i="1"/>
  <c r="R204" i="1" s="1"/>
  <c r="R43" i="1"/>
  <c r="R297" i="1" s="1"/>
  <c r="R44" i="1"/>
  <c r="R112" i="1" s="1"/>
  <c r="R45" i="1"/>
  <c r="R299" i="1" s="1"/>
  <c r="R46" i="1"/>
  <c r="R402" i="1" s="1"/>
  <c r="R47" i="1"/>
  <c r="R224" i="1" s="1"/>
  <c r="R48" i="1"/>
  <c r="R116" i="1" s="1"/>
  <c r="R49" i="1"/>
  <c r="R303" i="1" s="1"/>
  <c r="R50" i="1"/>
  <c r="R385" i="1" s="1"/>
  <c r="R51" i="1"/>
  <c r="R52" i="1"/>
  <c r="R305" i="1" s="1"/>
  <c r="M27" i="1"/>
  <c r="M28" i="1"/>
  <c r="M29" i="1"/>
  <c r="M30" i="1"/>
  <c r="M31" i="1"/>
  <c r="M32" i="1"/>
  <c r="M33" i="1"/>
  <c r="Y27" i="1"/>
  <c r="Y28" i="1"/>
  <c r="Y29" i="1"/>
  <c r="Y30" i="1"/>
  <c r="Y31" i="1"/>
  <c r="Y32" i="1"/>
  <c r="Y33" i="1"/>
  <c r="Y41" i="1"/>
  <c r="Y109" i="1" s="1"/>
  <c r="Y42" i="1"/>
  <c r="Y381" i="1" s="1"/>
  <c r="Y43" i="1"/>
  <c r="Y111" i="1" s="1"/>
  <c r="Y44" i="1"/>
  <c r="Y383" i="1" s="1"/>
  <c r="Y45" i="1"/>
  <c r="Y299" i="1" s="1"/>
  <c r="Y46" i="1"/>
  <c r="Y384" i="1" s="1"/>
  <c r="Y47" i="1"/>
  <c r="Y48" i="1"/>
  <c r="Y49" i="1"/>
  <c r="Y303" i="1" s="1"/>
  <c r="Y50" i="1"/>
  <c r="Y385" i="1" s="1"/>
  <c r="Y52" i="1"/>
  <c r="Y40" i="1"/>
  <c r="Y51" i="1"/>
  <c r="F75" i="1"/>
  <c r="AA27" i="1"/>
  <c r="AA28" i="1"/>
  <c r="AA29" i="1"/>
  <c r="AA30" i="1"/>
  <c r="AA31" i="1"/>
  <c r="AA32" i="1"/>
  <c r="AA33" i="1"/>
  <c r="AA40" i="1"/>
  <c r="AA41" i="1"/>
  <c r="AA42" i="1"/>
  <c r="AA204" i="1" s="1"/>
  <c r="AA43" i="1"/>
  <c r="AA111" i="1" s="1"/>
  <c r="AA44" i="1"/>
  <c r="AA298" i="1" s="1"/>
  <c r="AA45" i="1"/>
  <c r="AA299" i="1" s="1"/>
  <c r="AA46" i="1"/>
  <c r="AA206" i="1" s="1"/>
  <c r="AA47" i="1"/>
  <c r="AA224" i="1" s="1"/>
  <c r="AA48" i="1"/>
  <c r="AA388" i="1" s="1"/>
  <c r="AA157" i="1"/>
  <c r="AA49" i="1"/>
  <c r="AA405" i="1" s="1"/>
  <c r="AA50" i="1"/>
  <c r="AA154" i="1"/>
  <c r="AA51" i="1"/>
  <c r="AA52" i="1"/>
  <c r="AA305" i="1" s="1"/>
  <c r="P27" i="1"/>
  <c r="P28" i="1"/>
  <c r="P29" i="1"/>
  <c r="P30" i="1"/>
  <c r="P31" i="1"/>
  <c r="P32" i="1"/>
  <c r="P33" i="1"/>
  <c r="P40" i="1"/>
  <c r="P41" i="1"/>
  <c r="P109" i="1" s="1"/>
  <c r="P42" i="1"/>
  <c r="P221" i="1" s="1"/>
  <c r="P48" i="1"/>
  <c r="P302" i="1" s="1"/>
  <c r="P49" i="1"/>
  <c r="P303" i="1" s="1"/>
  <c r="P50" i="1"/>
  <c r="P118" i="1" s="1"/>
  <c r="P51" i="1"/>
  <c r="P52" i="1"/>
  <c r="P404" i="1" s="1"/>
  <c r="W27" i="1"/>
  <c r="W28" i="1"/>
  <c r="W29" i="1"/>
  <c r="W30" i="1"/>
  <c r="W31" i="1"/>
  <c r="W32" i="1"/>
  <c r="W33" i="1"/>
  <c r="W41" i="1"/>
  <c r="W42" i="1"/>
  <c r="W203" i="1" s="1"/>
  <c r="W43" i="1"/>
  <c r="W297" i="1" s="1"/>
  <c r="W44" i="1"/>
  <c r="W383" i="1" s="1"/>
  <c r="W45" i="1"/>
  <c r="W299" i="1" s="1"/>
  <c r="W46" i="1"/>
  <c r="W223" i="1" s="1"/>
  <c r="W47" i="1"/>
  <c r="W115" i="1" s="1"/>
  <c r="W48" i="1"/>
  <c r="W210" i="1" s="1"/>
  <c r="W49" i="1"/>
  <c r="W405" i="1" s="1"/>
  <c r="W50" i="1"/>
  <c r="W385" i="1" s="1"/>
  <c r="W52" i="1"/>
  <c r="W119" i="1" s="1"/>
  <c r="W40" i="1"/>
  <c r="W51" i="1"/>
  <c r="O27" i="1"/>
  <c r="O28" i="1"/>
  <c r="O29" i="1"/>
  <c r="O30" i="1"/>
  <c r="O31" i="1"/>
  <c r="O32" i="1"/>
  <c r="O33" i="1"/>
  <c r="F12" i="1"/>
  <c r="F91" i="1"/>
  <c r="F99" i="1" s="1"/>
  <c r="F124" i="1"/>
  <c r="Y387" i="1"/>
  <c r="Y362" i="1"/>
  <c r="Y363" i="1"/>
  <c r="Y417" i="1"/>
  <c r="Y418" i="1"/>
  <c r="Y419" i="1"/>
  <c r="Y420" i="1"/>
  <c r="Y421" i="1"/>
  <c r="Y426" i="1"/>
  <c r="Y427" i="1"/>
  <c r="Y428" i="1"/>
  <c r="Y429" i="1"/>
  <c r="Y430" i="1"/>
  <c r="Y431" i="1"/>
  <c r="Y433" i="1"/>
  <c r="Y434" i="1"/>
  <c r="Y435" i="1"/>
  <c r="Y436" i="1"/>
  <c r="Y209" i="1"/>
  <c r="Y212" i="1"/>
  <c r="Y240" i="1"/>
  <c r="Y242" i="1"/>
  <c r="Y243" i="1"/>
  <c r="Y249" i="1"/>
  <c r="Y250" i="1"/>
  <c r="Y251" i="1"/>
  <c r="Y252" i="1"/>
  <c r="Y253" i="1"/>
  <c r="Y254" i="1"/>
  <c r="Y256" i="1"/>
  <c r="Y257" i="1"/>
  <c r="Y259" i="1"/>
  <c r="Y260" i="1"/>
  <c r="F408" i="1"/>
  <c r="F377" i="1"/>
  <c r="F423" i="1"/>
  <c r="W209" i="1"/>
  <c r="W212" i="1"/>
  <c r="W178" i="1"/>
  <c r="W240" i="1"/>
  <c r="W241" i="1"/>
  <c r="W242" i="1"/>
  <c r="W243" i="1"/>
  <c r="W244" i="1"/>
  <c r="W249" i="1"/>
  <c r="W250" i="1"/>
  <c r="W251" i="1"/>
  <c r="W252" i="1"/>
  <c r="W253" i="1"/>
  <c r="W254" i="1"/>
  <c r="W256" i="1"/>
  <c r="W257" i="1"/>
  <c r="W259" i="1"/>
  <c r="W260" i="1"/>
  <c r="W387" i="1"/>
  <c r="W417" i="1"/>
  <c r="W418" i="1"/>
  <c r="W419" i="1"/>
  <c r="W420" i="1"/>
  <c r="W421" i="1"/>
  <c r="W426" i="1"/>
  <c r="W427" i="1"/>
  <c r="W428" i="1"/>
  <c r="W429" i="1"/>
  <c r="W430" i="1"/>
  <c r="W431" i="1"/>
  <c r="W433" i="1"/>
  <c r="W434" i="1"/>
  <c r="W435" i="1"/>
  <c r="W436" i="1"/>
  <c r="Y178" i="1"/>
  <c r="U209" i="1"/>
  <c r="U212" i="1"/>
  <c r="U178" i="1"/>
  <c r="U240" i="1"/>
  <c r="U241" i="1"/>
  <c r="U242" i="1"/>
  <c r="U243" i="1"/>
  <c r="U244" i="1"/>
  <c r="U249" i="1"/>
  <c r="U250" i="1"/>
  <c r="U251" i="1"/>
  <c r="U252" i="1"/>
  <c r="U253" i="1"/>
  <c r="U254" i="1"/>
  <c r="U256" i="1"/>
  <c r="U257" i="1"/>
  <c r="U259" i="1"/>
  <c r="U260" i="1"/>
  <c r="U387" i="1"/>
  <c r="U417" i="1"/>
  <c r="U418" i="1"/>
  <c r="U419" i="1"/>
  <c r="U420" i="1"/>
  <c r="U421" i="1"/>
  <c r="U426" i="1"/>
  <c r="U427" i="1"/>
  <c r="U428" i="1"/>
  <c r="U429" i="1"/>
  <c r="U430" i="1"/>
  <c r="U431" i="1"/>
  <c r="U433" i="1"/>
  <c r="U434" i="1"/>
  <c r="U435" i="1"/>
  <c r="U436" i="1"/>
  <c r="U362" i="1"/>
  <c r="U363" i="1"/>
  <c r="R387" i="1"/>
  <c r="R362" i="1"/>
  <c r="R363" i="1"/>
  <c r="R417" i="1"/>
  <c r="R418" i="1"/>
  <c r="R419" i="1"/>
  <c r="R420" i="1"/>
  <c r="R421" i="1"/>
  <c r="R426" i="1"/>
  <c r="R427" i="1"/>
  <c r="R428" i="1"/>
  <c r="R429" i="1"/>
  <c r="R430" i="1"/>
  <c r="R431" i="1"/>
  <c r="R433" i="1"/>
  <c r="R434" i="1"/>
  <c r="R435" i="1"/>
  <c r="R436" i="1"/>
  <c r="R209" i="1"/>
  <c r="R212" i="1"/>
  <c r="R240" i="1"/>
  <c r="R241" i="1"/>
  <c r="R242" i="1"/>
  <c r="R243" i="1"/>
  <c r="R244" i="1"/>
  <c r="R249" i="1"/>
  <c r="R250" i="1"/>
  <c r="R251" i="1"/>
  <c r="R252" i="1"/>
  <c r="R253" i="1"/>
  <c r="R254" i="1"/>
  <c r="R256" i="1"/>
  <c r="R257" i="1"/>
  <c r="R259" i="1"/>
  <c r="R260" i="1"/>
  <c r="R178" i="1"/>
  <c r="W362" i="1"/>
  <c r="W363" i="1"/>
  <c r="K202" i="1"/>
  <c r="K42" i="1"/>
  <c r="K400" i="1" s="1"/>
  <c r="K44" i="1"/>
  <c r="K222" i="1" s="1"/>
  <c r="K46" i="1"/>
  <c r="K223" i="1" s="1"/>
  <c r="K50" i="1"/>
  <c r="K304" i="1" s="1"/>
  <c r="K49" i="1"/>
  <c r="K209" i="1"/>
  <c r="K48" i="1"/>
  <c r="K302" i="1" s="1"/>
  <c r="K211" i="1"/>
  <c r="K212" i="1"/>
  <c r="K213" i="1"/>
  <c r="K220" i="1"/>
  <c r="K47" i="1"/>
  <c r="K403" i="1" s="1"/>
  <c r="K52" i="1"/>
  <c r="K404" i="1" s="1"/>
  <c r="K227" i="1"/>
  <c r="K240" i="1"/>
  <c r="K241" i="1"/>
  <c r="K242" i="1"/>
  <c r="K243" i="1"/>
  <c r="K244" i="1"/>
  <c r="K249" i="1"/>
  <c r="K250" i="1"/>
  <c r="K251" i="1"/>
  <c r="K252" i="1"/>
  <c r="K253" i="1"/>
  <c r="K254" i="1"/>
  <c r="K256" i="1"/>
  <c r="K257" i="1"/>
  <c r="K259" i="1"/>
  <c r="K260" i="1"/>
  <c r="K380" i="1"/>
  <c r="K387" i="1"/>
  <c r="K389" i="1"/>
  <c r="K390" i="1"/>
  <c r="K399" i="1"/>
  <c r="K406" i="1"/>
  <c r="K417" i="1"/>
  <c r="K418" i="1"/>
  <c r="K419" i="1"/>
  <c r="K420" i="1"/>
  <c r="K421" i="1"/>
  <c r="K426" i="1"/>
  <c r="K427" i="1"/>
  <c r="K428" i="1"/>
  <c r="K429" i="1"/>
  <c r="K430" i="1"/>
  <c r="K431" i="1"/>
  <c r="K433" i="1"/>
  <c r="K434" i="1"/>
  <c r="K435" i="1"/>
  <c r="K436" i="1"/>
  <c r="K78" i="1"/>
  <c r="K41" i="1"/>
  <c r="K43" i="1"/>
  <c r="K297" i="1" s="1"/>
  <c r="K45" i="1"/>
  <c r="K108" i="1"/>
  <c r="S387" i="1"/>
  <c r="S362" i="1"/>
  <c r="S363" i="1"/>
  <c r="S417" i="1"/>
  <c r="S418" i="1"/>
  <c r="S419" i="1"/>
  <c r="S420" i="1"/>
  <c r="S421" i="1"/>
  <c r="S426" i="1"/>
  <c r="S427" i="1"/>
  <c r="S428" i="1"/>
  <c r="S429" i="1"/>
  <c r="S430" i="1"/>
  <c r="S431" i="1"/>
  <c r="S433" i="1"/>
  <c r="S434" i="1"/>
  <c r="S435" i="1"/>
  <c r="S436" i="1"/>
  <c r="S209" i="1"/>
  <c r="S212" i="1"/>
  <c r="S240" i="1"/>
  <c r="S241" i="1"/>
  <c r="S242" i="1"/>
  <c r="S243" i="1"/>
  <c r="S244" i="1"/>
  <c r="S249" i="1"/>
  <c r="S250" i="1"/>
  <c r="S251" i="1"/>
  <c r="S252" i="1"/>
  <c r="S253" i="1"/>
  <c r="S254" i="1"/>
  <c r="S256" i="1"/>
  <c r="S257" i="1"/>
  <c r="S259" i="1"/>
  <c r="S260" i="1"/>
  <c r="AA209" i="1"/>
  <c r="AA212" i="1"/>
  <c r="AA178" i="1"/>
  <c r="AA240" i="1"/>
  <c r="AA241" i="1"/>
  <c r="AA242" i="1"/>
  <c r="AA243" i="1"/>
  <c r="AA244" i="1"/>
  <c r="AA249" i="1"/>
  <c r="AA250" i="1"/>
  <c r="AA251" i="1"/>
  <c r="AA252" i="1"/>
  <c r="AA253" i="1"/>
  <c r="AA254" i="1"/>
  <c r="AA256" i="1"/>
  <c r="AA257" i="1"/>
  <c r="AA259" i="1"/>
  <c r="AA260" i="1"/>
  <c r="AA387" i="1"/>
  <c r="AA417" i="1"/>
  <c r="AA418" i="1"/>
  <c r="AA419" i="1"/>
  <c r="AA420" i="1"/>
  <c r="AA421" i="1"/>
  <c r="AA426" i="1"/>
  <c r="AA427" i="1"/>
  <c r="AA428" i="1"/>
  <c r="AA429" i="1"/>
  <c r="AA430" i="1"/>
  <c r="AA431" i="1"/>
  <c r="AA433" i="1"/>
  <c r="AA434" i="1"/>
  <c r="AA435" i="1"/>
  <c r="AA436" i="1"/>
  <c r="P209" i="1"/>
  <c r="P212" i="1"/>
  <c r="P178" i="1"/>
  <c r="P240" i="1"/>
  <c r="P241" i="1"/>
  <c r="P242" i="1"/>
  <c r="P243" i="1"/>
  <c r="P244" i="1"/>
  <c r="P249" i="1"/>
  <c r="P250" i="1"/>
  <c r="P251" i="1"/>
  <c r="P252" i="1"/>
  <c r="P253" i="1"/>
  <c r="P254" i="1"/>
  <c r="P256" i="1"/>
  <c r="P257" i="1"/>
  <c r="P259" i="1"/>
  <c r="P260" i="1"/>
  <c r="P387" i="1"/>
  <c r="P417" i="1"/>
  <c r="P418" i="1"/>
  <c r="P419" i="1"/>
  <c r="P420" i="1"/>
  <c r="P421" i="1"/>
  <c r="P426" i="1"/>
  <c r="P427" i="1"/>
  <c r="P428" i="1"/>
  <c r="P429" i="1"/>
  <c r="P430" i="1"/>
  <c r="P431" i="1"/>
  <c r="P433" i="1"/>
  <c r="P434" i="1"/>
  <c r="P435" i="1"/>
  <c r="P436" i="1"/>
  <c r="I40" i="1"/>
  <c r="I41" i="1"/>
  <c r="I295" i="1" s="1"/>
  <c r="I42" i="1"/>
  <c r="I400" i="1" s="1"/>
  <c r="I43" i="1"/>
  <c r="I111" i="1" s="1"/>
  <c r="I44" i="1"/>
  <c r="I401" i="1" s="1"/>
  <c r="I45" i="1"/>
  <c r="I113" i="1" s="1"/>
  <c r="I46" i="1"/>
  <c r="I402" i="1" s="1"/>
  <c r="I47" i="1"/>
  <c r="I48" i="1"/>
  <c r="I302" i="1" s="1"/>
  <c r="I157" i="1"/>
  <c r="I49" i="1"/>
  <c r="I50" i="1"/>
  <c r="I118" i="1" s="1"/>
  <c r="I51" i="1"/>
  <c r="I52" i="1"/>
  <c r="I119" i="1" s="1"/>
  <c r="I209" i="1"/>
  <c r="I212" i="1"/>
  <c r="I27" i="1"/>
  <c r="I28" i="1"/>
  <c r="I29" i="1"/>
  <c r="I30" i="1"/>
  <c r="I31" i="1"/>
  <c r="I32" i="1"/>
  <c r="I33" i="1"/>
  <c r="I240" i="1"/>
  <c r="I241" i="1"/>
  <c r="I242" i="1"/>
  <c r="I243" i="1"/>
  <c r="I244" i="1"/>
  <c r="I249" i="1"/>
  <c r="I250" i="1"/>
  <c r="I251" i="1"/>
  <c r="I252" i="1"/>
  <c r="I253" i="1"/>
  <c r="I254" i="1"/>
  <c r="I256" i="1"/>
  <c r="I257" i="1"/>
  <c r="I259" i="1"/>
  <c r="I260" i="1"/>
  <c r="I387" i="1"/>
  <c r="I417" i="1"/>
  <c r="I418" i="1"/>
  <c r="I419" i="1"/>
  <c r="I420" i="1"/>
  <c r="I421" i="1"/>
  <c r="I426" i="1"/>
  <c r="I427" i="1"/>
  <c r="I428" i="1"/>
  <c r="I429" i="1"/>
  <c r="I430" i="1"/>
  <c r="I431" i="1"/>
  <c r="I433" i="1"/>
  <c r="I434" i="1"/>
  <c r="I435" i="1"/>
  <c r="I436" i="1"/>
  <c r="M209" i="1"/>
  <c r="M212" i="1"/>
  <c r="M178" i="1"/>
  <c r="M240" i="1"/>
  <c r="M241" i="1"/>
  <c r="M242" i="1"/>
  <c r="M243" i="1"/>
  <c r="M244" i="1"/>
  <c r="M249" i="1"/>
  <c r="M250" i="1"/>
  <c r="M251" i="1"/>
  <c r="M252" i="1"/>
  <c r="M253" i="1"/>
  <c r="M254" i="1"/>
  <c r="M256" i="1"/>
  <c r="M257" i="1"/>
  <c r="M259" i="1"/>
  <c r="M260" i="1"/>
  <c r="M387" i="1"/>
  <c r="M417" i="1"/>
  <c r="M418" i="1"/>
  <c r="M419" i="1"/>
  <c r="M420" i="1"/>
  <c r="M421" i="1"/>
  <c r="M426" i="1"/>
  <c r="M427" i="1"/>
  <c r="M428" i="1"/>
  <c r="M429" i="1"/>
  <c r="M430" i="1"/>
  <c r="M431" i="1"/>
  <c r="M433" i="1"/>
  <c r="M434" i="1"/>
  <c r="M435" i="1"/>
  <c r="M436" i="1"/>
  <c r="AA362" i="1"/>
  <c r="AA363" i="1"/>
  <c r="M362" i="1"/>
  <c r="M363" i="1"/>
  <c r="S178" i="1"/>
  <c r="P362" i="1"/>
  <c r="P363" i="1"/>
  <c r="O387" i="1"/>
  <c r="O362" i="1"/>
  <c r="O363" i="1"/>
  <c r="O417" i="1"/>
  <c r="O418" i="1"/>
  <c r="O419" i="1"/>
  <c r="O420" i="1"/>
  <c r="O421" i="1"/>
  <c r="O426" i="1"/>
  <c r="O427" i="1"/>
  <c r="O428" i="1"/>
  <c r="O429" i="1"/>
  <c r="O430" i="1"/>
  <c r="O431" i="1"/>
  <c r="O433" i="1"/>
  <c r="O434" i="1"/>
  <c r="O435" i="1"/>
  <c r="O436" i="1"/>
  <c r="O209" i="1"/>
  <c r="O212" i="1"/>
  <c r="O240" i="1"/>
  <c r="O241" i="1"/>
  <c r="O242" i="1"/>
  <c r="O243" i="1"/>
  <c r="O244" i="1"/>
  <c r="O249" i="1"/>
  <c r="O250" i="1"/>
  <c r="O251" i="1"/>
  <c r="O252" i="1"/>
  <c r="O253" i="1"/>
  <c r="O254" i="1"/>
  <c r="O256" i="1"/>
  <c r="O257" i="1"/>
  <c r="O259" i="1"/>
  <c r="O260" i="1"/>
  <c r="O178" i="1"/>
  <c r="K306" i="1"/>
  <c r="K310" i="1"/>
  <c r="H40" i="1"/>
  <c r="H41" i="1"/>
  <c r="H109" i="1" s="1"/>
  <c r="H42" i="1"/>
  <c r="H381" i="1" s="1"/>
  <c r="H43" i="1"/>
  <c r="H111" i="1" s="1"/>
  <c r="H44" i="1"/>
  <c r="H205" i="1" s="1"/>
  <c r="H45" i="1"/>
  <c r="H299" i="1" s="1"/>
  <c r="H46" i="1"/>
  <c r="H114" i="1" s="1"/>
  <c r="H47" i="1"/>
  <c r="H403" i="1" s="1"/>
  <c r="H48" i="1"/>
  <c r="H388" i="1" s="1"/>
  <c r="H49" i="1"/>
  <c r="H303" i="1" s="1"/>
  <c r="H50" i="1"/>
  <c r="H118" i="1" s="1"/>
  <c r="H51" i="1"/>
  <c r="H52" i="1"/>
  <c r="H225" i="1" s="1"/>
  <c r="H209" i="1"/>
  <c r="H212" i="1"/>
  <c r="H27" i="1"/>
  <c r="H28" i="1"/>
  <c r="H29" i="1"/>
  <c r="H30" i="1"/>
  <c r="H31" i="1"/>
  <c r="H32" i="1"/>
  <c r="H33" i="1"/>
  <c r="H240" i="1"/>
  <c r="H241" i="1"/>
  <c r="H242" i="1"/>
  <c r="H243" i="1"/>
  <c r="H244" i="1"/>
  <c r="H249" i="1"/>
  <c r="H251" i="1"/>
  <c r="H252" i="1"/>
  <c r="H253" i="1"/>
  <c r="H254" i="1"/>
  <c r="H256" i="1"/>
  <c r="H257" i="1"/>
  <c r="H259" i="1"/>
  <c r="H260" i="1"/>
  <c r="H387" i="1"/>
  <c r="H417" i="1"/>
  <c r="H418" i="1"/>
  <c r="H419" i="1"/>
  <c r="H420" i="1"/>
  <c r="H421" i="1"/>
  <c r="H426" i="1"/>
  <c r="H427" i="1"/>
  <c r="H428" i="1"/>
  <c r="H429" i="1"/>
  <c r="H430" i="1"/>
  <c r="H431" i="1"/>
  <c r="H433" i="1"/>
  <c r="H434" i="1"/>
  <c r="H435" i="1"/>
  <c r="H436" i="1"/>
  <c r="K40" i="1"/>
  <c r="K51" i="1"/>
  <c r="F365" i="1"/>
  <c r="F458" i="1"/>
  <c r="F312" i="1"/>
  <c r="AB466" i="1"/>
  <c r="AC466" i="1" s="1"/>
  <c r="AB471" i="1"/>
  <c r="AC471" i="1" s="1"/>
  <c r="AB472" i="1"/>
  <c r="AC472" i="1" s="1"/>
  <c r="AB473" i="1"/>
  <c r="AC473" i="1" s="1"/>
  <c r="AB474" i="1"/>
  <c r="AC474" i="1"/>
  <c r="AB475" i="1"/>
  <c r="AC475" i="1" s="1"/>
  <c r="AB476" i="1"/>
  <c r="AC476" i="1" s="1"/>
  <c r="AB477" i="1"/>
  <c r="AC477" i="1" s="1"/>
  <c r="AB482" i="1"/>
  <c r="AC482" i="1" s="1"/>
  <c r="AB483" i="1"/>
  <c r="AC483" i="1" s="1"/>
  <c r="AB484" i="1"/>
  <c r="AC484" i="1" s="1"/>
  <c r="AB485" i="1"/>
  <c r="AC485" i="1" s="1"/>
  <c r="AA470" i="2"/>
  <c r="AA477" i="2" s="1"/>
  <c r="AA442" i="2"/>
  <c r="AA449" i="2" s="1"/>
  <c r="F438" i="1"/>
  <c r="Z442" i="2"/>
  <c r="Z449" i="2" s="1"/>
  <c r="AB456" i="2"/>
  <c r="AB463" i="2" s="1"/>
  <c r="AC442" i="2"/>
  <c r="AC449" i="2" s="1"/>
  <c r="AC470" i="2"/>
  <c r="AC477" i="2" s="1"/>
  <c r="AD442" i="2"/>
  <c r="AD449" i="2" s="1"/>
  <c r="K363" i="1"/>
  <c r="K362" i="1"/>
  <c r="K178" i="1"/>
  <c r="Z496" i="2"/>
  <c r="Z489" i="2"/>
  <c r="X496" i="2"/>
  <c r="Y496" i="2"/>
  <c r="W496" i="2"/>
  <c r="Y456" i="2"/>
  <c r="Y486" i="2" s="1"/>
  <c r="W470" i="2"/>
  <c r="W477" i="2" s="1"/>
  <c r="Y442" i="2"/>
  <c r="Y449" i="2" s="1"/>
  <c r="W456" i="2"/>
  <c r="W463" i="2" s="1"/>
  <c r="X456" i="2"/>
  <c r="Y489" i="2"/>
  <c r="AG498" i="2"/>
  <c r="AH498" i="2" s="1"/>
  <c r="X489" i="2"/>
  <c r="X470" i="2"/>
  <c r="X477" i="2" s="1"/>
  <c r="W489" i="2"/>
  <c r="X442" i="2"/>
  <c r="X449" i="2" s="1"/>
  <c r="Y470" i="2"/>
  <c r="Y477" i="2" s="1"/>
  <c r="W442" i="2"/>
  <c r="W449" i="2" s="1"/>
  <c r="G8" i="10"/>
  <c r="P7" i="10"/>
  <c r="P8" i="10"/>
  <c r="AF603" i="2"/>
  <c r="AF578" i="2"/>
  <c r="AF574" i="2"/>
  <c r="AE564" i="2"/>
  <c r="Z564" i="2"/>
  <c r="AA564" i="2"/>
  <c r="U564" i="2"/>
  <c r="Y564" i="2"/>
  <c r="AD564" i="2"/>
  <c r="T564" i="2"/>
  <c r="AB564" i="2"/>
  <c r="AC564" i="2"/>
  <c r="AF564" i="2"/>
  <c r="AF588" i="2"/>
  <c r="AF614" i="2" s="1"/>
  <c r="X564" i="2"/>
  <c r="W564" i="2"/>
  <c r="E449" i="2"/>
  <c r="E477" i="2" s="1"/>
  <c r="U573" i="2"/>
  <c r="U598" i="2"/>
  <c r="U624" i="2" s="1"/>
  <c r="W573" i="2"/>
  <c r="W598" i="2"/>
  <c r="W624" i="2" s="1"/>
  <c r="AB598" i="2"/>
  <c r="AB624" i="2" s="1"/>
  <c r="AB573" i="2"/>
  <c r="AD578" i="2"/>
  <c r="AD603" i="2"/>
  <c r="AD629" i="2" s="1"/>
  <c r="AA573" i="2"/>
  <c r="AA598" i="2"/>
  <c r="AA624" i="2" s="1"/>
  <c r="AC603" i="2"/>
  <c r="AC629" i="2" s="1"/>
  <c r="AC578" i="2"/>
  <c r="Y603" i="2"/>
  <c r="Y629" i="2" s="1"/>
  <c r="Y578" i="2"/>
  <c r="T603" i="2"/>
  <c r="T629" i="2" s="1"/>
  <c r="T578" i="2"/>
  <c r="X578" i="2"/>
  <c r="X603" i="2"/>
  <c r="X629" i="2" s="1"/>
  <c r="Z578" i="2"/>
  <c r="Z603" i="2"/>
  <c r="Z629" i="2" s="1"/>
  <c r="AE573" i="2"/>
  <c r="AE598" i="2"/>
  <c r="AE624" i="2" s="1"/>
  <c r="AF579" i="2"/>
  <c r="AA578" i="2"/>
  <c r="AA603" i="2"/>
  <c r="AA629" i="2" s="1"/>
  <c r="Y573" i="2"/>
  <c r="Y598" i="2"/>
  <c r="Y624" i="2" s="1"/>
  <c r="X598" i="2"/>
  <c r="X624" i="2" s="1"/>
  <c r="X573" i="2"/>
  <c r="Z598" i="2"/>
  <c r="Z624" i="2" s="1"/>
  <c r="Z573" i="2"/>
  <c r="AE603" i="2"/>
  <c r="AE629" i="2" s="1"/>
  <c r="AE578" i="2"/>
  <c r="AF598" i="2"/>
  <c r="AF573" i="2"/>
  <c r="AF575" i="2" s="1"/>
  <c r="AC598" i="2"/>
  <c r="AC624" i="2" s="1"/>
  <c r="AC573" i="2"/>
  <c r="U603" i="2"/>
  <c r="U629" i="2" s="1"/>
  <c r="U578" i="2"/>
  <c r="W578" i="2"/>
  <c r="W603" i="2"/>
  <c r="W629" i="2" s="1"/>
  <c r="AB603" i="2"/>
  <c r="AB629" i="2" s="1"/>
  <c r="AB578" i="2"/>
  <c r="AD573" i="2"/>
  <c r="AD598" i="2"/>
  <c r="AD624" i="2" s="1"/>
  <c r="T598" i="2"/>
  <c r="T624" i="2" s="1"/>
  <c r="T573" i="2"/>
  <c r="AD562" i="2"/>
  <c r="AC562" i="2"/>
  <c r="AF562" i="2"/>
  <c r="AF587" i="2"/>
  <c r="AF613" i="2" s="1"/>
  <c r="T562" i="2"/>
  <c r="U562" i="2"/>
  <c r="X562" i="2"/>
  <c r="AE562" i="2"/>
  <c r="AA562" i="2"/>
  <c r="W562" i="2"/>
  <c r="Y562" i="2"/>
  <c r="AB562" i="2"/>
  <c r="Z562" i="2"/>
  <c r="R162" i="1"/>
  <c r="S162" i="1"/>
  <c r="H157" i="1"/>
  <c r="H152" i="1"/>
  <c r="H164" i="1"/>
  <c r="I166" i="1"/>
  <c r="K155" i="1"/>
  <c r="K151" i="1"/>
  <c r="K163" i="1"/>
  <c r="K150" i="1"/>
  <c r="W166" i="1"/>
  <c r="P154" i="1"/>
  <c r="P153" i="1"/>
  <c r="P165" i="1"/>
  <c r="P151" i="1"/>
  <c r="P163" i="1"/>
  <c r="P150" i="1"/>
  <c r="AA153" i="1"/>
  <c r="AA165" i="1"/>
  <c r="AA151" i="1"/>
  <c r="AA163" i="1"/>
  <c r="AA150" i="1"/>
  <c r="Y157" i="1"/>
  <c r="Y152" i="1"/>
  <c r="Y164" i="1"/>
  <c r="R154" i="1"/>
  <c r="R165" i="1"/>
  <c r="R153" i="1"/>
  <c r="R151" i="1"/>
  <c r="R163" i="1"/>
  <c r="R150" i="1"/>
  <c r="S154" i="1"/>
  <c r="S153" i="1"/>
  <c r="S165" i="1"/>
  <c r="S151" i="1"/>
  <c r="S163" i="1"/>
  <c r="S150" i="1"/>
  <c r="U154" i="1"/>
  <c r="U153" i="1"/>
  <c r="U165" i="1"/>
  <c r="U163" i="1"/>
  <c r="U150" i="1"/>
  <c r="U151" i="1"/>
  <c r="O153" i="1"/>
  <c r="O165" i="1"/>
  <c r="O163" i="1"/>
  <c r="O150" i="1"/>
  <c r="O151" i="1"/>
  <c r="H155" i="1"/>
  <c r="I164" i="1"/>
  <c r="I152" i="1"/>
  <c r="K152" i="1"/>
  <c r="K164" i="1"/>
  <c r="W157" i="1"/>
  <c r="W164" i="1"/>
  <c r="W152" i="1"/>
  <c r="P166" i="1"/>
  <c r="AA166" i="1"/>
  <c r="Y155" i="1"/>
  <c r="R166" i="1"/>
  <c r="S166" i="1"/>
  <c r="U166" i="1"/>
  <c r="O166" i="1"/>
  <c r="M157" i="1"/>
  <c r="M152" i="1"/>
  <c r="M164" i="1"/>
  <c r="H154" i="1"/>
  <c r="H153" i="1"/>
  <c r="H165" i="1"/>
  <c r="H163" i="1"/>
  <c r="H150" i="1"/>
  <c r="H151" i="1"/>
  <c r="I155" i="1"/>
  <c r="K157" i="1"/>
  <c r="K165" i="1"/>
  <c r="K153" i="1"/>
  <c r="W155" i="1"/>
  <c r="P157" i="1"/>
  <c r="P164" i="1"/>
  <c r="P152" i="1"/>
  <c r="AA152" i="1"/>
  <c r="AA164" i="1"/>
  <c r="Y154" i="1"/>
  <c r="Y165" i="1"/>
  <c r="Y153" i="1"/>
  <c r="Y151" i="1"/>
  <c r="Y163" i="1"/>
  <c r="Y150" i="1"/>
  <c r="R157" i="1"/>
  <c r="R152" i="1"/>
  <c r="R164" i="1"/>
  <c r="S157" i="1"/>
  <c r="S152" i="1"/>
  <c r="S164" i="1"/>
  <c r="U157" i="1"/>
  <c r="U152" i="1"/>
  <c r="U164" i="1"/>
  <c r="O157" i="1"/>
  <c r="O152" i="1"/>
  <c r="O164" i="1"/>
  <c r="M155" i="1"/>
  <c r="O162" i="1"/>
  <c r="H166" i="1"/>
  <c r="I154" i="1"/>
  <c r="I153" i="1"/>
  <c r="I165" i="1"/>
  <c r="I151" i="1"/>
  <c r="I163" i="1"/>
  <c r="I150" i="1"/>
  <c r="K166" i="1"/>
  <c r="K154" i="1"/>
  <c r="W154" i="1"/>
  <c r="W153" i="1"/>
  <c r="W165" i="1"/>
  <c r="W151" i="1"/>
  <c r="W163" i="1"/>
  <c r="W150" i="1"/>
  <c r="P155" i="1"/>
  <c r="AA155" i="1"/>
  <c r="Y166" i="1"/>
  <c r="R155" i="1"/>
  <c r="S155" i="1"/>
  <c r="U155" i="1"/>
  <c r="O155" i="1"/>
  <c r="M154" i="1"/>
  <c r="M153" i="1"/>
  <c r="M165" i="1"/>
  <c r="M151" i="1"/>
  <c r="M163" i="1"/>
  <c r="M150" i="1"/>
  <c r="I162" i="1"/>
  <c r="AA162" i="1"/>
  <c r="Y162" i="1"/>
  <c r="P162" i="1"/>
  <c r="W162" i="1"/>
  <c r="M162" i="1"/>
  <c r="H162" i="1"/>
  <c r="U162" i="1"/>
  <c r="K87" i="1"/>
  <c r="K136" i="1"/>
  <c r="H194" i="15"/>
  <c r="O79" i="15"/>
  <c r="D12" i="15" s="1"/>
  <c r="I194" i="15"/>
  <c r="U410" i="2"/>
  <c r="U314" i="2" s="1"/>
  <c r="L194" i="15"/>
  <c r="D194" i="15"/>
  <c r="J194" i="15"/>
  <c r="O192" i="15"/>
  <c r="Q192" i="15"/>
  <c r="H23" i="15" s="1"/>
  <c r="U437" i="2" s="1"/>
  <c r="O66" i="15"/>
  <c r="F10" i="15" s="1"/>
  <c r="P66" i="15"/>
  <c r="G10" i="15" s="1"/>
  <c r="P76" i="15"/>
  <c r="G11" i="15" s="1"/>
  <c r="O76" i="15"/>
  <c r="F11" i="15" s="1"/>
  <c r="I438" i="2" s="1"/>
  <c r="I456" i="2" s="1"/>
  <c r="O86" i="15"/>
  <c r="F12" i="15" s="1"/>
  <c r="J438" i="2" s="1"/>
  <c r="J456" i="2" s="1"/>
  <c r="P86" i="15"/>
  <c r="G12" i="15" s="1"/>
  <c r="S410" i="2"/>
  <c r="S314" i="2" s="1"/>
  <c r="T410" i="2"/>
  <c r="Q416" i="2"/>
  <c r="R416" i="2"/>
  <c r="K139" i="1"/>
  <c r="F229" i="1"/>
  <c r="F35" i="1"/>
  <c r="F199" i="1"/>
  <c r="F215" i="1"/>
  <c r="Y244" i="1"/>
  <c r="Q409" i="2"/>
  <c r="Q410" i="2" s="1"/>
  <c r="R409" i="2"/>
  <c r="R410" i="2" s="1"/>
  <c r="R314" i="2" s="1"/>
  <c r="K89" i="1"/>
  <c r="K137" i="1"/>
  <c r="K138" i="1"/>
  <c r="K105" i="1"/>
  <c r="AA258" i="1"/>
  <c r="F170" i="1"/>
  <c r="F356" i="1"/>
  <c r="AF417" i="2"/>
  <c r="V417" i="2"/>
  <c r="Q417" i="2"/>
  <c r="N417" i="2"/>
  <c r="I417" i="2"/>
  <c r="AC417" i="2"/>
  <c r="J417" i="2"/>
  <c r="S417" i="2"/>
  <c r="X417" i="2"/>
  <c r="M417" i="2"/>
  <c r="H417" i="2"/>
  <c r="G417" i="2"/>
  <c r="AA417" i="2"/>
  <c r="AE417" i="2"/>
  <c r="R417" i="2"/>
  <c r="Y417" i="2"/>
  <c r="AD417" i="2"/>
  <c r="W417" i="2"/>
  <c r="U417" i="2"/>
  <c r="T417" i="2"/>
  <c r="AB417" i="2"/>
  <c r="L417" i="2"/>
  <c r="F417" i="2"/>
  <c r="P56" i="15"/>
  <c r="G9" i="15" s="1"/>
  <c r="O56" i="15"/>
  <c r="F9" i="15" s="1"/>
  <c r="G438" i="2" s="1"/>
  <c r="G456" i="2" s="1"/>
  <c r="V486" i="2"/>
  <c r="AA428" i="2"/>
  <c r="AA463" i="2"/>
  <c r="T314" i="2"/>
  <c r="D18" i="15"/>
  <c r="O89" i="15"/>
  <c r="D13" i="15" s="1"/>
  <c r="C198" i="15"/>
  <c r="C211" i="15" s="1"/>
  <c r="G198" i="15"/>
  <c r="G211" i="15" s="1"/>
  <c r="X486" i="2"/>
  <c r="X463" i="2"/>
  <c r="AE631" i="2" l="1"/>
  <c r="AC428" i="2"/>
  <c r="O265" i="16"/>
  <c r="O264" i="16"/>
  <c r="N12" i="15"/>
  <c r="D8" i="9"/>
  <c r="F8" i="9" s="1"/>
  <c r="D7" i="9"/>
  <c r="F7" i="9" s="1"/>
  <c r="P427" i="2"/>
  <c r="P429" i="2" s="1"/>
  <c r="A138" i="15"/>
  <c r="L18" i="15"/>
  <c r="S8" i="10"/>
  <c r="T8" i="10" s="1"/>
  <c r="S7" i="10"/>
  <c r="T7" i="10" s="1"/>
  <c r="Y463" i="2"/>
  <c r="AB428" i="2"/>
  <c r="AB486" i="2"/>
  <c r="D6" i="9"/>
  <c r="F6" i="9" s="1"/>
  <c r="C25" i="15"/>
  <c r="AA487" i="2"/>
  <c r="AD428" i="2"/>
  <c r="E422" i="2"/>
  <c r="E28" i="15"/>
  <c r="E30" i="15" s="1"/>
  <c r="D8" i="15"/>
  <c r="D42" i="15"/>
  <c r="D44" i="15" s="1"/>
  <c r="H438" i="2"/>
  <c r="H456" i="2" s="1"/>
  <c r="S174" i="15"/>
  <c r="J21" i="15" s="1"/>
  <c r="S435" i="2" s="1"/>
  <c r="Q17" i="15"/>
  <c r="Q15" i="15"/>
  <c r="Q16" i="15"/>
  <c r="Q18" i="15"/>
  <c r="D6" i="8"/>
  <c r="F6" i="8" s="1"/>
  <c r="M8" i="15"/>
  <c r="F426" i="2"/>
  <c r="F427" i="2" s="1"/>
  <c r="F429" i="2" s="1"/>
  <c r="F431" i="2" s="1"/>
  <c r="F432" i="2" s="1"/>
  <c r="AA354" i="1"/>
  <c r="S354" i="1"/>
  <c r="I354" i="1"/>
  <c r="A128" i="15"/>
  <c r="L17" i="15"/>
  <c r="A118" i="15"/>
  <c r="L16" i="15"/>
  <c r="A98" i="15"/>
  <c r="L14" i="15"/>
  <c r="A108" i="15"/>
  <c r="L15" i="15"/>
  <c r="C42" i="15"/>
  <c r="C44" i="15" s="1"/>
  <c r="M46" i="15"/>
  <c r="O423" i="2"/>
  <c r="O496" i="2" s="1"/>
  <c r="Q9" i="15"/>
  <c r="E313" i="2"/>
  <c r="E316" i="2" s="1"/>
  <c r="E338" i="2" s="1"/>
  <c r="E352" i="2" s="1"/>
  <c r="J46" i="15"/>
  <c r="A78" i="15"/>
  <c r="A68" i="15"/>
  <c r="AD359" i="2"/>
  <c r="W486" i="2"/>
  <c r="AE463" i="2"/>
  <c r="AE359" i="2"/>
  <c r="Z463" i="2"/>
  <c r="Z359" i="2"/>
  <c r="AC359" i="2"/>
  <c r="AF359" i="2"/>
  <c r="AB359" i="2"/>
  <c r="Y359" i="2"/>
  <c r="V359" i="2"/>
  <c r="AA359" i="2"/>
  <c r="X359" i="2"/>
  <c r="W359" i="2"/>
  <c r="Z429" i="2"/>
  <c r="AD463" i="2"/>
  <c r="V487" i="2"/>
  <c r="X487" i="2"/>
  <c r="AF428" i="2"/>
  <c r="AD487" i="2"/>
  <c r="AC487" i="2"/>
  <c r="S428" i="2"/>
  <c r="S432" i="2" s="1"/>
  <c r="AE429" i="2"/>
  <c r="AC463" i="2"/>
  <c r="Y487" i="2"/>
  <c r="AE487" i="2"/>
  <c r="AF487" i="2"/>
  <c r="AF580" i="2"/>
  <c r="W487" i="2"/>
  <c r="AB487" i="2"/>
  <c r="AF463" i="2"/>
  <c r="Q20" i="15"/>
  <c r="Q22" i="15"/>
  <c r="N17" i="15"/>
  <c r="D11" i="15"/>
  <c r="O174" i="15"/>
  <c r="R174" i="15" s="1"/>
  <c r="I21" i="15" s="1"/>
  <c r="S436" i="2" s="1"/>
  <c r="S442" i="2" s="1"/>
  <c r="F46" i="15"/>
  <c r="U428" i="2"/>
  <c r="L46" i="15"/>
  <c r="D15" i="15"/>
  <c r="U431" i="2"/>
  <c r="D9" i="15"/>
  <c r="O40" i="15"/>
  <c r="N42" i="15"/>
  <c r="N44" i="15" s="1"/>
  <c r="O164" i="15"/>
  <c r="R164" i="15" s="1"/>
  <c r="I20" i="15" s="1"/>
  <c r="R436" i="2" s="1"/>
  <c r="R489" i="2" s="1"/>
  <c r="S164" i="15"/>
  <c r="J20" i="15" s="1"/>
  <c r="R435" i="2" s="1"/>
  <c r="O60" i="15"/>
  <c r="F17" i="15"/>
  <c r="P136" i="15"/>
  <c r="G17" i="15" s="1"/>
  <c r="O80" i="15"/>
  <c r="G426" i="2"/>
  <c r="G427" i="2" s="1"/>
  <c r="O428" i="2"/>
  <c r="N428" i="2"/>
  <c r="G463" i="2"/>
  <c r="G486" i="2"/>
  <c r="G487" i="2" s="1"/>
  <c r="P146" i="15"/>
  <c r="G18" i="15" s="1"/>
  <c r="R134" i="15"/>
  <c r="I42" i="15"/>
  <c r="I44" i="15" s="1"/>
  <c r="M9" i="15"/>
  <c r="K46" i="15"/>
  <c r="D23" i="15"/>
  <c r="N23" i="15" s="1"/>
  <c r="D22" i="15"/>
  <c r="O166" i="15"/>
  <c r="F20" i="15" s="1"/>
  <c r="O90" i="15"/>
  <c r="R427" i="2"/>
  <c r="R428" i="2" s="1"/>
  <c r="R432" i="2" s="1"/>
  <c r="S194" i="15"/>
  <c r="J23" i="15" s="1"/>
  <c r="U435" i="2" s="1"/>
  <c r="O154" i="15"/>
  <c r="R154" i="15" s="1"/>
  <c r="I19" i="15" s="1"/>
  <c r="Q436" i="2" s="1"/>
  <c r="A38" i="15"/>
  <c r="D12" i="9"/>
  <c r="F12" i="9" s="1"/>
  <c r="D12" i="8"/>
  <c r="F12" i="8" s="1"/>
  <c r="K426" i="2"/>
  <c r="K427" i="2" s="1"/>
  <c r="K429" i="2" s="1"/>
  <c r="K431" i="2" s="1"/>
  <c r="K432" i="2" s="1"/>
  <c r="D8" i="8"/>
  <c r="F8" i="8" s="1"/>
  <c r="H426" i="2"/>
  <c r="M10" i="15"/>
  <c r="D7" i="8"/>
  <c r="F7" i="8" s="1"/>
  <c r="D14" i="15"/>
  <c r="P96" i="15"/>
  <c r="G13" i="15" s="1"/>
  <c r="J423" i="2"/>
  <c r="N10" i="15"/>
  <c r="H423" i="2"/>
  <c r="H496" i="2" s="1"/>
  <c r="S64" i="15"/>
  <c r="J10" i="15" s="1"/>
  <c r="H435" i="2" s="1"/>
  <c r="E42" i="15"/>
  <c r="E44" i="15" s="1"/>
  <c r="G42" i="15"/>
  <c r="G44" i="15" s="1"/>
  <c r="H42" i="15"/>
  <c r="H44" i="15" s="1"/>
  <c r="F410" i="1"/>
  <c r="F412" i="1" s="1"/>
  <c r="F440" i="1" s="1"/>
  <c r="O354" i="1"/>
  <c r="R144" i="15"/>
  <c r="S144" i="15"/>
  <c r="J18" i="15" s="1"/>
  <c r="P435" i="2" s="1"/>
  <c r="Q314" i="2"/>
  <c r="O184" i="15"/>
  <c r="R184" i="15" s="1"/>
  <c r="I22" i="15" s="1"/>
  <c r="T436" i="2" s="1"/>
  <c r="T489" i="2" s="1"/>
  <c r="S154" i="15"/>
  <c r="J19" i="15" s="1"/>
  <c r="Q435" i="2" s="1"/>
  <c r="P186" i="15"/>
  <c r="G22" i="15" s="1"/>
  <c r="D21" i="15"/>
  <c r="N21" i="15" s="1"/>
  <c r="N18" i="15"/>
  <c r="P423" i="2"/>
  <c r="P496" i="2" s="1"/>
  <c r="P166" i="15"/>
  <c r="G20" i="15" s="1"/>
  <c r="P106" i="15"/>
  <c r="G14" i="15" s="1"/>
  <c r="O106" i="15"/>
  <c r="F14" i="15" s="1"/>
  <c r="O196" i="15"/>
  <c r="F23" i="15" s="1"/>
  <c r="O186" i="15"/>
  <c r="F22" i="15" s="1"/>
  <c r="T470" i="2"/>
  <c r="T477" i="2" s="1"/>
  <c r="T442" i="2"/>
  <c r="T449" i="2" s="1"/>
  <c r="F18" i="15"/>
  <c r="O156" i="15"/>
  <c r="F19" i="15" s="1"/>
  <c r="D16" i="15"/>
  <c r="O120" i="15"/>
  <c r="O150" i="15"/>
  <c r="D19" i="15"/>
  <c r="D20" i="15"/>
  <c r="O160" i="15"/>
  <c r="L426" i="2"/>
  <c r="M14" i="15"/>
  <c r="P176" i="15"/>
  <c r="G21" i="15" s="1"/>
  <c r="O176" i="15"/>
  <c r="F21" i="15" s="1"/>
  <c r="S184" i="15"/>
  <c r="J22" i="15" s="1"/>
  <c r="T435" i="2" s="1"/>
  <c r="O198" i="15"/>
  <c r="P156" i="15"/>
  <c r="G19" i="15" s="1"/>
  <c r="O194" i="15"/>
  <c r="R194" i="15" s="1"/>
  <c r="I23" i="15" s="1"/>
  <c r="U436" i="2" s="1"/>
  <c r="U489" i="2" s="1"/>
  <c r="P196" i="15"/>
  <c r="G23" i="15" s="1"/>
  <c r="S134" i="15"/>
  <c r="J17" i="15" s="1"/>
  <c r="O435" i="2" s="1"/>
  <c r="AG422" i="2"/>
  <c r="Q10" i="15"/>
  <c r="Q19" i="15"/>
  <c r="Q11" i="15"/>
  <c r="Q13" i="15"/>
  <c r="Q25" i="15"/>
  <c r="Q23" i="15"/>
  <c r="Q8" i="15"/>
  <c r="P25" i="15"/>
  <c r="Q21" i="15"/>
  <c r="Q12" i="15"/>
  <c r="Q14" i="15"/>
  <c r="M427" i="2"/>
  <c r="M429" i="2" s="1"/>
  <c r="S431" i="2"/>
  <c r="Q427" i="2"/>
  <c r="A58" i="15"/>
  <c r="D91" i="18"/>
  <c r="H83" i="18" a="1"/>
  <c r="H84" i="18" s="1"/>
  <c r="M142" i="18"/>
  <c r="D152" i="18" s="1"/>
  <c r="F326" i="1"/>
  <c r="K354" i="1"/>
  <c r="Y354" i="1"/>
  <c r="M354" i="1"/>
  <c r="O24" i="1"/>
  <c r="O149" i="1" s="1"/>
  <c r="O159" i="1" s="1"/>
  <c r="P354" i="1"/>
  <c r="W354" i="1"/>
  <c r="F82" i="1"/>
  <c r="F56" i="1"/>
  <c r="F58" i="1" s="1"/>
  <c r="C32" i="16"/>
  <c r="C34" i="16" s="1"/>
  <c r="D34" i="16"/>
  <c r="O14" i="16"/>
  <c r="U24" i="1"/>
  <c r="U149" i="1" s="1"/>
  <c r="U159" i="1" s="1"/>
  <c r="L35" i="16"/>
  <c r="P304" i="1"/>
  <c r="M404" i="1"/>
  <c r="M302" i="1"/>
  <c r="M116" i="1"/>
  <c r="M109" i="1"/>
  <c r="M119" i="1"/>
  <c r="K221" i="1"/>
  <c r="P207" i="1"/>
  <c r="M210" i="1"/>
  <c r="W111" i="1"/>
  <c r="M225" i="1"/>
  <c r="K204" i="1"/>
  <c r="R301" i="1"/>
  <c r="M113" i="1"/>
  <c r="W301" i="1"/>
  <c r="P385" i="1"/>
  <c r="W403" i="1"/>
  <c r="Y113" i="1"/>
  <c r="O110" i="1"/>
  <c r="Y180" i="1"/>
  <c r="K115" i="1"/>
  <c r="R24" i="1"/>
  <c r="R106" i="1" s="1"/>
  <c r="Y24" i="1"/>
  <c r="Y80" i="1" s="1"/>
  <c r="H301" i="1"/>
  <c r="R400" i="1"/>
  <c r="H224" i="1"/>
  <c r="K300" i="1"/>
  <c r="S221" i="1"/>
  <c r="I305" i="1"/>
  <c r="M298" i="1"/>
  <c r="AA381" i="1"/>
  <c r="W206" i="1"/>
  <c r="AA365" i="1"/>
  <c r="H119" i="1"/>
  <c r="P208" i="1"/>
  <c r="R203" i="1"/>
  <c r="U204" i="1"/>
  <c r="AA221" i="1"/>
  <c r="K114" i="1"/>
  <c r="Y205" i="1"/>
  <c r="W114" i="1"/>
  <c r="O204" i="1"/>
  <c r="M205" i="1"/>
  <c r="W207" i="1"/>
  <c r="U381" i="1"/>
  <c r="AB16" i="1"/>
  <c r="AC16" i="1" s="1"/>
  <c r="AB20" i="1"/>
  <c r="AC20" i="1" s="1"/>
  <c r="M24" i="1"/>
  <c r="M149" i="1" s="1"/>
  <c r="M159" i="1" s="1"/>
  <c r="S24" i="1"/>
  <c r="S293" i="1" s="1"/>
  <c r="AA24" i="1"/>
  <c r="AA149" i="1" s="1"/>
  <c r="AA159" i="1" s="1"/>
  <c r="AB156" i="1"/>
  <c r="AC156" i="1" s="1"/>
  <c r="AB337" i="1"/>
  <c r="AC337" i="1" s="1"/>
  <c r="AB338" i="1"/>
  <c r="AC338" i="1" s="1"/>
  <c r="AB340" i="1"/>
  <c r="AC340" i="1" s="1"/>
  <c r="AB341" i="1"/>
  <c r="AC341" i="1" s="1"/>
  <c r="AB343" i="1"/>
  <c r="AC343" i="1" s="1"/>
  <c r="AB349" i="1"/>
  <c r="AC349" i="1" s="1"/>
  <c r="AB350" i="1"/>
  <c r="AC350" i="1" s="1"/>
  <c r="AB351" i="1"/>
  <c r="AC351" i="1" s="1"/>
  <c r="AB352" i="1"/>
  <c r="AC352" i="1" s="1"/>
  <c r="U223" i="1"/>
  <c r="AA203" i="1"/>
  <c r="K384" i="1"/>
  <c r="P117" i="1"/>
  <c r="W384" i="1"/>
  <c r="AA402" i="1"/>
  <c r="U384" i="1"/>
  <c r="O221" i="1"/>
  <c r="O381" i="1"/>
  <c r="M222" i="1"/>
  <c r="M112" i="1"/>
  <c r="S304" i="1"/>
  <c r="U296" i="1"/>
  <c r="U110" i="1"/>
  <c r="U168" i="1"/>
  <c r="O180" i="1"/>
  <c r="K296" i="1"/>
  <c r="W24" i="1"/>
  <c r="W85" i="1" s="1"/>
  <c r="P386" i="1"/>
  <c r="K206" i="1"/>
  <c r="U114" i="1"/>
  <c r="O203" i="1"/>
  <c r="M383" i="1"/>
  <c r="K402" i="1"/>
  <c r="Y168" i="1"/>
  <c r="AB240" i="1"/>
  <c r="AC240" i="1" s="1"/>
  <c r="S423" i="1"/>
  <c r="AB17" i="1"/>
  <c r="AC17" i="1" s="1"/>
  <c r="AB19" i="1"/>
  <c r="AC19" i="1" s="1"/>
  <c r="AB22" i="1"/>
  <c r="AC22" i="1" s="1"/>
  <c r="H115" i="1"/>
  <c r="U402" i="1"/>
  <c r="S118" i="1"/>
  <c r="S400" i="1"/>
  <c r="S204" i="1"/>
  <c r="AA384" i="1"/>
  <c r="O382" i="1"/>
  <c r="O296" i="1"/>
  <c r="U385" i="1"/>
  <c r="R381" i="1"/>
  <c r="W304" i="1"/>
  <c r="K24" i="1"/>
  <c r="S119" i="1"/>
  <c r="M381" i="1"/>
  <c r="P400" i="1"/>
  <c r="H117" i="1"/>
  <c r="I297" i="1"/>
  <c r="AA116" i="1"/>
  <c r="R383" i="1"/>
  <c r="O386" i="1"/>
  <c r="H35" i="1"/>
  <c r="H369" i="1" s="1"/>
  <c r="K205" i="1"/>
  <c r="AA401" i="1"/>
  <c r="H405" i="1"/>
  <c r="S302" i="1"/>
  <c r="U299" i="1"/>
  <c r="AA438" i="1"/>
  <c r="R225" i="1"/>
  <c r="W386" i="1"/>
  <c r="K112" i="1"/>
  <c r="AB251" i="1"/>
  <c r="AC251" i="1" s="1"/>
  <c r="M365" i="1"/>
  <c r="R404" i="1"/>
  <c r="U305" i="1"/>
  <c r="R302" i="1"/>
  <c r="H296" i="1"/>
  <c r="I206" i="1"/>
  <c r="U401" i="1"/>
  <c r="O305" i="1"/>
  <c r="U117" i="1"/>
  <c r="H300" i="1"/>
  <c r="O304" i="1"/>
  <c r="S113" i="1"/>
  <c r="W222" i="1"/>
  <c r="P204" i="1"/>
  <c r="U208" i="1"/>
  <c r="Y304" i="1"/>
  <c r="M296" i="1"/>
  <c r="W113" i="1"/>
  <c r="O303" i="1"/>
  <c r="Y296" i="1"/>
  <c r="AA113" i="1"/>
  <c r="S388" i="1"/>
  <c r="I204" i="1"/>
  <c r="R117" i="1"/>
  <c r="H402" i="1"/>
  <c r="K111" i="1"/>
  <c r="Y246" i="1"/>
  <c r="K401" i="1"/>
  <c r="I223" i="1"/>
  <c r="S115" i="1"/>
  <c r="O404" i="1"/>
  <c r="W117" i="1"/>
  <c r="W303" i="1"/>
  <c r="H168" i="1"/>
  <c r="K168" i="1"/>
  <c r="W54" i="1"/>
  <c r="W310" i="1" s="1"/>
  <c r="K383" i="1"/>
  <c r="R111" i="1"/>
  <c r="P110" i="1"/>
  <c r="AA110" i="1"/>
  <c r="AA400" i="1"/>
  <c r="S385" i="1"/>
  <c r="S296" i="1"/>
  <c r="H116" i="1"/>
  <c r="H295" i="1"/>
  <c r="S110" i="1"/>
  <c r="O208" i="1"/>
  <c r="U206" i="1"/>
  <c r="Y208" i="1"/>
  <c r="I382" i="1"/>
  <c r="U221" i="1"/>
  <c r="U400" i="1"/>
  <c r="R296" i="1"/>
  <c r="AA403" i="1"/>
  <c r="U382" i="1"/>
  <c r="H302" i="1"/>
  <c r="O207" i="1"/>
  <c r="U365" i="1"/>
  <c r="Y365" i="1"/>
  <c r="P35" i="1"/>
  <c r="P294" i="1" s="1"/>
  <c r="M35" i="1"/>
  <c r="M183" i="1" s="1"/>
  <c r="S35" i="1"/>
  <c r="S375" i="1" s="1"/>
  <c r="AA180" i="1"/>
  <c r="H208" i="1"/>
  <c r="I221" i="1"/>
  <c r="H262" i="1"/>
  <c r="Y423" i="1"/>
  <c r="K180" i="1"/>
  <c r="K298" i="1"/>
  <c r="P296" i="1"/>
  <c r="AA296" i="1"/>
  <c r="AA382" i="1"/>
  <c r="R221" i="1"/>
  <c r="H112" i="1"/>
  <c r="S382" i="1"/>
  <c r="S203" i="1"/>
  <c r="Y295" i="1"/>
  <c r="AA297" i="1"/>
  <c r="P382" i="1"/>
  <c r="O405" i="1"/>
  <c r="O226" i="1"/>
  <c r="O385" i="1"/>
  <c r="I299" i="1"/>
  <c r="AA223" i="1"/>
  <c r="P210" i="1"/>
  <c r="O119" i="1"/>
  <c r="I296" i="1"/>
  <c r="U304" i="1"/>
  <c r="U118" i="1"/>
  <c r="R382" i="1"/>
  <c r="H298" i="1"/>
  <c r="R110" i="1"/>
  <c r="H383" i="1"/>
  <c r="P381" i="1"/>
  <c r="AA246" i="1"/>
  <c r="U262" i="1"/>
  <c r="W262" i="1"/>
  <c r="W246" i="1"/>
  <c r="AB50" i="1"/>
  <c r="AC50" i="1" s="1"/>
  <c r="AB28" i="1"/>
  <c r="AC28" i="1" s="1"/>
  <c r="S438" i="1"/>
  <c r="P180" i="1"/>
  <c r="U386" i="1"/>
  <c r="H206" i="1"/>
  <c r="I388" i="1"/>
  <c r="I210" i="1"/>
  <c r="P116" i="1"/>
  <c r="AA302" i="1"/>
  <c r="W298" i="1"/>
  <c r="AB431" i="1"/>
  <c r="AC431" i="1" s="1"/>
  <c r="AB419" i="1"/>
  <c r="AC419" i="1" s="1"/>
  <c r="AB242" i="1"/>
  <c r="AC242" i="1" s="1"/>
  <c r="W438" i="1"/>
  <c r="AA35" i="1"/>
  <c r="AA195" i="1" s="1"/>
  <c r="R119" i="1"/>
  <c r="U225" i="1"/>
  <c r="U405" i="1"/>
  <c r="Y114" i="1"/>
  <c r="P295" i="1"/>
  <c r="W224" i="1"/>
  <c r="H113" i="1"/>
  <c r="M207" i="1"/>
  <c r="I116" i="1"/>
  <c r="H305" i="1"/>
  <c r="Y221" i="1"/>
  <c r="P388" i="1"/>
  <c r="AA210" i="1"/>
  <c r="K224" i="1"/>
  <c r="S295" i="1"/>
  <c r="I205" i="1"/>
  <c r="H304" i="1"/>
  <c r="W205" i="1"/>
  <c r="R226" i="1"/>
  <c r="I298" i="1"/>
  <c r="M168" i="1"/>
  <c r="AA168" i="1"/>
  <c r="AB155" i="1"/>
  <c r="AC155" i="1" s="1"/>
  <c r="W168" i="1"/>
  <c r="P168" i="1"/>
  <c r="P203" i="1"/>
  <c r="AB253" i="1"/>
  <c r="AC253" i="1" s="1"/>
  <c r="AB32" i="1"/>
  <c r="AC32" i="1" s="1"/>
  <c r="S262" i="1"/>
  <c r="S180" i="1"/>
  <c r="M180" i="1"/>
  <c r="P262" i="1"/>
  <c r="W112" i="1"/>
  <c r="U303" i="1"/>
  <c r="P119" i="1"/>
  <c r="I383" i="1"/>
  <c r="R386" i="1"/>
  <c r="AB426" i="1"/>
  <c r="AC426" i="1" s="1"/>
  <c r="AB436" i="1"/>
  <c r="AC436" i="1" s="1"/>
  <c r="U119" i="1"/>
  <c r="M423" i="1"/>
  <c r="H386" i="1"/>
  <c r="M385" i="1"/>
  <c r="P225" i="1"/>
  <c r="H404" i="1"/>
  <c r="H297" i="1"/>
  <c r="U222" i="1"/>
  <c r="K301" i="1"/>
  <c r="S116" i="1"/>
  <c r="P305" i="1"/>
  <c r="W401" i="1"/>
  <c r="H385" i="1"/>
  <c r="H207" i="1"/>
  <c r="K226" i="1"/>
  <c r="K386" i="1"/>
  <c r="K208" i="1"/>
  <c r="K303" i="1"/>
  <c r="K405" i="1"/>
  <c r="Y404" i="1"/>
  <c r="Y305" i="1"/>
  <c r="Y225" i="1"/>
  <c r="R295" i="1"/>
  <c r="R109" i="1"/>
  <c r="U295" i="1"/>
  <c r="U109" i="1"/>
  <c r="Y438" i="1"/>
  <c r="R54" i="1"/>
  <c r="R89" i="1" s="1"/>
  <c r="H382" i="1"/>
  <c r="H221" i="1"/>
  <c r="H203" i="1"/>
  <c r="I385" i="1"/>
  <c r="I304" i="1"/>
  <c r="I207" i="1"/>
  <c r="AB257" i="1"/>
  <c r="AC257" i="1" s="1"/>
  <c r="K385" i="1"/>
  <c r="K118" i="1"/>
  <c r="K207" i="1"/>
  <c r="K110" i="1"/>
  <c r="K381" i="1"/>
  <c r="K203" i="1"/>
  <c r="K382" i="1"/>
  <c r="R423" i="1"/>
  <c r="U246" i="1"/>
  <c r="W305" i="1"/>
  <c r="W225" i="1"/>
  <c r="AA304" i="1"/>
  <c r="AA385" i="1"/>
  <c r="AA118" i="1"/>
  <c r="AA205" i="1"/>
  <c r="AA112" i="1"/>
  <c r="AA222" i="1"/>
  <c r="AA54" i="1"/>
  <c r="AA399" i="1" s="1"/>
  <c r="Y207" i="1"/>
  <c r="Y118" i="1"/>
  <c r="Y402" i="1"/>
  <c r="Y206" i="1"/>
  <c r="Y300" i="1"/>
  <c r="Y223" i="1"/>
  <c r="R388" i="1"/>
  <c r="R210" i="1"/>
  <c r="S383" i="1"/>
  <c r="S112" i="1"/>
  <c r="S298" i="1"/>
  <c r="S205" i="1"/>
  <c r="S401" i="1"/>
  <c r="S222" i="1"/>
  <c r="U116" i="1"/>
  <c r="U302" i="1"/>
  <c r="U54" i="1"/>
  <c r="U310" i="1" s="1"/>
  <c r="M203" i="1"/>
  <c r="M204" i="1"/>
  <c r="M110" i="1"/>
  <c r="M382" i="1"/>
  <c r="M221" i="1"/>
  <c r="R180" i="1"/>
  <c r="U438" i="1"/>
  <c r="Y115" i="1"/>
  <c r="Y403" i="1"/>
  <c r="S386" i="1"/>
  <c r="S303" i="1"/>
  <c r="O302" i="1"/>
  <c r="O116" i="1"/>
  <c r="M403" i="1"/>
  <c r="M115" i="1"/>
  <c r="Y262" i="1"/>
  <c r="AB15" i="1"/>
  <c r="AC15" i="1" s="1"/>
  <c r="H24" i="1"/>
  <c r="H80" i="1" s="1"/>
  <c r="W302" i="1"/>
  <c r="S226" i="1"/>
  <c r="K117" i="1"/>
  <c r="Y119" i="1"/>
  <c r="AB212" i="1"/>
  <c r="AC212" i="1" s="1"/>
  <c r="R262" i="1"/>
  <c r="H54" i="1"/>
  <c r="H399" i="1" s="1"/>
  <c r="AB41" i="1"/>
  <c r="AC41" i="1" s="1"/>
  <c r="S405" i="1"/>
  <c r="Y54" i="1"/>
  <c r="Y137" i="1" s="1"/>
  <c r="AB249" i="1"/>
  <c r="AC249" i="1" s="1"/>
  <c r="AB42" i="1"/>
  <c r="AC42" i="1" s="1"/>
  <c r="H204" i="1"/>
  <c r="Y301" i="1"/>
  <c r="M224" i="1"/>
  <c r="O210" i="1"/>
  <c r="O295" i="1"/>
  <c r="S208" i="1"/>
  <c r="Y297" i="1"/>
  <c r="H110" i="1"/>
  <c r="H400" i="1"/>
  <c r="AB21" i="1"/>
  <c r="AC21" i="1" s="1"/>
  <c r="Y224" i="1"/>
  <c r="K35" i="1"/>
  <c r="K370" i="1" s="1"/>
  <c r="W404" i="1"/>
  <c r="R401" i="1"/>
  <c r="AA383" i="1"/>
  <c r="AA207" i="1"/>
  <c r="R113" i="1"/>
  <c r="AA262" i="1"/>
  <c r="AB418" i="1"/>
  <c r="AC418" i="1" s="1"/>
  <c r="H210" i="1"/>
  <c r="AB48" i="1"/>
  <c r="AC48" i="1" s="1"/>
  <c r="O262" i="1"/>
  <c r="AB241" i="1"/>
  <c r="AC241" i="1" s="1"/>
  <c r="AB387" i="1"/>
  <c r="AC387" i="1" s="1"/>
  <c r="AB256" i="1"/>
  <c r="AC256" i="1" s="1"/>
  <c r="AB33" i="1"/>
  <c r="AC33" i="1" s="1"/>
  <c r="I114" i="1"/>
  <c r="I384" i="1"/>
  <c r="I300" i="1"/>
  <c r="I110" i="1"/>
  <c r="I203" i="1"/>
  <c r="I381" i="1"/>
  <c r="S365" i="1"/>
  <c r="AB427" i="1"/>
  <c r="AC427" i="1" s="1"/>
  <c r="K388" i="1"/>
  <c r="K116" i="1"/>
  <c r="K210" i="1"/>
  <c r="W402" i="1"/>
  <c r="W300" i="1"/>
  <c r="W221" i="1"/>
  <c r="W296" i="1"/>
  <c r="W400" i="1"/>
  <c r="W110" i="1"/>
  <c r="W382" i="1"/>
  <c r="AA404" i="1"/>
  <c r="AA225" i="1"/>
  <c r="AA119" i="1"/>
  <c r="AA303" i="1"/>
  <c r="AA117" i="1"/>
  <c r="AA226" i="1"/>
  <c r="AA208" i="1"/>
  <c r="AA386" i="1"/>
  <c r="AA115" i="1"/>
  <c r="AA301" i="1"/>
  <c r="R115" i="1"/>
  <c r="R403" i="1"/>
  <c r="S301" i="1"/>
  <c r="S224" i="1"/>
  <c r="AB51" i="1"/>
  <c r="AC51" i="1" s="1"/>
  <c r="AG417" i="2"/>
  <c r="AH417" i="2" s="1"/>
  <c r="H423" i="1"/>
  <c r="H222" i="1"/>
  <c r="H401" i="1"/>
  <c r="W226" i="1"/>
  <c r="W208" i="1"/>
  <c r="W109" i="1"/>
  <c r="W295" i="1"/>
  <c r="P226" i="1"/>
  <c r="P405" i="1"/>
  <c r="Y401" i="1"/>
  <c r="Y222" i="1"/>
  <c r="Y112" i="1"/>
  <c r="Y298" i="1"/>
  <c r="R207" i="1"/>
  <c r="R304" i="1"/>
  <c r="R118" i="1"/>
  <c r="S300" i="1"/>
  <c r="S223" i="1"/>
  <c r="AB260" i="1"/>
  <c r="AC260" i="1" s="1"/>
  <c r="AB254" i="1"/>
  <c r="AC254" i="1" s="1"/>
  <c r="AB250" i="1"/>
  <c r="AC250" i="1" s="1"/>
  <c r="O246" i="1"/>
  <c r="O423" i="1"/>
  <c r="O365" i="1"/>
  <c r="P365" i="1"/>
  <c r="R35" i="1"/>
  <c r="R191" i="1" s="1"/>
  <c r="AB339" i="1"/>
  <c r="AC339" i="1" s="1"/>
  <c r="AB342" i="1"/>
  <c r="AC342" i="1" s="1"/>
  <c r="W365" i="1"/>
  <c r="R246" i="1"/>
  <c r="K141" i="1"/>
  <c r="I168" i="1"/>
  <c r="AB163" i="1"/>
  <c r="AC163" i="1" s="1"/>
  <c r="AB154" i="1"/>
  <c r="AC154" i="1" s="1"/>
  <c r="AB164" i="1"/>
  <c r="AC164" i="1" s="1"/>
  <c r="O168" i="1"/>
  <c r="AB151" i="1"/>
  <c r="AC151" i="1" s="1"/>
  <c r="AB157" i="1"/>
  <c r="AC157" i="1" s="1"/>
  <c r="AB166" i="1"/>
  <c r="AC166" i="1" s="1"/>
  <c r="R168" i="1"/>
  <c r="AB165" i="1"/>
  <c r="AC165" i="1" s="1"/>
  <c r="I115" i="1"/>
  <c r="I224" i="1"/>
  <c r="I403" i="1"/>
  <c r="I301" i="1"/>
  <c r="K299" i="1"/>
  <c r="K113" i="1"/>
  <c r="K262" i="1"/>
  <c r="K246" i="1"/>
  <c r="M297" i="1"/>
  <c r="M111" i="1"/>
  <c r="M54" i="1"/>
  <c r="AB255" i="1"/>
  <c r="AC255" i="1" s="1"/>
  <c r="M262" i="1"/>
  <c r="AB432" i="1"/>
  <c r="AC432" i="1" s="1"/>
  <c r="M438" i="1"/>
  <c r="AB258" i="1"/>
  <c r="AC258" i="1" s="1"/>
  <c r="AB428" i="1"/>
  <c r="AC428" i="1" s="1"/>
  <c r="I438" i="1"/>
  <c r="I423" i="1"/>
  <c r="AB420" i="1"/>
  <c r="AC420" i="1" s="1"/>
  <c r="I262" i="1"/>
  <c r="AB243" i="1"/>
  <c r="AC243" i="1" s="1"/>
  <c r="I246" i="1"/>
  <c r="AB29" i="1"/>
  <c r="AC29" i="1" s="1"/>
  <c r="I35" i="1"/>
  <c r="I184" i="1" s="1"/>
  <c r="I208" i="1"/>
  <c r="I117" i="1"/>
  <c r="I386" i="1"/>
  <c r="I226" i="1"/>
  <c r="AB49" i="1"/>
  <c r="AC49" i="1" s="1"/>
  <c r="I303" i="1"/>
  <c r="S111" i="1"/>
  <c r="S54" i="1"/>
  <c r="S227" i="1" s="1"/>
  <c r="S297" i="1"/>
  <c r="U301" i="1"/>
  <c r="U115" i="1"/>
  <c r="U403" i="1"/>
  <c r="U297" i="1"/>
  <c r="U111" i="1"/>
  <c r="U35" i="1"/>
  <c r="AB30" i="1"/>
  <c r="AC30" i="1" s="1"/>
  <c r="M117" i="1"/>
  <c r="M226" i="1"/>
  <c r="M303" i="1"/>
  <c r="M386" i="1"/>
  <c r="M405" i="1"/>
  <c r="M402" i="1"/>
  <c r="M384" i="1"/>
  <c r="M300" i="1"/>
  <c r="M114" i="1"/>
  <c r="M223" i="1"/>
  <c r="M206" i="1"/>
  <c r="M208" i="1"/>
  <c r="I405" i="1"/>
  <c r="Y386" i="1"/>
  <c r="Y405" i="1"/>
  <c r="Y226" i="1"/>
  <c r="Y117" i="1"/>
  <c r="Y400" i="1"/>
  <c r="Y204" i="1"/>
  <c r="Y110" i="1"/>
  <c r="Y382" i="1"/>
  <c r="Y203" i="1"/>
  <c r="Y35" i="1"/>
  <c r="Y191" i="1" s="1"/>
  <c r="R384" i="1"/>
  <c r="R223" i="1"/>
  <c r="R206" i="1"/>
  <c r="R300" i="1"/>
  <c r="R114" i="1"/>
  <c r="S305" i="1"/>
  <c r="S404" i="1"/>
  <c r="AB52" i="1"/>
  <c r="AC52" i="1" s="1"/>
  <c r="H384" i="1"/>
  <c r="H223" i="1"/>
  <c r="AB40" i="1"/>
  <c r="AC40" i="1" s="1"/>
  <c r="AB209" i="1"/>
  <c r="AC209" i="1" s="1"/>
  <c r="AB433" i="1"/>
  <c r="AC433" i="1" s="1"/>
  <c r="M246" i="1"/>
  <c r="I225" i="1"/>
  <c r="I404" i="1"/>
  <c r="K438" i="1"/>
  <c r="AA109" i="1"/>
  <c r="AA295" i="1"/>
  <c r="Y116" i="1"/>
  <c r="Y210" i="1"/>
  <c r="Y302" i="1"/>
  <c r="Y388" i="1"/>
  <c r="R405" i="1"/>
  <c r="R208" i="1"/>
  <c r="AB152" i="1"/>
  <c r="AC152" i="1" s="1"/>
  <c r="K365" i="1"/>
  <c r="AB435" i="1"/>
  <c r="AC435" i="1" s="1"/>
  <c r="AB430" i="1"/>
  <c r="AC430" i="1" s="1"/>
  <c r="AB259" i="1"/>
  <c r="AC259" i="1" s="1"/>
  <c r="AB31" i="1"/>
  <c r="AC31" i="1" s="1"/>
  <c r="AB434" i="1"/>
  <c r="AC434" i="1" s="1"/>
  <c r="AB244" i="1"/>
  <c r="AC244" i="1" s="1"/>
  <c r="K225" i="1"/>
  <c r="K119" i="1"/>
  <c r="K305" i="1"/>
  <c r="R365" i="1"/>
  <c r="W118" i="1"/>
  <c r="AB18" i="1"/>
  <c r="AC18" i="1" s="1"/>
  <c r="AB336" i="1"/>
  <c r="AC336" i="1" s="1"/>
  <c r="AB348" i="1"/>
  <c r="AC348" i="1" s="1"/>
  <c r="AB421" i="1"/>
  <c r="AC421" i="1" s="1"/>
  <c r="H246" i="1"/>
  <c r="W381" i="1"/>
  <c r="W204" i="1"/>
  <c r="AA300" i="1"/>
  <c r="AA114" i="1"/>
  <c r="R205" i="1"/>
  <c r="R222" i="1"/>
  <c r="R298" i="1"/>
  <c r="S114" i="1"/>
  <c r="S206" i="1"/>
  <c r="U210" i="1"/>
  <c r="U388" i="1"/>
  <c r="U383" i="1"/>
  <c r="U298" i="1"/>
  <c r="U112" i="1"/>
  <c r="M118" i="1"/>
  <c r="M304" i="1"/>
  <c r="N34" i="16"/>
  <c r="AB162" i="1"/>
  <c r="AC162" i="1" s="1"/>
  <c r="S168" i="1"/>
  <c r="AA423" i="1"/>
  <c r="I24" i="1"/>
  <c r="H354" i="1"/>
  <c r="U354" i="1"/>
  <c r="M34" i="16"/>
  <c r="P24" i="1"/>
  <c r="R354" i="1"/>
  <c r="F44" i="15"/>
  <c r="O438" i="1"/>
  <c r="I54" i="1"/>
  <c r="I109" i="1"/>
  <c r="AB429" i="1"/>
  <c r="AC429" i="1" s="1"/>
  <c r="P438" i="1"/>
  <c r="P423" i="1"/>
  <c r="AB417" i="1"/>
  <c r="AC417" i="1" s="1"/>
  <c r="R438" i="1"/>
  <c r="O35" i="1"/>
  <c r="AB27" i="1"/>
  <c r="AC27" i="1" s="1"/>
  <c r="W116" i="1"/>
  <c r="W388" i="1"/>
  <c r="T429" i="2"/>
  <c r="T428" i="2"/>
  <c r="K423" i="2"/>
  <c r="N13" i="15"/>
  <c r="J463" i="2"/>
  <c r="J486" i="2"/>
  <c r="J487" i="2" s="1"/>
  <c r="H35" i="16"/>
  <c r="H34" i="16"/>
  <c r="K34" i="16"/>
  <c r="K35" i="16"/>
  <c r="I463" i="2"/>
  <c r="I486" i="2"/>
  <c r="D35" i="16"/>
  <c r="O96" i="15"/>
  <c r="F13" i="15" s="1"/>
  <c r="K438" i="2" s="1"/>
  <c r="K456" i="2" s="1"/>
  <c r="F231" i="1"/>
  <c r="U470" i="2"/>
  <c r="U442" i="2"/>
  <c r="AB252" i="1"/>
  <c r="AC252" i="1" s="1"/>
  <c r="I112" i="1"/>
  <c r="I222" i="1"/>
  <c r="W35" i="1"/>
  <c r="AB153" i="1"/>
  <c r="AC153" i="1" s="1"/>
  <c r="W423" i="1"/>
  <c r="D9" i="9"/>
  <c r="F9" i="9" s="1"/>
  <c r="M11" i="15"/>
  <c r="I426" i="2"/>
  <c r="D9" i="8"/>
  <c r="F9" i="8" s="1"/>
  <c r="AB150" i="1"/>
  <c r="AC150" i="1" s="1"/>
  <c r="H438" i="1"/>
  <c r="P246" i="1"/>
  <c r="S246" i="1"/>
  <c r="K295" i="1"/>
  <c r="K109" i="1"/>
  <c r="K423" i="1"/>
  <c r="U423" i="1"/>
  <c r="U180" i="1"/>
  <c r="D10" i="9"/>
  <c r="F10" i="9" s="1"/>
  <c r="D10" i="8"/>
  <c r="F10" i="8" s="1"/>
  <c r="J426" i="2"/>
  <c r="H43" i="18" a="1"/>
  <c r="D51" i="18"/>
  <c r="W180" i="1"/>
  <c r="A48" i="15"/>
  <c r="S384" i="1"/>
  <c r="D11" i="9"/>
  <c r="F11" i="9" s="1"/>
  <c r="D11" i="8"/>
  <c r="F11" i="8" s="1"/>
  <c r="Z487" i="2"/>
  <c r="A88" i="15"/>
  <c r="D154" i="18"/>
  <c r="H146" i="18" a="1"/>
  <c r="N14" i="15" l="1"/>
  <c r="N11" i="15"/>
  <c r="N9" i="15"/>
  <c r="F423" i="2"/>
  <c r="F496" i="2" s="1"/>
  <c r="N8" i="15"/>
  <c r="P428" i="2"/>
  <c r="C28" i="15"/>
  <c r="C29" i="15" s="1"/>
  <c r="C30" i="15" s="1"/>
  <c r="C26" i="15"/>
  <c r="M26" i="15" s="1"/>
  <c r="T174" i="15"/>
  <c r="K21" i="15" s="1"/>
  <c r="S434" i="2" s="1"/>
  <c r="P201" i="15"/>
  <c r="O211" i="15"/>
  <c r="E426" i="2"/>
  <c r="N432" i="2"/>
  <c r="AA313" i="2"/>
  <c r="X313" i="2"/>
  <c r="AH422" i="2"/>
  <c r="O431" i="2"/>
  <c r="O432" i="2" s="1"/>
  <c r="M428" i="2"/>
  <c r="M431" i="2"/>
  <c r="M432" i="2" s="1"/>
  <c r="I423" i="2"/>
  <c r="G428" i="2"/>
  <c r="G429" i="2"/>
  <c r="G431" i="2" s="1"/>
  <c r="G432" i="2" s="1"/>
  <c r="O40" i="16"/>
  <c r="O42" i="16" s="1"/>
  <c r="H463" i="2"/>
  <c r="S438" i="2"/>
  <c r="S456" i="2" s="1"/>
  <c r="P438" i="2"/>
  <c r="P456" i="2" s="1"/>
  <c r="U438" i="2"/>
  <c r="U456" i="2" s="1"/>
  <c r="R438" i="2"/>
  <c r="R456" i="2" s="1"/>
  <c r="Q438" i="2"/>
  <c r="Q456" i="2" s="1"/>
  <c r="T438" i="2"/>
  <c r="T456" i="2" s="1"/>
  <c r="S124" i="15"/>
  <c r="J16" i="15" s="1"/>
  <c r="N435" i="2" s="1"/>
  <c r="AE313" i="2"/>
  <c r="F313" i="2"/>
  <c r="F411" i="2" s="1"/>
  <c r="O313" i="2"/>
  <c r="Y313" i="2"/>
  <c r="G313" i="2"/>
  <c r="G411" i="2" s="1"/>
  <c r="U313" i="2"/>
  <c r="AD313" i="2"/>
  <c r="M313" i="2"/>
  <c r="J313" i="2"/>
  <c r="J411" i="2" s="1"/>
  <c r="K313" i="2"/>
  <c r="K411" i="2" s="1"/>
  <c r="W313" i="2"/>
  <c r="AF313" i="2"/>
  <c r="Q313" i="2"/>
  <c r="AB313" i="2"/>
  <c r="H313" i="2"/>
  <c r="H411" i="2" s="1"/>
  <c r="P313" i="2"/>
  <c r="Z313" i="2"/>
  <c r="L313" i="2"/>
  <c r="I313" i="2"/>
  <c r="I411" i="2" s="1"/>
  <c r="S313" i="2"/>
  <c r="V313" i="2"/>
  <c r="N313" i="2"/>
  <c r="AC313" i="2"/>
  <c r="R313" i="2"/>
  <c r="T313" i="2"/>
  <c r="S104" i="15"/>
  <c r="J14" i="15" s="1"/>
  <c r="L435" i="2" s="1"/>
  <c r="O425" i="2"/>
  <c r="O403" i="2" s="1"/>
  <c r="O126" i="15"/>
  <c r="F16" i="15" s="1"/>
  <c r="N438" i="2" s="1"/>
  <c r="N456" i="2" s="1"/>
  <c r="O116" i="15"/>
  <c r="F15" i="15" s="1"/>
  <c r="M438" i="2" s="1"/>
  <c r="M456" i="2" s="1"/>
  <c r="S94" i="15"/>
  <c r="J13" i="15" s="1"/>
  <c r="K435" i="2" s="1"/>
  <c r="P46" i="15"/>
  <c r="G8" i="15" s="1"/>
  <c r="F428" i="2"/>
  <c r="I84" i="18"/>
  <c r="P126" i="15"/>
  <c r="G16" i="15" s="1"/>
  <c r="P116" i="15"/>
  <c r="G15" i="15" s="1"/>
  <c r="S114" i="15"/>
  <c r="J15" i="15" s="1"/>
  <c r="M435" i="2" s="1"/>
  <c r="O46" i="15"/>
  <c r="F8" i="15" s="1"/>
  <c r="F438" i="2" s="1"/>
  <c r="F456" i="2" s="1"/>
  <c r="M25" i="15"/>
  <c r="O438" i="2"/>
  <c r="O456" i="2" s="1"/>
  <c r="O124" i="15"/>
  <c r="R124" i="15" s="1"/>
  <c r="I16" i="15" s="1"/>
  <c r="N436" i="2" s="1"/>
  <c r="N489" i="2" s="1"/>
  <c r="O122" i="15"/>
  <c r="Q122" i="15"/>
  <c r="H16" i="15" s="1"/>
  <c r="N437" i="2" s="1"/>
  <c r="O114" i="15"/>
  <c r="R114" i="15" s="1"/>
  <c r="I15" i="15" s="1"/>
  <c r="M436" i="2" s="1"/>
  <c r="M489" i="2" s="1"/>
  <c r="Q112" i="15"/>
  <c r="H15" i="15" s="1"/>
  <c r="M437" i="2" s="1"/>
  <c r="O112" i="15"/>
  <c r="O104" i="15"/>
  <c r="R104" i="15" s="1"/>
  <c r="I14" i="15" s="1"/>
  <c r="L436" i="2" s="1"/>
  <c r="Q102" i="15"/>
  <c r="H14" i="15" s="1"/>
  <c r="L437" i="2" s="1"/>
  <c r="O102" i="15"/>
  <c r="Q82" i="15"/>
  <c r="H12" i="15" s="1"/>
  <c r="J437" i="2" s="1"/>
  <c r="O82" i="15"/>
  <c r="G423" i="2"/>
  <c r="L438" i="2"/>
  <c r="L456" i="2" s="1"/>
  <c r="C35" i="16"/>
  <c r="R442" i="2"/>
  <c r="R449" i="2" s="1"/>
  <c r="R470" i="2" s="1"/>
  <c r="R477" i="2" s="1"/>
  <c r="C33" i="16"/>
  <c r="O33" i="16" s="1"/>
  <c r="O32" i="16"/>
  <c r="N15" i="15"/>
  <c r="M423" i="2"/>
  <c r="M496" i="2" s="1"/>
  <c r="O54" i="15"/>
  <c r="R54" i="15" s="1"/>
  <c r="I9" i="15" s="1"/>
  <c r="G436" i="2" s="1"/>
  <c r="Q52" i="15"/>
  <c r="H9" i="15" s="1"/>
  <c r="G437" i="2" s="1"/>
  <c r="R429" i="2"/>
  <c r="U423" i="2"/>
  <c r="U496" i="2" s="1"/>
  <c r="S54" i="15"/>
  <c r="J9" i="15" s="1"/>
  <c r="G435" i="2" s="1"/>
  <c r="Q442" i="2"/>
  <c r="Q449" i="2" s="1"/>
  <c r="Q489" i="2"/>
  <c r="L423" i="2"/>
  <c r="T164" i="15"/>
  <c r="K20" i="15" s="1"/>
  <c r="R434" i="2" s="1"/>
  <c r="T134" i="15"/>
  <c r="K17" i="15" s="1"/>
  <c r="O434" i="2" s="1"/>
  <c r="Q92" i="15"/>
  <c r="H13" i="15" s="1"/>
  <c r="K437" i="2" s="1"/>
  <c r="I17" i="15"/>
  <c r="O436" i="2" s="1"/>
  <c r="O489" i="2" s="1"/>
  <c r="S423" i="2"/>
  <c r="T423" i="2"/>
  <c r="N22" i="15"/>
  <c r="T194" i="15"/>
  <c r="K23" i="15" s="1"/>
  <c r="U434" i="2" s="1"/>
  <c r="T154" i="15"/>
  <c r="K19" i="15" s="1"/>
  <c r="Q434" i="2" s="1"/>
  <c r="T184" i="15"/>
  <c r="K22" i="15" s="1"/>
  <c r="T434" i="2" s="1"/>
  <c r="S44" i="15"/>
  <c r="J8" i="15" s="1"/>
  <c r="F435" i="2" s="1"/>
  <c r="O52" i="15"/>
  <c r="K428" i="2"/>
  <c r="H427" i="2"/>
  <c r="H429" i="2" s="1"/>
  <c r="H431" i="2" s="1"/>
  <c r="H432" i="2" s="1"/>
  <c r="O92" i="15"/>
  <c r="J425" i="2"/>
  <c r="J403" i="2" s="1"/>
  <c r="H425" i="2"/>
  <c r="H403" i="2" s="1"/>
  <c r="O42" i="15"/>
  <c r="Q42" i="15"/>
  <c r="H8" i="15" s="1"/>
  <c r="F437" i="2" s="1"/>
  <c r="F414" i="1"/>
  <c r="F460" i="1" s="1"/>
  <c r="F462" i="1" s="1"/>
  <c r="T144" i="15"/>
  <c r="K18" i="15" s="1"/>
  <c r="P434" i="2" s="1"/>
  <c r="I18" i="15"/>
  <c r="P436" i="2" s="1"/>
  <c r="P489" i="2" s="1"/>
  <c r="S489" i="2"/>
  <c r="R423" i="2"/>
  <c r="N20" i="15"/>
  <c r="N423" i="2"/>
  <c r="N496" i="2" s="1"/>
  <c r="N16" i="15"/>
  <c r="Q423" i="2"/>
  <c r="N19" i="15"/>
  <c r="P425" i="2"/>
  <c r="P403" i="2" s="1"/>
  <c r="L427" i="2"/>
  <c r="L429" i="2" s="1"/>
  <c r="L431" i="2" s="1"/>
  <c r="L432" i="2" s="1"/>
  <c r="D25" i="15"/>
  <c r="D28" i="15" s="1"/>
  <c r="D30" i="15" s="1"/>
  <c r="Q429" i="2"/>
  <c r="Q428" i="2"/>
  <c r="Q432" i="2" s="1"/>
  <c r="P431" i="2"/>
  <c r="P432" i="2" s="1"/>
  <c r="H85" i="18"/>
  <c r="D85" i="18" s="1"/>
  <c r="I83" i="18"/>
  <c r="D84" i="18" s="1"/>
  <c r="D90" i="18" s="1"/>
  <c r="D93" i="18" s="1"/>
  <c r="D95" i="18" s="1"/>
  <c r="D96" i="18" s="1"/>
  <c r="D97" i="18" s="1"/>
  <c r="D167" i="18" s="1"/>
  <c r="O469" i="1" s="1"/>
  <c r="H83" i="18"/>
  <c r="D83" i="18" s="1"/>
  <c r="I85" i="18"/>
  <c r="F98" i="1"/>
  <c r="F101" i="1" s="1"/>
  <c r="F126" i="1" s="1"/>
  <c r="H197" i="1"/>
  <c r="O335" i="1"/>
  <c r="O345" i="1" s="1"/>
  <c r="O356" i="1" s="1"/>
  <c r="O85" i="1"/>
  <c r="O80" i="1"/>
  <c r="O293" i="1"/>
  <c r="O106" i="1"/>
  <c r="F93" i="1"/>
  <c r="U293" i="1"/>
  <c r="U106" i="1"/>
  <c r="U85" i="1"/>
  <c r="U335" i="1"/>
  <c r="U345" i="1" s="1"/>
  <c r="U356" i="1" s="1"/>
  <c r="U80" i="1"/>
  <c r="R335" i="1"/>
  <c r="R345" i="1" s="1"/>
  <c r="R356" i="1" s="1"/>
  <c r="W80" i="1"/>
  <c r="J35" i="16"/>
  <c r="I34" i="16"/>
  <c r="AA85" i="1"/>
  <c r="R80" i="1"/>
  <c r="W149" i="1"/>
  <c r="W159" i="1" s="1"/>
  <c r="R85" i="1"/>
  <c r="AA293" i="1"/>
  <c r="R293" i="1"/>
  <c r="AA335" i="1"/>
  <c r="AA345" i="1" s="1"/>
  <c r="AA356" i="1" s="1"/>
  <c r="R149" i="1"/>
  <c r="R159" i="1" s="1"/>
  <c r="R170" i="1" s="1"/>
  <c r="Y335" i="1"/>
  <c r="Y345" i="1" s="1"/>
  <c r="Y356" i="1" s="1"/>
  <c r="I35" i="16"/>
  <c r="Y149" i="1"/>
  <c r="Y159" i="1" s="1"/>
  <c r="Y170" i="1" s="1"/>
  <c r="Y85" i="1"/>
  <c r="Y106" i="1"/>
  <c r="Y293" i="1"/>
  <c r="E35" i="16"/>
  <c r="S149" i="1"/>
  <c r="S159" i="1" s="1"/>
  <c r="S170" i="1" s="1"/>
  <c r="M293" i="1"/>
  <c r="S187" i="1"/>
  <c r="W106" i="1"/>
  <c r="AA80" i="1"/>
  <c r="W335" i="1"/>
  <c r="W345" i="1" s="1"/>
  <c r="AA106" i="1"/>
  <c r="U170" i="1"/>
  <c r="W293" i="1"/>
  <c r="M80" i="1"/>
  <c r="S106" i="1"/>
  <c r="S335" i="1"/>
  <c r="S345" i="1" s="1"/>
  <c r="S356" i="1" s="1"/>
  <c r="M85" i="1"/>
  <c r="S80" i="1"/>
  <c r="M106" i="1"/>
  <c r="M335" i="1"/>
  <c r="M345" i="1" s="1"/>
  <c r="M356" i="1" s="1"/>
  <c r="S85" i="1"/>
  <c r="S192" i="1"/>
  <c r="H188" i="1"/>
  <c r="K85" i="1"/>
  <c r="K149" i="1"/>
  <c r="K159" i="1" s="1"/>
  <c r="K170" i="1" s="1"/>
  <c r="K335" i="1"/>
  <c r="K345" i="1" s="1"/>
  <c r="K356" i="1" s="1"/>
  <c r="K106" i="1"/>
  <c r="K80" i="1"/>
  <c r="K293" i="1"/>
  <c r="S368" i="1"/>
  <c r="K408" i="1"/>
  <c r="L34" i="16"/>
  <c r="S370" i="1"/>
  <c r="H194" i="1"/>
  <c r="S184" i="1"/>
  <c r="H196" i="1"/>
  <c r="H85" i="1"/>
  <c r="R380" i="1"/>
  <c r="R220" i="1"/>
  <c r="Y390" i="1"/>
  <c r="M193" i="1"/>
  <c r="M188" i="1"/>
  <c r="M191" i="1"/>
  <c r="R137" i="1"/>
  <c r="S185" i="1"/>
  <c r="S190" i="1"/>
  <c r="S188" i="1"/>
  <c r="S374" i="1"/>
  <c r="H190" i="1"/>
  <c r="H189" i="1"/>
  <c r="H370" i="1"/>
  <c r="I369" i="1"/>
  <c r="S306" i="1"/>
  <c r="M196" i="1"/>
  <c r="S186" i="1"/>
  <c r="S194" i="1"/>
  <c r="K188" i="1"/>
  <c r="S193" i="1"/>
  <c r="S372" i="1"/>
  <c r="S189" i="1"/>
  <c r="S371" i="1"/>
  <c r="H185" i="1"/>
  <c r="H374" i="1"/>
  <c r="H373" i="1"/>
  <c r="H375" i="1"/>
  <c r="H195" i="1"/>
  <c r="H186" i="1"/>
  <c r="H191" i="1"/>
  <c r="H193" i="1"/>
  <c r="S294" i="1"/>
  <c r="S56" i="1"/>
  <c r="S9" i="1" s="1"/>
  <c r="S369" i="1"/>
  <c r="S373" i="1"/>
  <c r="S86" i="1"/>
  <c r="H187" i="1"/>
  <c r="H183" i="1"/>
  <c r="H184" i="1"/>
  <c r="H371" i="1"/>
  <c r="S195" i="1"/>
  <c r="S105" i="1"/>
  <c r="M192" i="1"/>
  <c r="Y227" i="1"/>
  <c r="S107" i="1"/>
  <c r="S197" i="1"/>
  <c r="S183" i="1"/>
  <c r="S196" i="1"/>
  <c r="U105" i="1"/>
  <c r="H368" i="1"/>
  <c r="H294" i="1"/>
  <c r="H107" i="1"/>
  <c r="H192" i="1"/>
  <c r="M187" i="1"/>
  <c r="H86" i="1"/>
  <c r="S191" i="1"/>
  <c r="H372" i="1"/>
  <c r="U227" i="1"/>
  <c r="AA373" i="1"/>
  <c r="H220" i="1"/>
  <c r="R368" i="1"/>
  <c r="AA108" i="1"/>
  <c r="AB168" i="1"/>
  <c r="AC168" i="1" s="1"/>
  <c r="U211" i="1"/>
  <c r="W202" i="1"/>
  <c r="W406" i="1"/>
  <c r="W227" i="1"/>
  <c r="P86" i="1"/>
  <c r="R372" i="1"/>
  <c r="S406" i="1"/>
  <c r="M170" i="1"/>
  <c r="U406" i="1"/>
  <c r="P369" i="1"/>
  <c r="R373" i="1"/>
  <c r="R188" i="1"/>
  <c r="P191" i="1"/>
  <c r="AA107" i="1"/>
  <c r="R374" i="1"/>
  <c r="S220" i="1"/>
  <c r="S229" i="1" s="1"/>
  <c r="AA183" i="1"/>
  <c r="U220" i="1"/>
  <c r="W389" i="1"/>
  <c r="W105" i="1"/>
  <c r="W390" i="1"/>
  <c r="K229" i="1"/>
  <c r="P187" i="1"/>
  <c r="K371" i="1"/>
  <c r="W380" i="1"/>
  <c r="P190" i="1"/>
  <c r="P185" i="1"/>
  <c r="R371" i="1"/>
  <c r="R375" i="1"/>
  <c r="R190" i="1"/>
  <c r="P107" i="1"/>
  <c r="U138" i="1"/>
  <c r="U137" i="1"/>
  <c r="U136" i="1"/>
  <c r="W108" i="1"/>
  <c r="O170" i="1"/>
  <c r="K215" i="1"/>
  <c r="AB304" i="1"/>
  <c r="AC304" i="1" s="1"/>
  <c r="P183" i="1"/>
  <c r="W211" i="1"/>
  <c r="P186" i="1"/>
  <c r="P371" i="1"/>
  <c r="W399" i="1"/>
  <c r="P195" i="1"/>
  <c r="R197" i="1"/>
  <c r="R187" i="1"/>
  <c r="R194" i="1"/>
  <c r="P196" i="1"/>
  <c r="AA190" i="1"/>
  <c r="U380" i="1"/>
  <c r="U389" i="1"/>
  <c r="P374" i="1"/>
  <c r="P373" i="1"/>
  <c r="AA306" i="1"/>
  <c r="R211" i="1"/>
  <c r="R56" i="1"/>
  <c r="R71" i="1" s="1"/>
  <c r="Y56" i="1"/>
  <c r="Y71" i="1" s="1"/>
  <c r="P188" i="1"/>
  <c r="P184" i="1"/>
  <c r="R390" i="1"/>
  <c r="M373" i="1"/>
  <c r="M86" i="1"/>
  <c r="H227" i="1"/>
  <c r="H406" i="1"/>
  <c r="H408" i="1" s="1"/>
  <c r="AA192" i="1"/>
  <c r="AA375" i="1"/>
  <c r="H149" i="1"/>
  <c r="H159" i="1" s="1"/>
  <c r="H170" i="1" s="1"/>
  <c r="AB262" i="1"/>
  <c r="AC262" i="1" s="1"/>
  <c r="Y310" i="1"/>
  <c r="P194" i="1"/>
  <c r="W137" i="1"/>
  <c r="M369" i="1"/>
  <c r="W87" i="1"/>
  <c r="W306" i="1"/>
  <c r="W213" i="1"/>
  <c r="M371" i="1"/>
  <c r="M195" i="1"/>
  <c r="P197" i="1"/>
  <c r="M197" i="1"/>
  <c r="M368" i="1"/>
  <c r="M294" i="1"/>
  <c r="H56" i="1"/>
  <c r="H58" i="1" s="1"/>
  <c r="AB296" i="1"/>
  <c r="AC296" i="1" s="1"/>
  <c r="M186" i="1"/>
  <c r="M372" i="1"/>
  <c r="M190" i="1"/>
  <c r="AB385" i="1"/>
  <c r="AC385" i="1" s="1"/>
  <c r="AB225" i="1"/>
  <c r="AC225" i="1" s="1"/>
  <c r="AA170" i="1"/>
  <c r="W220" i="1"/>
  <c r="W139" i="1"/>
  <c r="AA369" i="1"/>
  <c r="E34" i="16"/>
  <c r="W89" i="1"/>
  <c r="W78" i="1"/>
  <c r="P192" i="1"/>
  <c r="P370" i="1"/>
  <c r="R78" i="1"/>
  <c r="AA310" i="1"/>
  <c r="AB110" i="1"/>
  <c r="AC110" i="1" s="1"/>
  <c r="P368" i="1"/>
  <c r="P372" i="1"/>
  <c r="R406" i="1"/>
  <c r="M375" i="1"/>
  <c r="M189" i="1"/>
  <c r="M185" i="1"/>
  <c r="AA86" i="1"/>
  <c r="M56" i="1"/>
  <c r="M71" i="1" s="1"/>
  <c r="M374" i="1"/>
  <c r="P375" i="1"/>
  <c r="W136" i="1"/>
  <c r="M370" i="1"/>
  <c r="M107" i="1"/>
  <c r="W138" i="1"/>
  <c r="M194" i="1"/>
  <c r="M184" i="1"/>
  <c r="P189" i="1"/>
  <c r="P193" i="1"/>
  <c r="AB423" i="1"/>
  <c r="AC423" i="1" s="1"/>
  <c r="I190" i="1"/>
  <c r="AA390" i="1"/>
  <c r="AA139" i="1"/>
  <c r="S139" i="1"/>
  <c r="S78" i="1"/>
  <c r="S213" i="1"/>
  <c r="AB381" i="1"/>
  <c r="AC381" i="1" s="1"/>
  <c r="AB305" i="1"/>
  <c r="AC305" i="1" s="1"/>
  <c r="AB404" i="1"/>
  <c r="AC404" i="1" s="1"/>
  <c r="K294" i="1"/>
  <c r="K368" i="1"/>
  <c r="AA196" i="1"/>
  <c r="AA197" i="1"/>
  <c r="AA374" i="1"/>
  <c r="AA368" i="1"/>
  <c r="AA370" i="1"/>
  <c r="AA189" i="1"/>
  <c r="AA294" i="1"/>
  <c r="K107" i="1"/>
  <c r="AA193" i="1"/>
  <c r="E443" i="2"/>
  <c r="E450" i="2" s="1"/>
  <c r="R136" i="1"/>
  <c r="R202" i="1"/>
  <c r="AA211" i="1"/>
  <c r="AA105" i="1"/>
  <c r="R186" i="1"/>
  <c r="R294" i="1"/>
  <c r="R189" i="1"/>
  <c r="R184" i="1"/>
  <c r="R183" i="1"/>
  <c r="R107" i="1"/>
  <c r="Y184" i="1"/>
  <c r="S138" i="1"/>
  <c r="S211" i="1"/>
  <c r="S310" i="1"/>
  <c r="S108" i="1"/>
  <c r="AB119" i="1"/>
  <c r="AC119" i="1" s="1"/>
  <c r="R105" i="1"/>
  <c r="AA185" i="1"/>
  <c r="AA191" i="1"/>
  <c r="AA187" i="1"/>
  <c r="AA186" i="1"/>
  <c r="AB303" i="1"/>
  <c r="AC303" i="1" s="1"/>
  <c r="AB117" i="1"/>
  <c r="AC117" i="1" s="1"/>
  <c r="K195" i="1"/>
  <c r="K185" i="1"/>
  <c r="U108" i="1"/>
  <c r="U202" i="1"/>
  <c r="U306" i="1"/>
  <c r="U139" i="1"/>
  <c r="U89" i="1"/>
  <c r="U213" i="1"/>
  <c r="AA188" i="1"/>
  <c r="K197" i="1"/>
  <c r="AA380" i="1"/>
  <c r="S202" i="1"/>
  <c r="S389" i="1"/>
  <c r="K372" i="1"/>
  <c r="K193" i="1"/>
  <c r="K187" i="1"/>
  <c r="R306" i="1"/>
  <c r="AA136" i="1"/>
  <c r="AA220" i="1"/>
  <c r="R370" i="1"/>
  <c r="R86" i="1"/>
  <c r="R369" i="1"/>
  <c r="R193" i="1"/>
  <c r="R195" i="1"/>
  <c r="Y375" i="1"/>
  <c r="S390" i="1"/>
  <c r="S89" i="1"/>
  <c r="S380" i="1"/>
  <c r="R139" i="1"/>
  <c r="AA194" i="1"/>
  <c r="AA372" i="1"/>
  <c r="AA56" i="1"/>
  <c r="AA71" i="1" s="1"/>
  <c r="AA184" i="1"/>
  <c r="K374" i="1"/>
  <c r="U87" i="1"/>
  <c r="U390" i="1"/>
  <c r="U78" i="1"/>
  <c r="U399" i="1"/>
  <c r="AA371" i="1"/>
  <c r="AB382" i="1"/>
  <c r="AC382" i="1" s="1"/>
  <c r="AB221" i="1"/>
  <c r="AC221" i="1" s="1"/>
  <c r="Y78" i="1"/>
  <c r="Y211" i="1"/>
  <c r="Y139" i="1"/>
  <c r="AB207" i="1"/>
  <c r="AC207" i="1" s="1"/>
  <c r="H293" i="1"/>
  <c r="Y202" i="1"/>
  <c r="Y87" i="1"/>
  <c r="K192" i="1"/>
  <c r="K196" i="1"/>
  <c r="K86" i="1"/>
  <c r="K191" i="1"/>
  <c r="K369" i="1"/>
  <c r="AA137" i="1"/>
  <c r="AA78" i="1"/>
  <c r="AA138" i="1"/>
  <c r="AA202" i="1"/>
  <c r="AA213" i="1"/>
  <c r="Y194" i="1"/>
  <c r="AB118" i="1"/>
  <c r="AC118" i="1" s="1"/>
  <c r="AB302" i="1"/>
  <c r="AC302" i="1" s="1"/>
  <c r="AB203" i="1"/>
  <c r="AC203" i="1" s="1"/>
  <c r="AB400" i="1"/>
  <c r="AC400" i="1" s="1"/>
  <c r="Y89" i="1"/>
  <c r="H335" i="1"/>
  <c r="H345" i="1" s="1"/>
  <c r="H356" i="1" s="1"/>
  <c r="Y105" i="1"/>
  <c r="K184" i="1"/>
  <c r="K186" i="1"/>
  <c r="K194" i="1"/>
  <c r="Y399" i="1"/>
  <c r="Y213" i="1"/>
  <c r="Y136" i="1"/>
  <c r="Y406" i="1"/>
  <c r="R192" i="1"/>
  <c r="R196" i="1"/>
  <c r="R185" i="1"/>
  <c r="K392" i="1"/>
  <c r="R87" i="1"/>
  <c r="R399" i="1"/>
  <c r="R138" i="1"/>
  <c r="R108" i="1"/>
  <c r="R213" i="1"/>
  <c r="R389" i="1"/>
  <c r="R227" i="1"/>
  <c r="R310" i="1"/>
  <c r="AB24" i="1"/>
  <c r="AC24" i="1" s="1"/>
  <c r="Y306" i="1"/>
  <c r="K190" i="1"/>
  <c r="K189" i="1"/>
  <c r="AA89" i="1"/>
  <c r="AA227" i="1"/>
  <c r="AA87" i="1"/>
  <c r="AA389" i="1"/>
  <c r="AA406" i="1"/>
  <c r="AA408" i="1" s="1"/>
  <c r="AB210" i="1"/>
  <c r="AC210" i="1" s="1"/>
  <c r="AB204" i="1"/>
  <c r="AC204" i="1" s="1"/>
  <c r="AB208" i="1"/>
  <c r="AC208" i="1" s="1"/>
  <c r="Y108" i="1"/>
  <c r="H106" i="1"/>
  <c r="Y220" i="1"/>
  <c r="AB386" i="1"/>
  <c r="AC386" i="1" s="1"/>
  <c r="K375" i="1"/>
  <c r="K56" i="1"/>
  <c r="K73" i="1" s="1"/>
  <c r="K373" i="1"/>
  <c r="K183" i="1"/>
  <c r="Y138" i="1"/>
  <c r="Y389" i="1"/>
  <c r="Y380" i="1"/>
  <c r="H306" i="1"/>
  <c r="H389" i="1"/>
  <c r="H136" i="1"/>
  <c r="H211" i="1"/>
  <c r="H310" i="1"/>
  <c r="H139" i="1"/>
  <c r="H390" i="1"/>
  <c r="H380" i="1"/>
  <c r="H137" i="1"/>
  <c r="H105" i="1"/>
  <c r="H89" i="1"/>
  <c r="H213" i="1"/>
  <c r="H78" i="1"/>
  <c r="H108" i="1"/>
  <c r="H202" i="1"/>
  <c r="H138" i="1"/>
  <c r="H87" i="1"/>
  <c r="G34" i="16"/>
  <c r="Y197" i="1"/>
  <c r="Y189" i="1"/>
  <c r="Y107" i="1"/>
  <c r="Y188" i="1"/>
  <c r="Y190" i="1"/>
  <c r="Y372" i="1"/>
  <c r="Y187" i="1"/>
  <c r="Y193" i="1"/>
  <c r="Y373" i="1"/>
  <c r="Y192" i="1"/>
  <c r="Y370" i="1"/>
  <c r="Y185" i="1"/>
  <c r="AB388" i="1"/>
  <c r="AC388" i="1" s="1"/>
  <c r="Y294" i="1"/>
  <c r="Y186" i="1"/>
  <c r="Y369" i="1"/>
  <c r="Y183" i="1"/>
  <c r="Y374" i="1"/>
  <c r="P85" i="1"/>
  <c r="P335" i="1"/>
  <c r="P345" i="1" s="1"/>
  <c r="P356" i="1" s="1"/>
  <c r="P293" i="1"/>
  <c r="P80" i="1"/>
  <c r="P149" i="1"/>
  <c r="P159" i="1" s="1"/>
  <c r="P170" i="1" s="1"/>
  <c r="P106" i="1"/>
  <c r="AB354" i="1"/>
  <c r="AC354" i="1" s="1"/>
  <c r="AB405" i="1"/>
  <c r="AC405" i="1" s="1"/>
  <c r="M213" i="1"/>
  <c r="M406" i="1"/>
  <c r="M310" i="1"/>
  <c r="M389" i="1"/>
  <c r="M137" i="1"/>
  <c r="M399" i="1"/>
  <c r="M108" i="1"/>
  <c r="M306" i="1"/>
  <c r="M139" i="1"/>
  <c r="M211" i="1"/>
  <c r="M227" i="1"/>
  <c r="M380" i="1"/>
  <c r="M220" i="1"/>
  <c r="M390" i="1"/>
  <c r="M202" i="1"/>
  <c r="M78" i="1"/>
  <c r="M87" i="1"/>
  <c r="M89" i="1"/>
  <c r="M136" i="1"/>
  <c r="M105" i="1"/>
  <c r="M138" i="1"/>
  <c r="M35" i="16"/>
  <c r="F34" i="16"/>
  <c r="U372" i="1"/>
  <c r="U187" i="1"/>
  <c r="U368" i="1"/>
  <c r="U374" i="1"/>
  <c r="U197" i="1"/>
  <c r="U191" i="1"/>
  <c r="U193" i="1"/>
  <c r="U194" i="1"/>
  <c r="U373" i="1"/>
  <c r="U196" i="1"/>
  <c r="U188" i="1"/>
  <c r="U56" i="1"/>
  <c r="U86" i="1"/>
  <c r="U375" i="1"/>
  <c r="U183" i="1"/>
  <c r="U190" i="1"/>
  <c r="U195" i="1"/>
  <c r="U184" i="1"/>
  <c r="U371" i="1"/>
  <c r="U189" i="1"/>
  <c r="U369" i="1"/>
  <c r="U192" i="1"/>
  <c r="U107" i="1"/>
  <c r="U370" i="1"/>
  <c r="U186" i="1"/>
  <c r="U294" i="1"/>
  <c r="U185" i="1"/>
  <c r="N35" i="16"/>
  <c r="AB116" i="1"/>
  <c r="AC116" i="1" s="1"/>
  <c r="Y195" i="1"/>
  <c r="Y196" i="1"/>
  <c r="Y368" i="1"/>
  <c r="Y86" i="1"/>
  <c r="Y371" i="1"/>
  <c r="I293" i="1"/>
  <c r="I335" i="1"/>
  <c r="I345" i="1" s="1"/>
  <c r="I356" i="1" s="1"/>
  <c r="I106" i="1"/>
  <c r="I85" i="1"/>
  <c r="I149" i="1"/>
  <c r="I159" i="1" s="1"/>
  <c r="I170" i="1" s="1"/>
  <c r="I80" i="1"/>
  <c r="F35" i="16"/>
  <c r="G35" i="16"/>
  <c r="S136" i="1"/>
  <c r="S87" i="1"/>
  <c r="S399" i="1"/>
  <c r="S137" i="1"/>
  <c r="AB226" i="1"/>
  <c r="AC226" i="1" s="1"/>
  <c r="I187" i="1"/>
  <c r="I368" i="1"/>
  <c r="I188" i="1"/>
  <c r="I186" i="1"/>
  <c r="I191" i="1"/>
  <c r="I375" i="1"/>
  <c r="I194" i="1"/>
  <c r="I86" i="1"/>
  <c r="I183" i="1"/>
  <c r="I197" i="1"/>
  <c r="I189" i="1"/>
  <c r="I372" i="1"/>
  <c r="I196" i="1"/>
  <c r="I192" i="1"/>
  <c r="I195" i="1"/>
  <c r="I374" i="1"/>
  <c r="I294" i="1"/>
  <c r="I107" i="1"/>
  <c r="I185" i="1"/>
  <c r="I371" i="1"/>
  <c r="I370" i="1"/>
  <c r="I193" i="1"/>
  <c r="I373" i="1"/>
  <c r="H147" i="18"/>
  <c r="I148" i="18"/>
  <c r="H148" i="18"/>
  <c r="D148" i="18" s="1"/>
  <c r="I147" i="18"/>
  <c r="H146" i="18"/>
  <c r="D146" i="18" s="1"/>
  <c r="I146" i="18"/>
  <c r="D147" i="18" s="1"/>
  <c r="D153" i="18" s="1"/>
  <c r="D156" i="18" s="1"/>
  <c r="D158" i="18" s="1"/>
  <c r="D159" i="18" s="1"/>
  <c r="I427" i="2"/>
  <c r="I429" i="2" s="1"/>
  <c r="I431" i="2" s="1"/>
  <c r="I432" i="2" s="1"/>
  <c r="AG426" i="2"/>
  <c r="F233" i="1"/>
  <c r="F264" i="1" s="1"/>
  <c r="F237" i="1"/>
  <c r="F285" i="1" s="1"/>
  <c r="F129" i="1" s="1"/>
  <c r="S449" i="2"/>
  <c r="AB109" i="1"/>
  <c r="AC109" i="1" s="1"/>
  <c r="D33" i="9"/>
  <c r="O44" i="15"/>
  <c r="R44" i="15" s="1"/>
  <c r="H43" i="18"/>
  <c r="D43" i="18" s="1"/>
  <c r="I45" i="18"/>
  <c r="I44" i="18"/>
  <c r="H45" i="18"/>
  <c r="D45" i="18" s="1"/>
  <c r="H44" i="18"/>
  <c r="I43" i="18"/>
  <c r="D44" i="18" s="1"/>
  <c r="D50" i="18" s="1"/>
  <c r="D53" i="18" s="1"/>
  <c r="D55" i="18" s="1"/>
  <c r="D56" i="18" s="1"/>
  <c r="O62" i="15"/>
  <c r="Q62" i="15"/>
  <c r="H10" i="15" s="1"/>
  <c r="H437" i="2" s="1"/>
  <c r="O94" i="15"/>
  <c r="R94" i="15" s="1"/>
  <c r="C203" i="15"/>
  <c r="I487" i="2"/>
  <c r="K425" i="2"/>
  <c r="K403" i="2" s="1"/>
  <c r="I105" i="1"/>
  <c r="I213" i="1"/>
  <c r="I220" i="1"/>
  <c r="I306" i="1"/>
  <c r="I108" i="1"/>
  <c r="I139" i="1"/>
  <c r="I390" i="1"/>
  <c r="I138" i="1"/>
  <c r="I78" i="1"/>
  <c r="I89" i="1"/>
  <c r="I211" i="1"/>
  <c r="I399" i="1"/>
  <c r="I202" i="1"/>
  <c r="I87" i="1"/>
  <c r="I227" i="1"/>
  <c r="I137" i="1"/>
  <c r="I406" i="1"/>
  <c r="I56" i="1"/>
  <c r="I136" i="1"/>
  <c r="I389" i="1"/>
  <c r="I380" i="1"/>
  <c r="I310" i="1"/>
  <c r="S74" i="15"/>
  <c r="J11" i="15" s="1"/>
  <c r="AB438" i="1"/>
  <c r="AC438" i="1" s="1"/>
  <c r="F33" i="9"/>
  <c r="G9" i="9" s="1"/>
  <c r="I409" i="2" s="1"/>
  <c r="I410" i="2" s="1"/>
  <c r="W369" i="1"/>
  <c r="W192" i="1"/>
  <c r="W194" i="1"/>
  <c r="W370" i="1"/>
  <c r="W189" i="1"/>
  <c r="W374" i="1"/>
  <c r="W183" i="1"/>
  <c r="W188" i="1"/>
  <c r="W185" i="1"/>
  <c r="W193" i="1"/>
  <c r="W184" i="1"/>
  <c r="W191" i="1"/>
  <c r="W294" i="1"/>
  <c r="W86" i="1"/>
  <c r="W107" i="1"/>
  <c r="W186" i="1"/>
  <c r="W196" i="1"/>
  <c r="W190" i="1"/>
  <c r="W187" i="1"/>
  <c r="W368" i="1"/>
  <c r="W373" i="1"/>
  <c r="W375" i="1"/>
  <c r="W56" i="1"/>
  <c r="W372" i="1"/>
  <c r="W371" i="1"/>
  <c r="W197" i="1"/>
  <c r="W195" i="1"/>
  <c r="F235" i="1"/>
  <c r="U449" i="2"/>
  <c r="T431" i="2"/>
  <c r="O192" i="1"/>
  <c r="O370" i="1"/>
  <c r="O372" i="1"/>
  <c r="O186" i="1"/>
  <c r="O107" i="1"/>
  <c r="O184" i="1"/>
  <c r="O369" i="1"/>
  <c r="O187" i="1"/>
  <c r="O193" i="1"/>
  <c r="O197" i="1"/>
  <c r="O194" i="1"/>
  <c r="O195" i="1"/>
  <c r="O191" i="1"/>
  <c r="O185" i="1"/>
  <c r="O371" i="1"/>
  <c r="O368" i="1"/>
  <c r="O188" i="1"/>
  <c r="O373" i="1"/>
  <c r="O375" i="1"/>
  <c r="O183" i="1"/>
  <c r="O196" i="1"/>
  <c r="O374" i="1"/>
  <c r="AB35" i="1"/>
  <c r="AC35" i="1" s="1"/>
  <c r="O86" i="1"/>
  <c r="O189" i="1"/>
  <c r="O190" i="1"/>
  <c r="O294" i="1"/>
  <c r="J427" i="2"/>
  <c r="J429" i="2" s="1"/>
  <c r="J431" i="2" s="1"/>
  <c r="J432" i="2" s="1"/>
  <c r="O72" i="15"/>
  <c r="Q72" i="15"/>
  <c r="H11" i="15" s="1"/>
  <c r="I437" i="2" s="1"/>
  <c r="AB246" i="1"/>
  <c r="AC246" i="1" s="1"/>
  <c r="AB295" i="1"/>
  <c r="AC295" i="1" s="1"/>
  <c r="D32" i="8"/>
  <c r="U477" i="2"/>
  <c r="AH345" i="2" l="1"/>
  <c r="AH347" i="2"/>
  <c r="AH346" i="2"/>
  <c r="AH348" i="2"/>
  <c r="F425" i="2"/>
  <c r="F403" i="2" s="1"/>
  <c r="F359" i="2" s="1"/>
  <c r="Z414" i="2"/>
  <c r="S419" i="2"/>
  <c r="T414" i="2"/>
  <c r="E411" i="2"/>
  <c r="M418" i="2"/>
  <c r="L425" i="2"/>
  <c r="L403" i="2" s="1"/>
  <c r="L359" i="2" s="1"/>
  <c r="L496" i="2"/>
  <c r="L442" i="2"/>
  <c r="L449" i="2" s="1"/>
  <c r="L470" i="2" s="1"/>
  <c r="L489" i="2"/>
  <c r="K418" i="2"/>
  <c r="I425" i="2"/>
  <c r="I403" i="2" s="1"/>
  <c r="G425" i="2"/>
  <c r="G403" i="2" s="1"/>
  <c r="G496" i="2"/>
  <c r="G418" i="2"/>
  <c r="O414" i="2"/>
  <c r="F414" i="2"/>
  <c r="P414" i="2"/>
  <c r="G414" i="2"/>
  <c r="W414" i="2"/>
  <c r="X414" i="2"/>
  <c r="Y414" i="2"/>
  <c r="V414" i="2"/>
  <c r="AD414" i="2"/>
  <c r="AC414" i="2"/>
  <c r="AF414" i="2"/>
  <c r="S414" i="2"/>
  <c r="AA414" i="2"/>
  <c r="AB414" i="2"/>
  <c r="U414" i="2"/>
  <c r="AE414" i="2"/>
  <c r="N414" i="2"/>
  <c r="H486" i="2"/>
  <c r="H487" i="2" s="1"/>
  <c r="G442" i="2"/>
  <c r="G449" i="2" s="1"/>
  <c r="G489" i="2"/>
  <c r="AG411" i="2"/>
  <c r="AE316" i="2"/>
  <c r="AE338" i="2" s="1"/>
  <c r="R486" i="2"/>
  <c r="R487" i="2" s="1"/>
  <c r="R463" i="2"/>
  <c r="T463" i="2"/>
  <c r="T486" i="2"/>
  <c r="T487" i="2" s="1"/>
  <c r="P486" i="2"/>
  <c r="P487" i="2" s="1"/>
  <c r="P463" i="2"/>
  <c r="U486" i="2"/>
  <c r="U487" i="2" s="1"/>
  <c r="U463" i="2"/>
  <c r="Q463" i="2"/>
  <c r="Q486" i="2"/>
  <c r="Q487" i="2" s="1"/>
  <c r="S486" i="2"/>
  <c r="S487" i="2" s="1"/>
  <c r="S463" i="2"/>
  <c r="AG313" i="2"/>
  <c r="AH313" i="2" s="1"/>
  <c r="O359" i="2"/>
  <c r="N442" i="2"/>
  <c r="N449" i="2" s="1"/>
  <c r="N470" i="2" s="1"/>
  <c r="T124" i="15"/>
  <c r="K16" i="15" s="1"/>
  <c r="N434" i="2" s="1"/>
  <c r="T114" i="15"/>
  <c r="K15" i="15" s="1"/>
  <c r="M434" i="2" s="1"/>
  <c r="G25" i="15"/>
  <c r="T104" i="15"/>
  <c r="K14" i="15" s="1"/>
  <c r="L434" i="2" s="1"/>
  <c r="K419" i="2"/>
  <c r="F25" i="15"/>
  <c r="E438" i="2" s="1"/>
  <c r="F418" i="2"/>
  <c r="E167" i="18"/>
  <c r="P469" i="1" s="1"/>
  <c r="P46" i="1" s="1"/>
  <c r="M486" i="2"/>
  <c r="M487" i="2" s="1"/>
  <c r="M463" i="2"/>
  <c r="O15" i="15"/>
  <c r="E40" i="4" s="1"/>
  <c r="O16" i="15"/>
  <c r="E41" i="4" s="1"/>
  <c r="O17" i="15"/>
  <c r="E42" i="4" s="1"/>
  <c r="AH426" i="2"/>
  <c r="O486" i="2"/>
  <c r="O487" i="2" s="1"/>
  <c r="O463" i="2"/>
  <c r="AG438" i="2"/>
  <c r="N486" i="2"/>
  <c r="N487" i="2" s="1"/>
  <c r="N463" i="2"/>
  <c r="M442" i="2"/>
  <c r="M449" i="2" s="1"/>
  <c r="M470" i="2" s="1"/>
  <c r="F463" i="2"/>
  <c r="F486" i="2"/>
  <c r="F487" i="2" s="1"/>
  <c r="AA9" i="1"/>
  <c r="S215" i="1"/>
  <c r="S231" i="1" s="1"/>
  <c r="O45" i="1"/>
  <c r="O46" i="1"/>
  <c r="M414" i="2"/>
  <c r="K359" i="2"/>
  <c r="P359" i="2"/>
  <c r="J359" i="2"/>
  <c r="H359" i="2"/>
  <c r="T54" i="15"/>
  <c r="K9" i="15" s="1"/>
  <c r="G434" i="2" s="1"/>
  <c r="O442" i="2"/>
  <c r="O449" i="2" s="1"/>
  <c r="O470" i="2" s="1"/>
  <c r="R414" i="2"/>
  <c r="R418" i="2"/>
  <c r="M425" i="2"/>
  <c r="M403" i="2" s="1"/>
  <c r="U425" i="2"/>
  <c r="U403" i="2" s="1"/>
  <c r="AG423" i="2"/>
  <c r="AG437" i="2"/>
  <c r="T496" i="2"/>
  <c r="T425" i="2"/>
  <c r="T403" i="2" s="1"/>
  <c r="S496" i="2"/>
  <c r="S425" i="2"/>
  <c r="S403" i="2" s="1"/>
  <c r="E428" i="2"/>
  <c r="K415" i="2" s="1"/>
  <c r="K414" i="2"/>
  <c r="H428" i="2"/>
  <c r="H25" i="15"/>
  <c r="E437" i="2" s="1"/>
  <c r="AF407" i="2" s="1"/>
  <c r="X316" i="2"/>
  <c r="X338" i="2" s="1"/>
  <c r="P442" i="2"/>
  <c r="P449" i="2" s="1"/>
  <c r="G11" i="9"/>
  <c r="K409" i="2" s="1"/>
  <c r="K410" i="2" s="1"/>
  <c r="G12" i="9"/>
  <c r="L409" i="2" s="1"/>
  <c r="L410" i="2" s="1"/>
  <c r="G14" i="9"/>
  <c r="N409" i="2" s="1"/>
  <c r="N410" i="2" s="1"/>
  <c r="G16" i="9"/>
  <c r="P409" i="2" s="1"/>
  <c r="P410" i="2" s="1"/>
  <c r="P314" i="2" s="1"/>
  <c r="P316" i="2" s="1"/>
  <c r="P338" i="2" s="1"/>
  <c r="G13" i="9"/>
  <c r="M409" i="2" s="1"/>
  <c r="M410" i="2" s="1"/>
  <c r="G15" i="9"/>
  <c r="O409" i="2" s="1"/>
  <c r="O410" i="2" s="1"/>
  <c r="Y316" i="2"/>
  <c r="Y338" i="2" s="1"/>
  <c r="T316" i="2"/>
  <c r="T338" i="2" s="1"/>
  <c r="S316" i="2"/>
  <c r="S338" i="2" s="1"/>
  <c r="W316" i="2"/>
  <c r="W338" i="2" s="1"/>
  <c r="AD316" i="2"/>
  <c r="AD338" i="2" s="1"/>
  <c r="AF316" i="2"/>
  <c r="AF338" i="2" s="1"/>
  <c r="AC316" i="2"/>
  <c r="AC338" i="2" s="1"/>
  <c r="AB316" i="2"/>
  <c r="AB338" i="2" s="1"/>
  <c r="V316" i="2"/>
  <c r="V338" i="2" s="1"/>
  <c r="Z316" i="2"/>
  <c r="Z338" i="2" s="1"/>
  <c r="U316" i="2"/>
  <c r="U338" i="2" s="1"/>
  <c r="R316" i="2"/>
  <c r="R338" i="2" s="1"/>
  <c r="Q316" i="2"/>
  <c r="Q338" i="2" s="1"/>
  <c r="AA316" i="2"/>
  <c r="AA338" i="2" s="1"/>
  <c r="L428" i="2"/>
  <c r="Q496" i="2"/>
  <c r="Q425" i="2"/>
  <c r="Q403" i="2" s="1"/>
  <c r="R496" i="2"/>
  <c r="R425" i="2"/>
  <c r="R403" i="2" s="1"/>
  <c r="N425" i="2"/>
  <c r="E423" i="2"/>
  <c r="O10" i="15"/>
  <c r="E35" i="4" s="1"/>
  <c r="O8" i="15"/>
  <c r="E33" i="4" s="1"/>
  <c r="O11" i="15"/>
  <c r="E36" i="4" s="1"/>
  <c r="O18" i="15"/>
  <c r="E43" i="4" s="1"/>
  <c r="O25" i="15"/>
  <c r="E49" i="4" s="1"/>
  <c r="O9" i="15"/>
  <c r="E34" i="4" s="1"/>
  <c r="N25" i="15"/>
  <c r="O22" i="15"/>
  <c r="E47" i="4" s="1"/>
  <c r="O21" i="15"/>
  <c r="E46" i="4" s="1"/>
  <c r="O14" i="15"/>
  <c r="E39" i="4" s="1"/>
  <c r="O23" i="15"/>
  <c r="E48" i="4" s="1"/>
  <c r="O13" i="15"/>
  <c r="E38" i="4" s="1"/>
  <c r="O12" i="15"/>
  <c r="E37" i="4" s="1"/>
  <c r="O20" i="15"/>
  <c r="E45" i="4" s="1"/>
  <c r="O19" i="15"/>
  <c r="E44" i="4" s="1"/>
  <c r="AC419" i="2"/>
  <c r="P419" i="2"/>
  <c r="AA419" i="2"/>
  <c r="R419" i="2"/>
  <c r="G419" i="2"/>
  <c r="W419" i="2"/>
  <c r="Q419" i="2"/>
  <c r="O419" i="2"/>
  <c r="AD419" i="2"/>
  <c r="F419" i="2"/>
  <c r="G10" i="9"/>
  <c r="J409" i="2" s="1"/>
  <c r="J410" i="2" s="1"/>
  <c r="Q414" i="2"/>
  <c r="Q418" i="2"/>
  <c r="O34" i="16"/>
  <c r="O35" i="16"/>
  <c r="I480" i="1" s="1"/>
  <c r="I362" i="1" s="1"/>
  <c r="J34" i="16"/>
  <c r="U229" i="1"/>
  <c r="Y73" i="1"/>
  <c r="R229" i="1"/>
  <c r="M408" i="1"/>
  <c r="Y67" i="1"/>
  <c r="R408" i="1"/>
  <c r="Y408" i="1"/>
  <c r="S68" i="1"/>
  <c r="S69" i="1"/>
  <c r="K410" i="1"/>
  <c r="H229" i="1"/>
  <c r="S72" i="1"/>
  <c r="Y70" i="1"/>
  <c r="S377" i="1"/>
  <c r="S73" i="1"/>
  <c r="Y8" i="1"/>
  <c r="S408" i="1"/>
  <c r="AB106" i="1"/>
  <c r="AC106" i="1" s="1"/>
  <c r="AG443" i="2"/>
  <c r="AH443" i="2" s="1"/>
  <c r="H309" i="1"/>
  <c r="H377" i="1"/>
  <c r="H199" i="1"/>
  <c r="AA392" i="1"/>
  <c r="AA410" i="1" s="1"/>
  <c r="H8" i="1"/>
  <c r="R70" i="1"/>
  <c r="H77" i="1"/>
  <c r="H64" i="1"/>
  <c r="H73" i="1"/>
  <c r="H71" i="1"/>
  <c r="S199" i="1"/>
  <c r="S67" i="1"/>
  <c r="S77" i="1"/>
  <c r="W215" i="1"/>
  <c r="S58" i="1"/>
  <c r="S8" i="1"/>
  <c r="S71" i="1"/>
  <c r="S309" i="1"/>
  <c r="S10" i="1"/>
  <c r="S65" i="1"/>
  <c r="S66" i="1"/>
  <c r="Y58" i="1"/>
  <c r="Y65" i="1"/>
  <c r="M69" i="1"/>
  <c r="Y229" i="1"/>
  <c r="W229" i="1"/>
  <c r="S64" i="1"/>
  <c r="S70" i="1"/>
  <c r="S63" i="1"/>
  <c r="Y10" i="1"/>
  <c r="Y63" i="1"/>
  <c r="H66" i="1"/>
  <c r="H72" i="1"/>
  <c r="W408" i="1"/>
  <c r="U408" i="1"/>
  <c r="Y72" i="1"/>
  <c r="Y9" i="1"/>
  <c r="Y66" i="1"/>
  <c r="Y309" i="1"/>
  <c r="H67" i="1"/>
  <c r="H69" i="1"/>
  <c r="H68" i="1"/>
  <c r="H63" i="1"/>
  <c r="H70" i="1"/>
  <c r="K231" i="1"/>
  <c r="W392" i="1"/>
  <c r="Y68" i="1"/>
  <c r="Y64" i="1"/>
  <c r="Y69" i="1"/>
  <c r="Y77" i="1"/>
  <c r="H9" i="1"/>
  <c r="H65" i="1"/>
  <c r="H10" i="1"/>
  <c r="Y215" i="1"/>
  <c r="K58" i="1"/>
  <c r="AB293" i="1"/>
  <c r="AC293" i="1" s="1"/>
  <c r="U141" i="1"/>
  <c r="W141" i="1"/>
  <c r="P199" i="1"/>
  <c r="R10" i="1"/>
  <c r="M68" i="1"/>
  <c r="R392" i="1"/>
  <c r="R141" i="1"/>
  <c r="P377" i="1"/>
  <c r="M199" i="1"/>
  <c r="M377" i="1"/>
  <c r="R77" i="1"/>
  <c r="R9" i="1"/>
  <c r="M10" i="1"/>
  <c r="M66" i="1"/>
  <c r="R215" i="1"/>
  <c r="U392" i="1"/>
  <c r="AB195" i="1"/>
  <c r="AC195" i="1" s="1"/>
  <c r="AB187" i="1"/>
  <c r="AC187" i="1" s="1"/>
  <c r="AB186" i="1"/>
  <c r="AC186" i="1" s="1"/>
  <c r="R67" i="1"/>
  <c r="M77" i="1"/>
  <c r="R69" i="1"/>
  <c r="R66" i="1"/>
  <c r="M67" i="1"/>
  <c r="M72" i="1"/>
  <c r="K199" i="1"/>
  <c r="AA141" i="1"/>
  <c r="AA377" i="1"/>
  <c r="R8" i="1"/>
  <c r="R58" i="1"/>
  <c r="R72" i="1"/>
  <c r="R73" i="1"/>
  <c r="E471" i="2"/>
  <c r="E473" i="2" s="1"/>
  <c r="M65" i="1"/>
  <c r="M309" i="1"/>
  <c r="M9" i="1"/>
  <c r="S392" i="1"/>
  <c r="R377" i="1"/>
  <c r="U215" i="1"/>
  <c r="AA199" i="1"/>
  <c r="R199" i="1"/>
  <c r="R68" i="1"/>
  <c r="R63" i="1"/>
  <c r="AB80" i="1"/>
  <c r="AC80" i="1" s="1"/>
  <c r="M73" i="1"/>
  <c r="M64" i="1"/>
  <c r="K9" i="1"/>
  <c r="AA215" i="1"/>
  <c r="AB149" i="1"/>
  <c r="AC149" i="1" s="1"/>
  <c r="R309" i="1"/>
  <c r="R64" i="1"/>
  <c r="R65" i="1"/>
  <c r="M8" i="1"/>
  <c r="M63" i="1"/>
  <c r="M58" i="1"/>
  <c r="M70" i="1"/>
  <c r="H215" i="1"/>
  <c r="AA63" i="1"/>
  <c r="AA73" i="1"/>
  <c r="AA68" i="1"/>
  <c r="AA67" i="1"/>
  <c r="AA66" i="1"/>
  <c r="AA65" i="1"/>
  <c r="K66" i="1"/>
  <c r="AA64" i="1"/>
  <c r="AB369" i="1"/>
  <c r="AC369" i="1" s="1"/>
  <c r="E445" i="2"/>
  <c r="U445" i="2" s="1"/>
  <c r="U446" i="2" s="1"/>
  <c r="I199" i="1"/>
  <c r="AB189" i="1"/>
  <c r="AC189" i="1" s="1"/>
  <c r="AA77" i="1"/>
  <c r="K63" i="1"/>
  <c r="K71" i="1"/>
  <c r="AA58" i="1"/>
  <c r="AA229" i="1"/>
  <c r="AA8" i="1"/>
  <c r="AA69" i="1"/>
  <c r="AA72" i="1"/>
  <c r="K10" i="1"/>
  <c r="AA309" i="1"/>
  <c r="K377" i="1"/>
  <c r="AA10" i="1"/>
  <c r="K72" i="1"/>
  <c r="K77" i="1"/>
  <c r="H392" i="1"/>
  <c r="H410" i="1" s="1"/>
  <c r="H141" i="1"/>
  <c r="Y392" i="1"/>
  <c r="Y141" i="1"/>
  <c r="AA70" i="1"/>
  <c r="AB335" i="1"/>
  <c r="AC335" i="1" s="1"/>
  <c r="AB85" i="1"/>
  <c r="AC85" i="1" s="1"/>
  <c r="M229" i="1"/>
  <c r="Y199" i="1"/>
  <c r="Y377" i="1"/>
  <c r="K67" i="1"/>
  <c r="K68" i="1"/>
  <c r="K69" i="1"/>
  <c r="K70" i="1"/>
  <c r="K65" i="1"/>
  <c r="I377" i="1"/>
  <c r="S141" i="1"/>
  <c r="M392" i="1"/>
  <c r="K64" i="1"/>
  <c r="K309" i="1"/>
  <c r="K8" i="1"/>
  <c r="AB374" i="1"/>
  <c r="AC374" i="1" s="1"/>
  <c r="AB373" i="1"/>
  <c r="AC373" i="1" s="1"/>
  <c r="AB185" i="1"/>
  <c r="AC185" i="1" s="1"/>
  <c r="AB197" i="1"/>
  <c r="AC197" i="1" s="1"/>
  <c r="AB184" i="1"/>
  <c r="AC184" i="1" s="1"/>
  <c r="AB370" i="1"/>
  <c r="AC370" i="1" s="1"/>
  <c r="M141" i="1"/>
  <c r="M215" i="1"/>
  <c r="U199" i="1"/>
  <c r="U377" i="1"/>
  <c r="AB190" i="1"/>
  <c r="AC190" i="1" s="1"/>
  <c r="AB375" i="1"/>
  <c r="AC375" i="1" s="1"/>
  <c r="AB371" i="1"/>
  <c r="AC371" i="1" s="1"/>
  <c r="AB194" i="1"/>
  <c r="AC194" i="1" s="1"/>
  <c r="AB372" i="1"/>
  <c r="AC372" i="1" s="1"/>
  <c r="AB86" i="1"/>
  <c r="AC86" i="1" s="1"/>
  <c r="AB196" i="1"/>
  <c r="AC196" i="1" s="1"/>
  <c r="AB188" i="1"/>
  <c r="AC188" i="1" s="1"/>
  <c r="AB191" i="1"/>
  <c r="AC191" i="1" s="1"/>
  <c r="AB193" i="1"/>
  <c r="AC193" i="1" s="1"/>
  <c r="AB107" i="1"/>
  <c r="AC107" i="1" s="1"/>
  <c r="AB192" i="1"/>
  <c r="AC192" i="1" s="1"/>
  <c r="U68" i="1"/>
  <c r="U70" i="1"/>
  <c r="U69" i="1"/>
  <c r="U10" i="1"/>
  <c r="U67" i="1"/>
  <c r="U9" i="1"/>
  <c r="U58" i="1"/>
  <c r="U65" i="1"/>
  <c r="U8" i="1"/>
  <c r="U309" i="1"/>
  <c r="U66" i="1"/>
  <c r="U63" i="1"/>
  <c r="U71" i="1"/>
  <c r="U64" i="1"/>
  <c r="U72" i="1"/>
  <c r="U77" i="1"/>
  <c r="U73" i="1"/>
  <c r="F32" i="8"/>
  <c r="E203" i="15"/>
  <c r="E205" i="15" s="1"/>
  <c r="E35" i="15" s="1"/>
  <c r="O74" i="15"/>
  <c r="R74" i="15" s="1"/>
  <c r="I314" i="2"/>
  <c r="I408" i="1"/>
  <c r="T94" i="15"/>
  <c r="K13" i="15" s="1"/>
  <c r="K434" i="2" s="1"/>
  <c r="I13" i="15"/>
  <c r="K436" i="2" s="1"/>
  <c r="F203" i="15"/>
  <c r="F205" i="15" s="1"/>
  <c r="F35" i="15" s="1"/>
  <c r="G203" i="15"/>
  <c r="G205" i="15" s="1"/>
  <c r="G35" i="15" s="1"/>
  <c r="Q470" i="2"/>
  <c r="G8" i="9"/>
  <c r="H409" i="2" s="1"/>
  <c r="H410" i="2" s="1"/>
  <c r="G7" i="9"/>
  <c r="G409" i="2" s="1"/>
  <c r="G410" i="2" s="1"/>
  <c r="G6" i="9"/>
  <c r="E33" i="9"/>
  <c r="I435" i="2"/>
  <c r="I141" i="1"/>
  <c r="D57" i="18"/>
  <c r="D166" i="18" s="1"/>
  <c r="O468" i="1" s="1"/>
  <c r="O467" i="1" s="1"/>
  <c r="E166" i="18"/>
  <c r="P468" i="1" s="1"/>
  <c r="J428" i="2"/>
  <c r="E452" i="2"/>
  <c r="AG450" i="2"/>
  <c r="AH450" i="2" s="1"/>
  <c r="W377" i="1"/>
  <c r="I73" i="1"/>
  <c r="I9" i="1"/>
  <c r="I65" i="1"/>
  <c r="I72" i="1"/>
  <c r="I58" i="1"/>
  <c r="I309" i="1"/>
  <c r="I66" i="1"/>
  <c r="I68" i="1"/>
  <c r="I63" i="1"/>
  <c r="I71" i="1"/>
  <c r="I67" i="1"/>
  <c r="I69" i="1"/>
  <c r="I8" i="1"/>
  <c r="I77" i="1"/>
  <c r="I64" i="1"/>
  <c r="I70" i="1"/>
  <c r="I10" i="1"/>
  <c r="I229" i="1"/>
  <c r="W356" i="1"/>
  <c r="AB345" i="1"/>
  <c r="AC345" i="1" s="1"/>
  <c r="F328" i="1"/>
  <c r="F287" i="1"/>
  <c r="F144" i="1"/>
  <c r="D160" i="18"/>
  <c r="D168" i="18" s="1"/>
  <c r="O470" i="1" s="1"/>
  <c r="E168" i="18"/>
  <c r="P470" i="1" s="1"/>
  <c r="P47" i="1" s="1"/>
  <c r="AB294" i="1"/>
  <c r="AC294" i="1" s="1"/>
  <c r="O199" i="1"/>
  <c r="AB183" i="1"/>
  <c r="AC183" i="1" s="1"/>
  <c r="O377" i="1"/>
  <c r="AB368" i="1"/>
  <c r="AC368" i="1" s="1"/>
  <c r="W170" i="1"/>
  <c r="AB159" i="1"/>
  <c r="AC159" i="1" s="1"/>
  <c r="W67" i="1"/>
  <c r="W70" i="1"/>
  <c r="W73" i="1"/>
  <c r="W77" i="1"/>
  <c r="W10" i="1"/>
  <c r="W63" i="1"/>
  <c r="W58" i="1"/>
  <c r="W65" i="1"/>
  <c r="W309" i="1"/>
  <c r="W68" i="1"/>
  <c r="W9" i="1"/>
  <c r="W69" i="1"/>
  <c r="W64" i="1"/>
  <c r="W66" i="1"/>
  <c r="W71" i="1"/>
  <c r="W72" i="1"/>
  <c r="W8" i="1"/>
  <c r="W199" i="1"/>
  <c r="I392" i="1"/>
  <c r="I215" i="1"/>
  <c r="C205" i="15"/>
  <c r="O64" i="15"/>
  <c r="R64" i="15" s="1"/>
  <c r="D203" i="15"/>
  <c r="D205" i="15" s="1"/>
  <c r="D35" i="15" s="1"/>
  <c r="I8" i="15"/>
  <c r="T44" i="15"/>
  <c r="K8" i="15" s="1"/>
  <c r="S470" i="2"/>
  <c r="I428" i="2"/>
  <c r="AG427" i="2"/>
  <c r="AH427" i="2" s="1"/>
  <c r="P470" i="2" l="1"/>
  <c r="P477" i="2" s="1"/>
  <c r="G470" i="2"/>
  <c r="G477" i="2" s="1"/>
  <c r="P44" i="1"/>
  <c r="P298" i="1" s="1"/>
  <c r="P467" i="1"/>
  <c r="P43" i="1" s="1"/>
  <c r="P297" i="1" s="1"/>
  <c r="Y419" i="2"/>
  <c r="T419" i="2"/>
  <c r="N419" i="2"/>
  <c r="AF419" i="2"/>
  <c r="AE419" i="2"/>
  <c r="AB419" i="2"/>
  <c r="M419" i="2"/>
  <c r="X418" i="2"/>
  <c r="W418" i="2"/>
  <c r="AD418" i="2"/>
  <c r="V418" i="2"/>
  <c r="Y418" i="2"/>
  <c r="U418" i="2"/>
  <c r="S418" i="2"/>
  <c r="AB418" i="2"/>
  <c r="AF418" i="2"/>
  <c r="AC418" i="2"/>
  <c r="AA418" i="2"/>
  <c r="N418" i="2"/>
  <c r="AE418" i="2"/>
  <c r="O418" i="2"/>
  <c r="P418" i="2"/>
  <c r="T418" i="2"/>
  <c r="Z418" i="2"/>
  <c r="V419" i="2"/>
  <c r="Z419" i="2"/>
  <c r="X419" i="2"/>
  <c r="U419" i="2"/>
  <c r="G359" i="2"/>
  <c r="I359" i="2"/>
  <c r="L419" i="2"/>
  <c r="J419" i="2"/>
  <c r="AB469" i="1"/>
  <c r="AC469" i="1" s="1"/>
  <c r="AH411" i="2"/>
  <c r="AH438" i="2"/>
  <c r="C35" i="15"/>
  <c r="M452" i="2"/>
  <c r="M453" i="2" s="1"/>
  <c r="L418" i="2"/>
  <c r="H419" i="2"/>
  <c r="H415" i="2"/>
  <c r="X415" i="2"/>
  <c r="AA415" i="2"/>
  <c r="AD415" i="2"/>
  <c r="Y415" i="2"/>
  <c r="AC415" i="2"/>
  <c r="W415" i="2"/>
  <c r="Z415" i="2"/>
  <c r="AB415" i="2"/>
  <c r="AE415" i="2"/>
  <c r="AF415" i="2"/>
  <c r="V415" i="2"/>
  <c r="Q415" i="2"/>
  <c r="R415" i="2"/>
  <c r="S415" i="2"/>
  <c r="G415" i="2"/>
  <c r="U415" i="2"/>
  <c r="O415" i="2"/>
  <c r="N415" i="2"/>
  <c r="F415" i="2"/>
  <c r="T415" i="2"/>
  <c r="J415" i="2"/>
  <c r="I415" i="2"/>
  <c r="L415" i="2"/>
  <c r="M415" i="2"/>
  <c r="P415" i="2"/>
  <c r="P45" i="1"/>
  <c r="P113" i="1" s="1"/>
  <c r="O43" i="1"/>
  <c r="AB467" i="1"/>
  <c r="AC467" i="1" s="1"/>
  <c r="N314" i="2"/>
  <c r="N316" i="2" s="1"/>
  <c r="N338" i="2" s="1"/>
  <c r="O314" i="2"/>
  <c r="O316" i="2" s="1"/>
  <c r="O338" i="2" s="1"/>
  <c r="L314" i="2"/>
  <c r="L316" i="2" s="1"/>
  <c r="L338" i="2" s="1"/>
  <c r="M314" i="2"/>
  <c r="M316" i="2" s="1"/>
  <c r="M338" i="2" s="1"/>
  <c r="L486" i="2"/>
  <c r="L487" i="2" s="1"/>
  <c r="L463" i="2"/>
  <c r="O44" i="1"/>
  <c r="AB468" i="1"/>
  <c r="AC468" i="1" s="1"/>
  <c r="P384" i="1"/>
  <c r="P114" i="1"/>
  <c r="P402" i="1"/>
  <c r="P206" i="1"/>
  <c r="P300" i="1"/>
  <c r="P223" i="1"/>
  <c r="O206" i="1"/>
  <c r="O384" i="1"/>
  <c r="AB46" i="1"/>
  <c r="AC46" i="1" s="1"/>
  <c r="O114" i="1"/>
  <c r="O223" i="1"/>
  <c r="O300" i="1"/>
  <c r="O402" i="1"/>
  <c r="O113" i="1"/>
  <c r="O299" i="1"/>
  <c r="P403" i="1"/>
  <c r="P301" i="1"/>
  <c r="P224" i="1"/>
  <c r="P115" i="1"/>
  <c r="O47" i="1"/>
  <c r="AB470" i="1"/>
  <c r="AC470" i="1" s="1"/>
  <c r="T359" i="2"/>
  <c r="U359" i="2"/>
  <c r="R359" i="2"/>
  <c r="S359" i="2"/>
  <c r="M359" i="2"/>
  <c r="Q359" i="2"/>
  <c r="X408" i="2"/>
  <c r="G408" i="2"/>
  <c r="P408" i="2"/>
  <c r="AH437" i="2"/>
  <c r="W407" i="2"/>
  <c r="H407" i="2"/>
  <c r="M408" i="2"/>
  <c r="AE407" i="2"/>
  <c r="Z408" i="2"/>
  <c r="I408" i="2"/>
  <c r="X407" i="2"/>
  <c r="V407" i="2"/>
  <c r="V408" i="2"/>
  <c r="R407" i="2"/>
  <c r="S407" i="2"/>
  <c r="N407" i="2"/>
  <c r="AA408" i="2"/>
  <c r="L407" i="2"/>
  <c r="AB408" i="2"/>
  <c r="J408" i="2"/>
  <c r="T408" i="2"/>
  <c r="AA407" i="2"/>
  <c r="F408" i="2"/>
  <c r="I407" i="2"/>
  <c r="Z407" i="2"/>
  <c r="G407" i="2"/>
  <c r="R408" i="2"/>
  <c r="AE408" i="2"/>
  <c r="O407" i="2"/>
  <c r="S408" i="2"/>
  <c r="K407" i="2"/>
  <c r="M407" i="2"/>
  <c r="U407" i="2"/>
  <c r="U408" i="2"/>
  <c r="AD407" i="2"/>
  <c r="AC407" i="2"/>
  <c r="Q408" i="2"/>
  <c r="L408" i="2"/>
  <c r="AF408" i="2"/>
  <c r="T407" i="2"/>
  <c r="AB407" i="2"/>
  <c r="K408" i="2"/>
  <c r="Y407" i="2"/>
  <c r="J407" i="2"/>
  <c r="AC408" i="2"/>
  <c r="Q407" i="2"/>
  <c r="W408" i="2"/>
  <c r="P407" i="2"/>
  <c r="AD408" i="2"/>
  <c r="H408" i="2"/>
  <c r="F407" i="2"/>
  <c r="O408" i="2"/>
  <c r="Y408" i="2"/>
  <c r="N408" i="2"/>
  <c r="H414" i="2"/>
  <c r="H418" i="2"/>
  <c r="AG496" i="2"/>
  <c r="AH496" i="2" s="1"/>
  <c r="K314" i="2"/>
  <c r="K412" i="1"/>
  <c r="K414" i="1" s="1"/>
  <c r="J314" i="2"/>
  <c r="G9" i="8"/>
  <c r="I416" i="2" s="1"/>
  <c r="G14" i="8"/>
  <c r="N416" i="2" s="1"/>
  <c r="G15" i="8"/>
  <c r="O416" i="2" s="1"/>
  <c r="G16" i="8"/>
  <c r="P416" i="2" s="1"/>
  <c r="G12" i="8"/>
  <c r="L416" i="2" s="1"/>
  <c r="G13" i="8"/>
  <c r="M416" i="2" s="1"/>
  <c r="N403" i="2"/>
  <c r="AG425" i="2"/>
  <c r="AH425" i="2" s="1"/>
  <c r="AH423" i="2"/>
  <c r="L414" i="2"/>
  <c r="H480" i="1"/>
  <c r="H177" i="1" s="1"/>
  <c r="I363" i="1"/>
  <c r="I365" i="1" s="1"/>
  <c r="I178" i="1"/>
  <c r="I177" i="1"/>
  <c r="I175" i="1"/>
  <c r="I176" i="1"/>
  <c r="U231" i="1"/>
  <c r="U235" i="1" s="1"/>
  <c r="R231" i="1"/>
  <c r="R237" i="1" s="1"/>
  <c r="R410" i="1"/>
  <c r="R412" i="1" s="1"/>
  <c r="R440" i="1" s="1"/>
  <c r="M410" i="1"/>
  <c r="M412" i="1" s="1"/>
  <c r="M414" i="1" s="1"/>
  <c r="Y410" i="1"/>
  <c r="Y412" i="1" s="1"/>
  <c r="Y440" i="1" s="1"/>
  <c r="Y450" i="1" s="1"/>
  <c r="S12" i="1"/>
  <c r="U410" i="1"/>
  <c r="U412" i="1" s="1"/>
  <c r="U414" i="1" s="1"/>
  <c r="Y231" i="1"/>
  <c r="Y233" i="1" s="1"/>
  <c r="Y264" i="1" s="1"/>
  <c r="Y452" i="1" s="1"/>
  <c r="H231" i="1"/>
  <c r="H233" i="1" s="1"/>
  <c r="H264" i="1" s="1"/>
  <c r="H277" i="1" s="1"/>
  <c r="S410" i="1"/>
  <c r="S412" i="1" s="1"/>
  <c r="S414" i="1" s="1"/>
  <c r="H412" i="1"/>
  <c r="H440" i="1" s="1"/>
  <c r="H447" i="1" s="1"/>
  <c r="H12" i="1"/>
  <c r="Y12" i="1"/>
  <c r="Y75" i="1"/>
  <c r="Y121" i="1" s="1"/>
  <c r="S75" i="1"/>
  <c r="S122" i="1" s="1"/>
  <c r="W231" i="1"/>
  <c r="W235" i="1" s="1"/>
  <c r="S233" i="1"/>
  <c r="S264" i="1" s="1"/>
  <c r="S454" i="1" s="1"/>
  <c r="H75" i="1"/>
  <c r="H308" i="1" s="1"/>
  <c r="R12" i="1"/>
  <c r="K237" i="1"/>
  <c r="W410" i="1"/>
  <c r="W412" i="1" s="1"/>
  <c r="W414" i="1" s="1"/>
  <c r="V445" i="2"/>
  <c r="K233" i="1"/>
  <c r="K264" i="1" s="1"/>
  <c r="K275" i="1" s="1"/>
  <c r="R445" i="2"/>
  <c r="R446" i="2" s="1"/>
  <c r="K235" i="1"/>
  <c r="K12" i="1"/>
  <c r="AG471" i="2"/>
  <c r="AH471" i="2" s="1"/>
  <c r="O452" i="2"/>
  <c r="O453" i="2" s="1"/>
  <c r="M12" i="1"/>
  <c r="AB445" i="2"/>
  <c r="E478" i="2"/>
  <c r="AG478" i="2" s="1"/>
  <c r="AH478" i="2" s="1"/>
  <c r="R75" i="1"/>
  <c r="R279" i="1" s="1"/>
  <c r="M75" i="1"/>
  <c r="M120" i="1" s="1"/>
  <c r="S452" i="2"/>
  <c r="S453" i="2" s="1"/>
  <c r="N445" i="2"/>
  <c r="N446" i="2" s="1"/>
  <c r="AA445" i="2"/>
  <c r="L445" i="2"/>
  <c r="L446" i="2" s="1"/>
  <c r="Y445" i="2"/>
  <c r="M445" i="2"/>
  <c r="M446" i="2" s="1"/>
  <c r="AE445" i="2"/>
  <c r="T445" i="2"/>
  <c r="T446" i="2" s="1"/>
  <c r="X445" i="2"/>
  <c r="W445" i="2"/>
  <c r="Q445" i="2"/>
  <c r="Q446" i="2" s="1"/>
  <c r="AA412" i="1"/>
  <c r="AA12" i="1"/>
  <c r="G445" i="2"/>
  <c r="G446" i="2" s="1"/>
  <c r="AC445" i="2"/>
  <c r="E446" i="2"/>
  <c r="AD52" i="2" s="1"/>
  <c r="S235" i="1"/>
  <c r="S445" i="2"/>
  <c r="S446" i="2" s="1"/>
  <c r="O445" i="2"/>
  <c r="O446" i="2" s="1"/>
  <c r="AD445" i="2"/>
  <c r="P445" i="2"/>
  <c r="P446" i="2" s="1"/>
  <c r="AF445" i="2"/>
  <c r="Z445" i="2"/>
  <c r="AA231" i="1"/>
  <c r="AA235" i="1" s="1"/>
  <c r="S237" i="1"/>
  <c r="K75" i="1"/>
  <c r="K308" i="1" s="1"/>
  <c r="AA75" i="1"/>
  <c r="U12" i="1"/>
  <c r="AB377" i="1"/>
  <c r="AC377" i="1" s="1"/>
  <c r="M231" i="1"/>
  <c r="M235" i="1" s="1"/>
  <c r="P473" i="2"/>
  <c r="P474" i="2" s="1"/>
  <c r="W473" i="2"/>
  <c r="W474" i="2" s="1"/>
  <c r="AD473" i="2"/>
  <c r="AD474" i="2" s="1"/>
  <c r="AA473" i="2"/>
  <c r="AA474" i="2" s="1"/>
  <c r="R473" i="2"/>
  <c r="R474" i="2" s="1"/>
  <c r="G473" i="2"/>
  <c r="G474" i="2" s="1"/>
  <c r="AF473" i="2"/>
  <c r="AF474" i="2" s="1"/>
  <c r="AC473" i="2"/>
  <c r="AC474" i="2" s="1"/>
  <c r="V473" i="2"/>
  <c r="V474" i="2" s="1"/>
  <c r="Z473" i="2"/>
  <c r="Z474" i="2" s="1"/>
  <c r="X473" i="2"/>
  <c r="X474" i="2" s="1"/>
  <c r="Y473" i="2"/>
  <c r="Y474" i="2" s="1"/>
  <c r="AE473" i="2"/>
  <c r="AE474" i="2" s="1"/>
  <c r="E474" i="2"/>
  <c r="AB473" i="2"/>
  <c r="AB474" i="2" s="1"/>
  <c r="T473" i="2"/>
  <c r="T474" i="2" s="1"/>
  <c r="U473" i="2"/>
  <c r="U474" i="2" s="1"/>
  <c r="I316" i="2"/>
  <c r="I338" i="2" s="1"/>
  <c r="U75" i="1"/>
  <c r="AG428" i="2"/>
  <c r="AH428" i="2" s="1"/>
  <c r="I414" i="2"/>
  <c r="I418" i="2"/>
  <c r="AG429" i="2"/>
  <c r="AH429" i="2" s="1"/>
  <c r="S477" i="2"/>
  <c r="S473" i="2"/>
  <c r="S474" i="2" s="1"/>
  <c r="I410" i="1"/>
  <c r="W75" i="1"/>
  <c r="I12" i="1"/>
  <c r="I75" i="1"/>
  <c r="V452" i="2"/>
  <c r="W452" i="2"/>
  <c r="AA452" i="2"/>
  <c r="AB452" i="2"/>
  <c r="AF452" i="2"/>
  <c r="Z452" i="2"/>
  <c r="AC452" i="2"/>
  <c r="E453" i="2"/>
  <c r="Y452" i="2"/>
  <c r="T452" i="2"/>
  <c r="T453" i="2" s="1"/>
  <c r="X452" i="2"/>
  <c r="AE452" i="2"/>
  <c r="P452" i="2"/>
  <c r="P453" i="2" s="1"/>
  <c r="AD452" i="2"/>
  <c r="R452" i="2"/>
  <c r="R453" i="2" s="1"/>
  <c r="G452" i="2"/>
  <c r="G453" i="2" s="1"/>
  <c r="L452" i="2"/>
  <c r="L453" i="2" s="1"/>
  <c r="T64" i="15"/>
  <c r="K10" i="15" s="1"/>
  <c r="H434" i="2" s="1"/>
  <c r="I10" i="15"/>
  <c r="H436" i="2" s="1"/>
  <c r="H489" i="2" s="1"/>
  <c r="N452" i="2"/>
  <c r="N453" i="2" s="1"/>
  <c r="I231" i="1"/>
  <c r="W12" i="1"/>
  <c r="AB170" i="1"/>
  <c r="AC170" i="1" s="1"/>
  <c r="G33" i="9"/>
  <c r="E409" i="2" s="1"/>
  <c r="F409" i="2"/>
  <c r="U452" i="2"/>
  <c r="U453" i="2" s="1"/>
  <c r="K442" i="2"/>
  <c r="G8" i="8"/>
  <c r="H416" i="2" s="1"/>
  <c r="E32" i="8"/>
  <c r="G6" i="8"/>
  <c r="G7" i="8"/>
  <c r="G416" i="2" s="1"/>
  <c r="G10" i="8"/>
  <c r="J416" i="2" s="1"/>
  <c r="G11" i="8"/>
  <c r="K416" i="2" s="1"/>
  <c r="M477" i="2"/>
  <c r="M473" i="2"/>
  <c r="M474" i="2" s="1"/>
  <c r="F434" i="2"/>
  <c r="O477" i="2"/>
  <c r="O473" i="2"/>
  <c r="O474" i="2" s="1"/>
  <c r="AB356" i="1"/>
  <c r="AC356" i="1" s="1"/>
  <c r="J414" i="2"/>
  <c r="J418" i="2"/>
  <c r="G314" i="2"/>
  <c r="Q452" i="2"/>
  <c r="Q453" i="2" s="1"/>
  <c r="I11" i="15"/>
  <c r="I436" i="2" s="1"/>
  <c r="T74" i="15"/>
  <c r="K11" i="15" s="1"/>
  <c r="I434" i="2" s="1"/>
  <c r="F436" i="2"/>
  <c r="K463" i="2"/>
  <c r="K486" i="2"/>
  <c r="AG456" i="2"/>
  <c r="AH456" i="2" s="1"/>
  <c r="H314" i="2"/>
  <c r="Q477" i="2"/>
  <c r="Q473" i="2"/>
  <c r="Q474" i="2" s="1"/>
  <c r="AB199" i="1"/>
  <c r="AC199" i="1" s="1"/>
  <c r="P383" i="1" l="1"/>
  <c r="P205" i="1"/>
  <c r="P111" i="1"/>
  <c r="P222" i="1"/>
  <c r="P401" i="1"/>
  <c r="P112" i="1"/>
  <c r="P299" i="1"/>
  <c r="AB299" i="1" s="1"/>
  <c r="AC299" i="1" s="1"/>
  <c r="I442" i="2"/>
  <c r="AG431" i="2"/>
  <c r="AH431" i="2" s="1"/>
  <c r="AG415" i="2"/>
  <c r="AH415" i="2" s="1"/>
  <c r="AB45" i="1"/>
  <c r="AC45" i="1" s="1"/>
  <c r="P54" i="1"/>
  <c r="P105" i="1" s="1"/>
  <c r="O111" i="1"/>
  <c r="AB43" i="1"/>
  <c r="AC43" i="1" s="1"/>
  <c r="O297" i="1"/>
  <c r="AB297" i="1" s="1"/>
  <c r="AC297" i="1" s="1"/>
  <c r="AB114" i="1"/>
  <c r="AC114" i="1" s="1"/>
  <c r="AB113" i="1"/>
  <c r="AC113" i="1" s="1"/>
  <c r="AB223" i="1"/>
  <c r="AC223" i="1" s="1"/>
  <c r="O222" i="1"/>
  <c r="O205" i="1"/>
  <c r="O112" i="1"/>
  <c r="O383" i="1"/>
  <c r="O401" i="1"/>
  <c r="O298" i="1"/>
  <c r="AB298" i="1" s="1"/>
  <c r="AC298" i="1" s="1"/>
  <c r="AB44" i="1"/>
  <c r="AC44" i="1" s="1"/>
  <c r="AB402" i="1"/>
  <c r="AC402" i="1" s="1"/>
  <c r="AB384" i="1"/>
  <c r="AC384" i="1" s="1"/>
  <c r="AB206" i="1"/>
  <c r="AC206" i="1" s="1"/>
  <c r="AB300" i="1"/>
  <c r="AC300" i="1" s="1"/>
  <c r="AB47" i="1"/>
  <c r="AC47" i="1" s="1"/>
  <c r="O301" i="1"/>
  <c r="AB301" i="1" s="1"/>
  <c r="AC301" i="1" s="1"/>
  <c r="O54" i="1"/>
  <c r="O224" i="1"/>
  <c r="AB224" i="1" s="1"/>
  <c r="AC224" i="1" s="1"/>
  <c r="O115" i="1"/>
  <c r="AB115" i="1" s="1"/>
  <c r="AC115" i="1" s="1"/>
  <c r="O403" i="1"/>
  <c r="AB403" i="1" s="1"/>
  <c r="AC403" i="1" s="1"/>
  <c r="AG341" i="2"/>
  <c r="AH341" i="2" s="1"/>
  <c r="AG403" i="2"/>
  <c r="AH403" i="2" s="1"/>
  <c r="N359" i="2"/>
  <c r="AG359" i="2" s="1"/>
  <c r="AH359" i="2" s="1"/>
  <c r="K440" i="1"/>
  <c r="K274" i="1" s="1"/>
  <c r="AG408" i="2"/>
  <c r="AH408" i="2" s="1"/>
  <c r="AG407" i="2"/>
  <c r="AH407" i="2" s="1"/>
  <c r="AB177" i="1"/>
  <c r="AC177" i="1" s="1"/>
  <c r="H175" i="1"/>
  <c r="AB175" i="1" s="1"/>
  <c r="AC175" i="1" s="1"/>
  <c r="AB480" i="1"/>
  <c r="AC480" i="1" s="1"/>
  <c r="H178" i="1"/>
  <c r="AB178" i="1" s="1"/>
  <c r="AC178" i="1" s="1"/>
  <c r="H362" i="1"/>
  <c r="AB362" i="1" s="1"/>
  <c r="AC362" i="1" s="1"/>
  <c r="H176" i="1"/>
  <c r="AB176" i="1" s="1"/>
  <c r="AC176" i="1" s="1"/>
  <c r="H363" i="1"/>
  <c r="AB363" i="1" s="1"/>
  <c r="AC363" i="1" s="1"/>
  <c r="K316" i="2"/>
  <c r="K338" i="2" s="1"/>
  <c r="J316" i="2"/>
  <c r="J338" i="2" s="1"/>
  <c r="U237" i="1"/>
  <c r="U233" i="1"/>
  <c r="U264" i="1" s="1"/>
  <c r="U276" i="1" s="1"/>
  <c r="I180" i="1"/>
  <c r="R235" i="1"/>
  <c r="T52" i="2"/>
  <c r="Y235" i="1"/>
  <c r="H235" i="1"/>
  <c r="R233" i="1"/>
  <c r="R264" i="1" s="1"/>
  <c r="R452" i="1" s="1"/>
  <c r="Y308" i="1"/>
  <c r="Y237" i="1"/>
  <c r="H280" i="1"/>
  <c r="W233" i="1"/>
  <c r="W264" i="1" s="1"/>
  <c r="W454" i="1" s="1"/>
  <c r="Y456" i="1"/>
  <c r="S271" i="1"/>
  <c r="Y280" i="1"/>
  <c r="S275" i="1"/>
  <c r="Y122" i="1"/>
  <c r="S446" i="1"/>
  <c r="Y279" i="1"/>
  <c r="Y120" i="1"/>
  <c r="S453" i="1"/>
  <c r="S452" i="1"/>
  <c r="S440" i="1"/>
  <c r="S270" i="1" s="1"/>
  <c r="S82" i="1"/>
  <c r="S142" i="1" s="1"/>
  <c r="Y88" i="1"/>
  <c r="Y91" i="1" s="1"/>
  <c r="Y99" i="1" s="1"/>
  <c r="S279" i="1"/>
  <c r="K446" i="1"/>
  <c r="S277" i="1"/>
  <c r="S269" i="1"/>
  <c r="S121" i="1"/>
  <c r="R307" i="1"/>
  <c r="Y307" i="1"/>
  <c r="S448" i="1"/>
  <c r="S276" i="1"/>
  <c r="W237" i="1"/>
  <c r="S307" i="1"/>
  <c r="K453" i="1"/>
  <c r="H446" i="1"/>
  <c r="H450" i="1"/>
  <c r="H270" i="1"/>
  <c r="H456" i="1"/>
  <c r="Y82" i="1"/>
  <c r="Y130" i="1" s="1"/>
  <c r="N90" i="2"/>
  <c r="N525" i="2" s="1"/>
  <c r="K277" i="1"/>
  <c r="H120" i="1"/>
  <c r="H88" i="1"/>
  <c r="H91" i="1" s="1"/>
  <c r="H99" i="1" s="1"/>
  <c r="H451" i="1"/>
  <c r="R122" i="1"/>
  <c r="S120" i="1"/>
  <c r="K276" i="1"/>
  <c r="K448" i="1"/>
  <c r="H122" i="1"/>
  <c r="Y273" i="1"/>
  <c r="R120" i="1"/>
  <c r="S280" i="1"/>
  <c r="S308" i="1"/>
  <c r="S88" i="1"/>
  <c r="S91" i="1" s="1"/>
  <c r="S99" i="1" s="1"/>
  <c r="K269" i="1"/>
  <c r="K271" i="1"/>
  <c r="H82" i="1"/>
  <c r="E8" i="2" s="1"/>
  <c r="H307" i="1"/>
  <c r="H312" i="1" s="1"/>
  <c r="E199" i="2" s="1"/>
  <c r="H276" i="1"/>
  <c r="S456" i="1"/>
  <c r="K454" i="1"/>
  <c r="K452" i="1"/>
  <c r="H121" i="1"/>
  <c r="K456" i="1"/>
  <c r="H274" i="1"/>
  <c r="H273" i="1"/>
  <c r="R82" i="1"/>
  <c r="R130" i="1" s="1"/>
  <c r="U440" i="1"/>
  <c r="U450" i="1" s="1"/>
  <c r="M308" i="1"/>
  <c r="R456" i="1"/>
  <c r="R121" i="1"/>
  <c r="M456" i="1"/>
  <c r="K82" i="1"/>
  <c r="K131" i="1" s="1"/>
  <c r="M82" i="1"/>
  <c r="M142" i="1" s="1"/>
  <c r="M307" i="1"/>
  <c r="R88" i="1"/>
  <c r="R91" i="1" s="1"/>
  <c r="R99" i="1" s="1"/>
  <c r="R308" i="1"/>
  <c r="R280" i="1"/>
  <c r="M122" i="1"/>
  <c r="E480" i="2"/>
  <c r="O480" i="2" s="1"/>
  <c r="O481" i="2" s="1"/>
  <c r="H453" i="1"/>
  <c r="Y451" i="1"/>
  <c r="K280" i="1"/>
  <c r="H452" i="1"/>
  <c r="R13" i="2"/>
  <c r="AA90" i="2"/>
  <c r="H275" i="1"/>
  <c r="R274" i="1"/>
  <c r="R273" i="1"/>
  <c r="R270" i="1"/>
  <c r="R450" i="1"/>
  <c r="S447" i="2"/>
  <c r="P13" i="2"/>
  <c r="Y271" i="1"/>
  <c r="Y447" i="1"/>
  <c r="G447" i="2"/>
  <c r="AF204" i="2"/>
  <c r="J52" i="2"/>
  <c r="O204" i="2"/>
  <c r="K88" i="1"/>
  <c r="K91" i="1" s="1"/>
  <c r="K99" i="1" s="1"/>
  <c r="R414" i="1"/>
  <c r="V204" i="2"/>
  <c r="Q90" i="2"/>
  <c r="Q525" i="2" s="1"/>
  <c r="Q554" i="2" s="1"/>
  <c r="W440" i="1"/>
  <c r="W450" i="1" s="1"/>
  <c r="H90" i="2"/>
  <c r="H525" i="2" s="1"/>
  <c r="AE90" i="2"/>
  <c r="M13" i="2"/>
  <c r="AE447" i="2"/>
  <c r="K122" i="1"/>
  <c r="M440" i="1"/>
  <c r="M450" i="1" s="1"/>
  <c r="R451" i="1"/>
  <c r="AE204" i="2"/>
  <c r="AC90" i="2"/>
  <c r="Q204" i="2"/>
  <c r="T90" i="2"/>
  <c r="R204" i="2"/>
  <c r="S204" i="2"/>
  <c r="AC52" i="2"/>
  <c r="M52" i="2"/>
  <c r="M280" i="1"/>
  <c r="M88" i="1"/>
  <c r="M91" i="1" s="1"/>
  <c r="M99" i="1" s="1"/>
  <c r="M121" i="1"/>
  <c r="H269" i="1"/>
  <c r="H454" i="1"/>
  <c r="H448" i="1"/>
  <c r="AA237" i="1"/>
  <c r="R447" i="1"/>
  <c r="Z90" i="2"/>
  <c r="P52" i="2"/>
  <c r="I13" i="2"/>
  <c r="U52" i="2"/>
  <c r="Q447" i="2"/>
  <c r="AB13" i="2"/>
  <c r="I90" i="2"/>
  <c r="I525" i="2" s="1"/>
  <c r="K204" i="2"/>
  <c r="W90" i="2"/>
  <c r="M279" i="1"/>
  <c r="H271" i="1"/>
  <c r="M237" i="1"/>
  <c r="AA440" i="1"/>
  <c r="AA414" i="1"/>
  <c r="L90" i="2"/>
  <c r="L525" i="2" s="1"/>
  <c r="I52" i="2"/>
  <c r="AE52" i="2"/>
  <c r="U204" i="2"/>
  <c r="N447" i="2"/>
  <c r="O52" i="2"/>
  <c r="N13" i="2"/>
  <c r="AF13" i="2"/>
  <c r="O447" i="2"/>
  <c r="P447" i="2"/>
  <c r="Z447" i="2"/>
  <c r="W204" i="2"/>
  <c r="Y447" i="2"/>
  <c r="AA204" i="2"/>
  <c r="N204" i="2"/>
  <c r="J90" i="2"/>
  <c r="J525" i="2" s="1"/>
  <c r="Y204" i="2"/>
  <c r="M233" i="1"/>
  <c r="M264" i="1" s="1"/>
  <c r="M277" i="1" s="1"/>
  <c r="G204" i="2"/>
  <c r="U13" i="2"/>
  <c r="AD13" i="2"/>
  <c r="L447" i="2"/>
  <c r="S52" i="2"/>
  <c r="Q13" i="2"/>
  <c r="Z52" i="2"/>
  <c r="T447" i="2"/>
  <c r="R447" i="2"/>
  <c r="AD90" i="2"/>
  <c r="X13" i="2"/>
  <c r="X204" i="2"/>
  <c r="Z13" i="2"/>
  <c r="AF447" i="2"/>
  <c r="AC13" i="2"/>
  <c r="X52" i="2"/>
  <c r="P204" i="2"/>
  <c r="AD447" i="2"/>
  <c r="M447" i="2"/>
  <c r="L52" i="2"/>
  <c r="X447" i="2"/>
  <c r="AA52" i="2"/>
  <c r="F90" i="2"/>
  <c r="F525" i="2" s="1"/>
  <c r="G13" i="2"/>
  <c r="N52" i="2"/>
  <c r="G52" i="2"/>
  <c r="M204" i="2"/>
  <c r="H204" i="2"/>
  <c r="V90" i="2"/>
  <c r="AD204" i="2"/>
  <c r="P90" i="2"/>
  <c r="P525" i="2" s="1"/>
  <c r="Y52" i="2"/>
  <c r="T204" i="2"/>
  <c r="J204" i="2"/>
  <c r="Y453" i="1"/>
  <c r="AA233" i="1"/>
  <c r="AA264" i="1" s="1"/>
  <c r="AA276" i="1" s="1"/>
  <c r="AE13" i="2"/>
  <c r="AA447" i="2"/>
  <c r="O90" i="2"/>
  <c r="O525" i="2" s="1"/>
  <c r="L204" i="2"/>
  <c r="M90" i="2"/>
  <c r="M525" i="2" s="1"/>
  <c r="Q52" i="2"/>
  <c r="K52" i="2"/>
  <c r="AF90" i="2"/>
  <c r="Y90" i="2"/>
  <c r="W13" i="2"/>
  <c r="AB204" i="2"/>
  <c r="U90" i="2"/>
  <c r="G90" i="2"/>
  <c r="G525" i="2" s="1"/>
  <c r="AC447" i="2"/>
  <c r="Y13" i="2"/>
  <c r="F52" i="2"/>
  <c r="K447" i="2"/>
  <c r="J13" i="2"/>
  <c r="AB447" i="2"/>
  <c r="H52" i="2"/>
  <c r="S13" i="2"/>
  <c r="H13" i="2"/>
  <c r="R52" i="2"/>
  <c r="R90" i="2"/>
  <c r="R525" i="2" s="1"/>
  <c r="R554" i="2" s="1"/>
  <c r="I204" i="2"/>
  <c r="L13" i="2"/>
  <c r="I447" i="2"/>
  <c r="F204" i="2"/>
  <c r="AA13" i="2"/>
  <c r="K13" i="2"/>
  <c r="S90" i="2"/>
  <c r="Z204" i="2"/>
  <c r="V13" i="2"/>
  <c r="AB90" i="2"/>
  <c r="V52" i="2"/>
  <c r="F447" i="2"/>
  <c r="V447" i="2"/>
  <c r="F13" i="2"/>
  <c r="X90" i="2"/>
  <c r="AB52" i="2"/>
  <c r="J447" i="2"/>
  <c r="K90" i="2"/>
  <c r="K525" i="2" s="1"/>
  <c r="W52" i="2"/>
  <c r="AC204" i="2"/>
  <c r="U447" i="2"/>
  <c r="AF52" i="2"/>
  <c r="W447" i="2"/>
  <c r="T13" i="2"/>
  <c r="O13" i="2"/>
  <c r="H447" i="2"/>
  <c r="Y448" i="1"/>
  <c r="AA121" i="1"/>
  <c r="AA308" i="1"/>
  <c r="AA307" i="1"/>
  <c r="AA456" i="1"/>
  <c r="AA88" i="1"/>
  <c r="AA91" i="1" s="1"/>
  <c r="AA99" i="1" s="1"/>
  <c r="AA280" i="1"/>
  <c r="AA279" i="1"/>
  <c r="AA120" i="1"/>
  <c r="AA122" i="1"/>
  <c r="Y274" i="1"/>
  <c r="W82" i="1"/>
  <c r="W130" i="1" s="1"/>
  <c r="K120" i="1"/>
  <c r="K121" i="1"/>
  <c r="Y270" i="1"/>
  <c r="K279" i="1"/>
  <c r="K307" i="1"/>
  <c r="K312" i="1" s="1"/>
  <c r="E204" i="2" s="1"/>
  <c r="Y414" i="1"/>
  <c r="AA82" i="1"/>
  <c r="Y276" i="1"/>
  <c r="Y275" i="1"/>
  <c r="Q475" i="2"/>
  <c r="Y277" i="1"/>
  <c r="Y454" i="1"/>
  <c r="Y446" i="1"/>
  <c r="U475" i="2"/>
  <c r="O475" i="2"/>
  <c r="M475" i="2"/>
  <c r="Y269" i="1"/>
  <c r="S475" i="2"/>
  <c r="U120" i="1"/>
  <c r="U279" i="1"/>
  <c r="U307" i="1"/>
  <c r="U280" i="1"/>
  <c r="U308" i="1"/>
  <c r="U456" i="1"/>
  <c r="U88" i="1"/>
  <c r="U91" i="1" s="1"/>
  <c r="U99" i="1" s="1"/>
  <c r="U122" i="1"/>
  <c r="U121" i="1"/>
  <c r="U82" i="1"/>
  <c r="V475" i="2"/>
  <c r="G475" i="2"/>
  <c r="W475" i="2"/>
  <c r="P475" i="2"/>
  <c r="AE475" i="2"/>
  <c r="Y475" i="2"/>
  <c r="Z475" i="2"/>
  <c r="AF475" i="2"/>
  <c r="X475" i="2"/>
  <c r="AB475" i="2"/>
  <c r="T475" i="2"/>
  <c r="AA475" i="2"/>
  <c r="AC475" i="2"/>
  <c r="R475" i="2"/>
  <c r="AD475" i="2"/>
  <c r="G316" i="2"/>
  <c r="N477" i="2"/>
  <c r="N473" i="2"/>
  <c r="N474" i="2" s="1"/>
  <c r="N475" i="2" s="1"/>
  <c r="I203" i="15"/>
  <c r="I205" i="15" s="1"/>
  <c r="I35" i="15" s="1"/>
  <c r="L477" i="2"/>
  <c r="L473" i="2"/>
  <c r="L474" i="2" s="1"/>
  <c r="L475" i="2" s="1"/>
  <c r="I419" i="2"/>
  <c r="AG432" i="2"/>
  <c r="AH432" i="2" s="1"/>
  <c r="K487" i="2"/>
  <c r="AG486" i="2"/>
  <c r="AH486" i="2" s="1"/>
  <c r="F489" i="2"/>
  <c r="F442" i="2"/>
  <c r="H442" i="2"/>
  <c r="M242" i="2"/>
  <c r="G454" i="2"/>
  <c r="M128" i="2"/>
  <c r="V128" i="2"/>
  <c r="AE242" i="2"/>
  <c r="O242" i="2"/>
  <c r="X454" i="2"/>
  <c r="W166" i="2"/>
  <c r="U242" i="2"/>
  <c r="M454" i="2"/>
  <c r="H242" i="2"/>
  <c r="G166" i="2"/>
  <c r="P166" i="2"/>
  <c r="F454" i="2"/>
  <c r="AC280" i="2"/>
  <c r="P454" i="2"/>
  <c r="K166" i="2"/>
  <c r="I242" i="2"/>
  <c r="G128" i="2"/>
  <c r="J454" i="2"/>
  <c r="T454" i="2"/>
  <c r="AE128" i="2"/>
  <c r="H280" i="2"/>
  <c r="AC242" i="2"/>
  <c r="W280" i="2"/>
  <c r="Q454" i="2"/>
  <c r="AB242" i="2"/>
  <c r="S280" i="2"/>
  <c r="R128" i="2"/>
  <c r="V242" i="2"/>
  <c r="N166" i="2"/>
  <c r="I280" i="2"/>
  <c r="N280" i="2"/>
  <c r="O454" i="2"/>
  <c r="Y166" i="2"/>
  <c r="S242" i="2"/>
  <c r="Y280" i="2"/>
  <c r="U454" i="2"/>
  <c r="P280" i="2"/>
  <c r="AE166" i="2"/>
  <c r="H166" i="2"/>
  <c r="Y454" i="2"/>
  <c r="L454" i="2"/>
  <c r="Q128" i="2"/>
  <c r="Q242" i="2"/>
  <c r="V454" i="2"/>
  <c r="F166" i="2"/>
  <c r="O166" i="2"/>
  <c r="AD280" i="2"/>
  <c r="J166" i="2"/>
  <c r="K454" i="2"/>
  <c r="N242" i="2"/>
  <c r="AA454" i="2"/>
  <c r="G280" i="2"/>
  <c r="AA242" i="2"/>
  <c r="AA128" i="2"/>
  <c r="Y128" i="2"/>
  <c r="X242" i="2"/>
  <c r="R166" i="2"/>
  <c r="I166" i="2"/>
  <c r="P242" i="2"/>
  <c r="T280" i="2"/>
  <c r="Z454" i="2"/>
  <c r="T166" i="2"/>
  <c r="H128" i="2"/>
  <c r="AC166" i="2"/>
  <c r="T128" i="2"/>
  <c r="AF166" i="2"/>
  <c r="X128" i="2"/>
  <c r="R454" i="2"/>
  <c r="X280" i="2"/>
  <c r="W454" i="2"/>
  <c r="L242" i="2"/>
  <c r="X166" i="2"/>
  <c r="K280" i="2"/>
  <c r="AA166" i="2"/>
  <c r="G242" i="2"/>
  <c r="AB454" i="2"/>
  <c r="Z280" i="2"/>
  <c r="L166" i="2"/>
  <c r="J242" i="2"/>
  <c r="H454" i="2"/>
  <c r="N454" i="2"/>
  <c r="O128" i="2"/>
  <c r="AF242" i="2"/>
  <c r="U280" i="2"/>
  <c r="AE280" i="2"/>
  <c r="AF454" i="2"/>
  <c r="O280" i="2"/>
  <c r="Z166" i="2"/>
  <c r="K128" i="2"/>
  <c r="V280" i="2"/>
  <c r="AF128" i="2"/>
  <c r="M280" i="2"/>
  <c r="K242" i="2"/>
  <c r="AD166" i="2"/>
  <c r="AD128" i="2"/>
  <c r="AC128" i="2"/>
  <c r="AC454" i="2"/>
  <c r="AB128" i="2"/>
  <c r="J280" i="2"/>
  <c r="Q280" i="2"/>
  <c r="U128" i="2"/>
  <c r="W128" i="2"/>
  <c r="AA280" i="2"/>
  <c r="F242" i="2"/>
  <c r="AD454" i="2"/>
  <c r="U166" i="2"/>
  <c r="M166" i="2"/>
  <c r="T242" i="2"/>
  <c r="V166" i="2"/>
  <c r="S454" i="2"/>
  <c r="F128" i="2"/>
  <c r="S166" i="2"/>
  <c r="Q166" i="2"/>
  <c r="I454" i="2"/>
  <c r="AB280" i="2"/>
  <c r="S128" i="2"/>
  <c r="J128" i="2"/>
  <c r="AF280" i="2"/>
  <c r="P128" i="2"/>
  <c r="N128" i="2"/>
  <c r="Y242" i="2"/>
  <c r="F280" i="2"/>
  <c r="AE454" i="2"/>
  <c r="L280" i="2"/>
  <c r="Z128" i="2"/>
  <c r="AD242" i="2"/>
  <c r="I128" i="2"/>
  <c r="L128" i="2"/>
  <c r="Z242" i="2"/>
  <c r="R242" i="2"/>
  <c r="AB166" i="2"/>
  <c r="W242" i="2"/>
  <c r="R280" i="2"/>
  <c r="I82" i="1"/>
  <c r="W308" i="1"/>
  <c r="W121" i="1"/>
  <c r="W456" i="1"/>
  <c r="W279" i="1"/>
  <c r="W88" i="1"/>
  <c r="W91" i="1" s="1"/>
  <c r="W99" i="1" s="1"/>
  <c r="W120" i="1"/>
  <c r="W280" i="1"/>
  <c r="W307" i="1"/>
  <c r="W122" i="1"/>
  <c r="I412" i="1"/>
  <c r="AG418" i="2"/>
  <c r="AH418" i="2" s="1"/>
  <c r="H316" i="2"/>
  <c r="AG463" i="2"/>
  <c r="AH463" i="2" s="1"/>
  <c r="G32" i="8"/>
  <c r="E416" i="2" s="1"/>
  <c r="F416" i="2"/>
  <c r="AG416" i="2" s="1"/>
  <c r="AG409" i="2"/>
  <c r="AH409" i="2" s="1"/>
  <c r="F410" i="2"/>
  <c r="I233" i="1"/>
  <c r="I235" i="1"/>
  <c r="AG414" i="2"/>
  <c r="AH414" i="2" s="1"/>
  <c r="K449" i="2"/>
  <c r="K470" i="2" s="1"/>
  <c r="K445" i="2"/>
  <c r="K446" i="2" s="1"/>
  <c r="H203" i="15"/>
  <c r="I280" i="1"/>
  <c r="I279" i="1"/>
  <c r="I122" i="1"/>
  <c r="I88" i="1"/>
  <c r="I120" i="1"/>
  <c r="I456" i="1"/>
  <c r="I307" i="1"/>
  <c r="I121" i="1"/>
  <c r="I308" i="1"/>
  <c r="AB222" i="1" l="1"/>
  <c r="AC222" i="1" s="1"/>
  <c r="AB112" i="1"/>
  <c r="AC112" i="1" s="1"/>
  <c r="H620" i="2"/>
  <c r="H554" i="2"/>
  <c r="M554" i="2"/>
  <c r="M620" i="2"/>
  <c r="L554" i="2"/>
  <c r="L620" i="2"/>
  <c r="K620" i="2"/>
  <c r="K554" i="2"/>
  <c r="J620" i="2"/>
  <c r="J554" i="2"/>
  <c r="O620" i="2"/>
  <c r="I507" i="2"/>
  <c r="I516" i="2" s="1"/>
  <c r="P507" i="2"/>
  <c r="P516" i="2" s="1"/>
  <c r="H507" i="2"/>
  <c r="H516" i="2" s="1"/>
  <c r="F507" i="2"/>
  <c r="F516" i="2" s="1"/>
  <c r="J507" i="2"/>
  <c r="J516" i="2" s="1"/>
  <c r="O507" i="2"/>
  <c r="O516" i="2" s="1"/>
  <c r="O545" i="2" s="1"/>
  <c r="O568" i="2" s="1"/>
  <c r="K507" i="2"/>
  <c r="K516" i="2" s="1"/>
  <c r="G507" i="2"/>
  <c r="G516" i="2" s="1"/>
  <c r="M507" i="2"/>
  <c r="M516" i="2" s="1"/>
  <c r="L507" i="2"/>
  <c r="L516" i="2" s="1"/>
  <c r="N507" i="2"/>
  <c r="N516" i="2" s="1"/>
  <c r="AB205" i="1"/>
  <c r="AC205" i="1" s="1"/>
  <c r="AB383" i="1"/>
  <c r="AC383" i="1" s="1"/>
  <c r="AB111" i="1"/>
  <c r="AC111" i="1" s="1"/>
  <c r="AB401" i="1"/>
  <c r="AC401" i="1" s="1"/>
  <c r="O554" i="2"/>
  <c r="AJ128" i="2"/>
  <c r="G554" i="2"/>
  <c r="I554" i="2"/>
  <c r="P108" i="1"/>
  <c r="P202" i="1"/>
  <c r="P389" i="1"/>
  <c r="P89" i="1"/>
  <c r="P306" i="1"/>
  <c r="P139" i="1"/>
  <c r="P406" i="1"/>
  <c r="P399" i="1"/>
  <c r="P78" i="1"/>
  <c r="P136" i="1"/>
  <c r="P56" i="1"/>
  <c r="P73" i="1" s="1"/>
  <c r="P390" i="1"/>
  <c r="P211" i="1"/>
  <c r="P227" i="1"/>
  <c r="P137" i="1"/>
  <c r="P138" i="1"/>
  <c r="P380" i="1"/>
  <c r="P220" i="1"/>
  <c r="P213" i="1"/>
  <c r="P87" i="1"/>
  <c r="P310" i="1"/>
  <c r="O87" i="1"/>
  <c r="O406" i="1"/>
  <c r="O89" i="1"/>
  <c r="O139" i="1"/>
  <c r="O220" i="1"/>
  <c r="E457" i="2"/>
  <c r="AB54" i="1"/>
  <c r="AC54" i="1" s="1"/>
  <c r="O390" i="1"/>
  <c r="O389" i="1"/>
  <c r="O136" i="1"/>
  <c r="O78" i="1"/>
  <c r="O211" i="1"/>
  <c r="O213" i="1"/>
  <c r="O380" i="1"/>
  <c r="O108" i="1"/>
  <c r="O137" i="1"/>
  <c r="O138" i="1"/>
  <c r="O399" i="1"/>
  <c r="O56" i="1"/>
  <c r="O227" i="1"/>
  <c r="O202" i="1"/>
  <c r="O306" i="1"/>
  <c r="O105" i="1"/>
  <c r="AB105" i="1" s="1"/>
  <c r="AC105" i="1" s="1"/>
  <c r="O310" i="1"/>
  <c r="K270" i="1"/>
  <c r="K451" i="1"/>
  <c r="K447" i="1"/>
  <c r="K273" i="1"/>
  <c r="K450" i="1"/>
  <c r="H180" i="1"/>
  <c r="H237" i="1" s="1"/>
  <c r="H365" i="1"/>
  <c r="H414" i="1" s="1"/>
  <c r="U275" i="1"/>
  <c r="U277" i="1"/>
  <c r="I237" i="1"/>
  <c r="U446" i="1"/>
  <c r="U454" i="1"/>
  <c r="U453" i="1"/>
  <c r="U452" i="1"/>
  <c r="U269" i="1"/>
  <c r="U448" i="1"/>
  <c r="U271" i="1"/>
  <c r="Y312" i="1"/>
  <c r="E226" i="2" s="1"/>
  <c r="W312" i="1"/>
  <c r="E223" i="2" s="1"/>
  <c r="R275" i="1"/>
  <c r="R271" i="1"/>
  <c r="R269" i="1"/>
  <c r="R277" i="1"/>
  <c r="R276" i="1"/>
  <c r="R453" i="1"/>
  <c r="R446" i="1"/>
  <c r="R454" i="1"/>
  <c r="R448" i="1"/>
  <c r="G480" i="2"/>
  <c r="G481" i="2" s="1"/>
  <c r="W452" i="1"/>
  <c r="W269" i="1"/>
  <c r="W446" i="1"/>
  <c r="S451" i="1"/>
  <c r="S274" i="1"/>
  <c r="S450" i="1"/>
  <c r="E13" i="2"/>
  <c r="H130" i="1"/>
  <c r="W276" i="1"/>
  <c r="W275" i="1"/>
  <c r="W453" i="1"/>
  <c r="W277" i="1"/>
  <c r="W448" i="1"/>
  <c r="W271" i="1"/>
  <c r="AE480" i="2"/>
  <c r="AE481" i="2" s="1"/>
  <c r="K142" i="1"/>
  <c r="AB480" i="2"/>
  <c r="AB481" i="2" s="1"/>
  <c r="K130" i="1"/>
  <c r="U480" i="2"/>
  <c r="U481" i="2" s="1"/>
  <c r="AD480" i="2"/>
  <c r="AD481" i="2" s="1"/>
  <c r="S130" i="1"/>
  <c r="S273" i="1"/>
  <c r="S447" i="1"/>
  <c r="R312" i="1"/>
  <c r="E215" i="2" s="1"/>
  <c r="S312" i="1"/>
  <c r="E216" i="2" s="1"/>
  <c r="T216" i="2" s="1"/>
  <c r="S98" i="1"/>
  <c r="S101" i="1" s="1"/>
  <c r="S104" i="1" s="1"/>
  <c r="S124" i="1" s="1"/>
  <c r="S126" i="1" s="1"/>
  <c r="S131" i="1"/>
  <c r="E25" i="2"/>
  <c r="F25" i="2" s="1"/>
  <c r="Y142" i="1"/>
  <c r="U451" i="1"/>
  <c r="E35" i="2"/>
  <c r="M35" i="2" s="1"/>
  <c r="Y93" i="1"/>
  <c r="E24" i="2"/>
  <c r="R24" i="2" s="1"/>
  <c r="U274" i="1"/>
  <c r="H142" i="1"/>
  <c r="H98" i="1"/>
  <c r="H101" i="1" s="1"/>
  <c r="H104" i="1" s="1"/>
  <c r="H124" i="1" s="1"/>
  <c r="H126" i="1" s="1"/>
  <c r="M480" i="2"/>
  <c r="M481" i="2" s="1"/>
  <c r="Y131" i="1"/>
  <c r="Y98" i="1"/>
  <c r="Y101" i="1" s="1"/>
  <c r="Y104" i="1" s="1"/>
  <c r="Y124" i="1" s="1"/>
  <c r="Y126" i="1" s="1"/>
  <c r="H131" i="1"/>
  <c r="H93" i="1"/>
  <c r="K98" i="1"/>
  <c r="K101" i="1" s="1"/>
  <c r="K104" i="1" s="1"/>
  <c r="K124" i="1" s="1"/>
  <c r="K126" i="1" s="1"/>
  <c r="K449" i="1" s="1"/>
  <c r="Y480" i="2"/>
  <c r="Y481" i="2" s="1"/>
  <c r="W480" i="2"/>
  <c r="W481" i="2" s="1"/>
  <c r="R98" i="1"/>
  <c r="R101" i="1" s="1"/>
  <c r="R104" i="1" s="1"/>
  <c r="R124" i="1" s="1"/>
  <c r="R126" i="1" s="1"/>
  <c r="R131" i="1"/>
  <c r="R142" i="1"/>
  <c r="R93" i="1"/>
  <c r="AC480" i="2"/>
  <c r="AC481" i="2" s="1"/>
  <c r="T480" i="2"/>
  <c r="T481" i="2" s="1"/>
  <c r="Q480" i="2"/>
  <c r="Q481" i="2" s="1"/>
  <c r="M274" i="1"/>
  <c r="W98" i="1"/>
  <c r="W101" i="1" s="1"/>
  <c r="M448" i="1"/>
  <c r="W447" i="1"/>
  <c r="S93" i="1"/>
  <c r="M447" i="1"/>
  <c r="M312" i="1"/>
  <c r="E207" i="2" s="1"/>
  <c r="G207" i="2" s="1"/>
  <c r="U270" i="1"/>
  <c r="W142" i="1"/>
  <c r="U447" i="1"/>
  <c r="M131" i="1"/>
  <c r="M273" i="1"/>
  <c r="M130" i="1"/>
  <c r="E32" i="2"/>
  <c r="I32" i="2" s="1"/>
  <c r="U273" i="1"/>
  <c r="M452" i="1"/>
  <c r="AA454" i="1"/>
  <c r="P554" i="2"/>
  <c r="L480" i="2"/>
  <c r="L481" i="2" s="1"/>
  <c r="S480" i="2"/>
  <c r="S481" i="2" s="1"/>
  <c r="AF480" i="2"/>
  <c r="AF481" i="2" s="1"/>
  <c r="AA480" i="2"/>
  <c r="AA481" i="2" s="1"/>
  <c r="X480" i="2"/>
  <c r="X481" i="2" s="1"/>
  <c r="R480" i="2"/>
  <c r="R481" i="2" s="1"/>
  <c r="M98" i="1"/>
  <c r="M101" i="1" s="1"/>
  <c r="M104" i="1" s="1"/>
  <c r="M124" i="1" s="1"/>
  <c r="M126" i="1" s="1"/>
  <c r="N480" i="2"/>
  <c r="N481" i="2" s="1"/>
  <c r="E481" i="2"/>
  <c r="O482" i="2" s="1"/>
  <c r="P480" i="2"/>
  <c r="P481" i="2" s="1"/>
  <c r="Z480" i="2"/>
  <c r="Z481" i="2" s="1"/>
  <c r="V480" i="2"/>
  <c r="V481" i="2" s="1"/>
  <c r="E16" i="2"/>
  <c r="Q16" i="2" s="1"/>
  <c r="W274" i="1"/>
  <c r="W451" i="1"/>
  <c r="W273" i="1"/>
  <c r="W270" i="1"/>
  <c r="AA446" i="1"/>
  <c r="M275" i="1"/>
  <c r="M271" i="1"/>
  <c r="M270" i="1"/>
  <c r="AA277" i="1"/>
  <c r="AA271" i="1"/>
  <c r="AA275" i="1"/>
  <c r="M276" i="1"/>
  <c r="K93" i="1"/>
  <c r="M451" i="1"/>
  <c r="AG447" i="2"/>
  <c r="AH447" i="2" s="1"/>
  <c r="AG204" i="2"/>
  <c r="AH204" i="2" s="1"/>
  <c r="AG52" i="2"/>
  <c r="AG13" i="2"/>
  <c r="AG90" i="2"/>
  <c r="M269" i="1"/>
  <c r="M454" i="1"/>
  <c r="M93" i="1"/>
  <c r="M446" i="1"/>
  <c r="M453" i="1"/>
  <c r="W131" i="1"/>
  <c r="AA448" i="1"/>
  <c r="AA452" i="1"/>
  <c r="AA269" i="1"/>
  <c r="AA453" i="1"/>
  <c r="AA274" i="1"/>
  <c r="AA450" i="1"/>
  <c r="AA451" i="1"/>
  <c r="AA273" i="1"/>
  <c r="AA270" i="1"/>
  <c r="AA447" i="1"/>
  <c r="AA312" i="1"/>
  <c r="E229" i="2" s="1"/>
  <c r="I229" i="2" s="1"/>
  <c r="AA130" i="1"/>
  <c r="AA142" i="1"/>
  <c r="E38" i="2"/>
  <c r="I38" i="2" s="1"/>
  <c r="AA93" i="1"/>
  <c r="AA131" i="1"/>
  <c r="AA98" i="1"/>
  <c r="AA101" i="1" s="1"/>
  <c r="AA104" i="1" s="1"/>
  <c r="AA124" i="1" s="1"/>
  <c r="AA126" i="1" s="1"/>
  <c r="U312" i="1"/>
  <c r="E220" i="2" s="1"/>
  <c r="I220" i="2" s="1"/>
  <c r="U131" i="1"/>
  <c r="U142" i="1"/>
  <c r="U98" i="1"/>
  <c r="U101" i="1" s="1"/>
  <c r="U104" i="1" s="1"/>
  <c r="U124" i="1" s="1"/>
  <c r="U126" i="1" s="1"/>
  <c r="U272" i="1" s="1"/>
  <c r="E29" i="2"/>
  <c r="L29" i="2" s="1"/>
  <c r="U93" i="1"/>
  <c r="U130" i="1"/>
  <c r="I312" i="1"/>
  <c r="I142" i="1"/>
  <c r="E9" i="2"/>
  <c r="I98" i="1"/>
  <c r="I131" i="1"/>
  <c r="I130" i="1"/>
  <c r="AG128" i="2"/>
  <c r="R507" i="2"/>
  <c r="R516" i="2" s="1"/>
  <c r="AG525" i="2"/>
  <c r="F554" i="2"/>
  <c r="AH416" i="2"/>
  <c r="I440" i="1"/>
  <c r="I414" i="1"/>
  <c r="AG166" i="2"/>
  <c r="H205" i="15"/>
  <c r="H35" i="15" s="1"/>
  <c r="K452" i="2"/>
  <c r="K453" i="2" s="1"/>
  <c r="I445" i="2"/>
  <c r="I446" i="2" s="1"/>
  <c r="I449" i="2"/>
  <c r="I470" i="2" s="1"/>
  <c r="AG280" i="2"/>
  <c r="Q507" i="2"/>
  <c r="Q516" i="2" s="1"/>
  <c r="F445" i="2"/>
  <c r="F449" i="2"/>
  <c r="AG487" i="2"/>
  <c r="AH487" i="2" s="1"/>
  <c r="AG419" i="2"/>
  <c r="AH419" i="2" s="1"/>
  <c r="W93" i="1"/>
  <c r="I264" i="1"/>
  <c r="F314" i="2"/>
  <c r="AG314" i="2" s="1"/>
  <c r="AH314" i="2" s="1"/>
  <c r="AG410" i="2"/>
  <c r="AH410" i="2" s="1"/>
  <c r="I91" i="1"/>
  <c r="I93" i="1" s="1"/>
  <c r="H338" i="2"/>
  <c r="AG242" i="2"/>
  <c r="AG454" i="2"/>
  <c r="AH454" i="2" s="1"/>
  <c r="H449" i="2"/>
  <c r="H470" i="2" s="1"/>
  <c r="H445" i="2"/>
  <c r="H446" i="2" s="1"/>
  <c r="G338" i="2"/>
  <c r="O619" i="2" l="1"/>
  <c r="O621" i="2" s="1"/>
  <c r="O593" i="2"/>
  <c r="AG507" i="2"/>
  <c r="L545" i="2"/>
  <c r="L568" i="2" s="1"/>
  <c r="K545" i="2"/>
  <c r="K568" i="2" s="1"/>
  <c r="J545" i="2"/>
  <c r="J568" i="2" s="1"/>
  <c r="H545" i="2"/>
  <c r="H568" i="2" s="1"/>
  <c r="M545" i="2"/>
  <c r="M568" i="2" s="1"/>
  <c r="I545" i="2"/>
  <c r="I568" i="2" s="1"/>
  <c r="G545" i="2"/>
  <c r="G568" i="2" s="1"/>
  <c r="P229" i="1"/>
  <c r="AB108" i="1"/>
  <c r="AC108" i="1" s="1"/>
  <c r="AB139" i="1"/>
  <c r="AC139" i="1" s="1"/>
  <c r="P68" i="1"/>
  <c r="AB389" i="1"/>
  <c r="AC389" i="1" s="1"/>
  <c r="P70" i="1"/>
  <c r="AB406" i="1"/>
  <c r="AC406" i="1" s="1"/>
  <c r="P77" i="1"/>
  <c r="AB89" i="1"/>
  <c r="AC89" i="1" s="1"/>
  <c r="AB306" i="1"/>
  <c r="AC306" i="1" s="1"/>
  <c r="P67" i="1"/>
  <c r="P8" i="1"/>
  <c r="P66" i="1"/>
  <c r="P69" i="1"/>
  <c r="P63" i="1"/>
  <c r="P64" i="1"/>
  <c r="P408" i="1"/>
  <c r="P58" i="1"/>
  <c r="P65" i="1"/>
  <c r="P10" i="1"/>
  <c r="P309" i="1"/>
  <c r="P72" i="1"/>
  <c r="P71" i="1"/>
  <c r="P9" i="1"/>
  <c r="AB390" i="1"/>
  <c r="AC390" i="1" s="1"/>
  <c r="P141" i="1"/>
  <c r="AB78" i="1"/>
  <c r="AC78" i="1" s="1"/>
  <c r="P215" i="1"/>
  <c r="AB310" i="1"/>
  <c r="AC310" i="1" s="1"/>
  <c r="AB211" i="1"/>
  <c r="AC211" i="1" s="1"/>
  <c r="AB213" i="1"/>
  <c r="AC213" i="1" s="1"/>
  <c r="AB227" i="1"/>
  <c r="AC227" i="1" s="1"/>
  <c r="AB137" i="1"/>
  <c r="AC137" i="1" s="1"/>
  <c r="P392" i="1"/>
  <c r="AB138" i="1"/>
  <c r="AC138" i="1" s="1"/>
  <c r="AB87" i="1"/>
  <c r="AC87" i="1" s="1"/>
  <c r="O65" i="1"/>
  <c r="O77" i="1"/>
  <c r="O63" i="1"/>
  <c r="O8" i="1"/>
  <c r="O309" i="1"/>
  <c r="O10" i="1"/>
  <c r="O69" i="1"/>
  <c r="O72" i="1"/>
  <c r="O68" i="1"/>
  <c r="O64" i="1"/>
  <c r="O9" i="1"/>
  <c r="O71" i="1"/>
  <c r="O67" i="1"/>
  <c r="AB56" i="1"/>
  <c r="AC56" i="1" s="1"/>
  <c r="O70" i="1"/>
  <c r="O58" i="1"/>
  <c r="O66" i="1"/>
  <c r="AB66" i="1" s="1"/>
  <c r="AC66" i="1" s="1"/>
  <c r="O73" i="1"/>
  <c r="AB73" i="1" s="1"/>
  <c r="AC73" i="1" s="1"/>
  <c r="AB399" i="1"/>
  <c r="AC399" i="1" s="1"/>
  <c r="O408" i="1"/>
  <c r="O392" i="1"/>
  <c r="AB380" i="1"/>
  <c r="AC380" i="1" s="1"/>
  <c r="O141" i="1"/>
  <c r="AB136" i="1"/>
  <c r="AC136" i="1" s="1"/>
  <c r="E459" i="2"/>
  <c r="E464" i="2"/>
  <c r="AG457" i="2"/>
  <c r="AH457" i="2" s="1"/>
  <c r="AB202" i="1"/>
  <c r="AC202" i="1" s="1"/>
  <c r="O215" i="1"/>
  <c r="O229" i="1"/>
  <c r="AB220" i="1"/>
  <c r="AC220" i="1" s="1"/>
  <c r="AB365" i="1"/>
  <c r="AC365" i="1" s="1"/>
  <c r="AB180" i="1"/>
  <c r="AC180" i="1" s="1"/>
  <c r="AF216" i="2"/>
  <c r="AC24" i="2"/>
  <c r="AH13" i="2"/>
  <c r="AB25" i="2"/>
  <c r="R25" i="2"/>
  <c r="R26" i="2" s="1"/>
  <c r="AA35" i="2"/>
  <c r="T25" i="2"/>
  <c r="AD25" i="2"/>
  <c r="J25" i="2"/>
  <c r="X25" i="2"/>
  <c r="K25" i="2"/>
  <c r="AC25" i="2"/>
  <c r="N25" i="2"/>
  <c r="AF25" i="2"/>
  <c r="M25" i="2"/>
  <c r="J35" i="2"/>
  <c r="AC35" i="2"/>
  <c r="S35" i="2"/>
  <c r="I35" i="2"/>
  <c r="X35" i="2"/>
  <c r="AD216" i="2"/>
  <c r="O216" i="2"/>
  <c r="X216" i="2"/>
  <c r="N216" i="2"/>
  <c r="AA216" i="2"/>
  <c r="W216" i="2"/>
  <c r="P24" i="2"/>
  <c r="V25" i="2"/>
  <c r="W25" i="2"/>
  <c r="L25" i="2"/>
  <c r="AE25" i="2"/>
  <c r="Q25" i="2"/>
  <c r="S25" i="2"/>
  <c r="I24" i="2"/>
  <c r="P25" i="2"/>
  <c r="I25" i="2"/>
  <c r="AA25" i="2"/>
  <c r="Y25" i="2"/>
  <c r="Z25" i="2"/>
  <c r="O25" i="2"/>
  <c r="H25" i="2"/>
  <c r="J216" i="2"/>
  <c r="U216" i="2"/>
  <c r="V216" i="2"/>
  <c r="L216" i="2"/>
  <c r="H216" i="2"/>
  <c r="Y216" i="2"/>
  <c r="Z216" i="2"/>
  <c r="AE216" i="2"/>
  <c r="S216" i="2"/>
  <c r="I216" i="2"/>
  <c r="P216" i="2"/>
  <c r="M216" i="2"/>
  <c r="Z24" i="2"/>
  <c r="U35" i="2"/>
  <c r="AE35" i="2"/>
  <c r="AC216" i="2"/>
  <c r="K216" i="2"/>
  <c r="Q216" i="2"/>
  <c r="K24" i="2"/>
  <c r="F216" i="2"/>
  <c r="R216" i="2"/>
  <c r="AB216" i="2"/>
  <c r="G216" i="2"/>
  <c r="O35" i="2"/>
  <c r="K35" i="2"/>
  <c r="E26" i="2"/>
  <c r="G24" i="2"/>
  <c r="V35" i="2"/>
  <c r="N35" i="2"/>
  <c r="F35" i="2"/>
  <c r="H24" i="2"/>
  <c r="AE24" i="2"/>
  <c r="F24" i="2"/>
  <c r="F26" i="2" s="1"/>
  <c r="AB35" i="2"/>
  <c r="Q35" i="2"/>
  <c r="AD35" i="2"/>
  <c r="W35" i="2"/>
  <c r="Y35" i="2"/>
  <c r="P35" i="2"/>
  <c r="AF24" i="2"/>
  <c r="Z220" i="2"/>
  <c r="V24" i="2"/>
  <c r="N24" i="2"/>
  <c r="AB24" i="2"/>
  <c r="Z35" i="2"/>
  <c r="H35" i="2"/>
  <c r="AF35" i="2"/>
  <c r="L35" i="2"/>
  <c r="R35" i="2"/>
  <c r="T35" i="2"/>
  <c r="G35" i="2"/>
  <c r="G25" i="2"/>
  <c r="U25" i="2"/>
  <c r="AB32" i="2"/>
  <c r="AD32" i="2"/>
  <c r="O24" i="2"/>
  <c r="AD24" i="2"/>
  <c r="T24" i="2"/>
  <c r="J24" i="2"/>
  <c r="AA24" i="2"/>
  <c r="U24" i="2"/>
  <c r="Y24" i="2"/>
  <c r="X24" i="2"/>
  <c r="Q24" i="2"/>
  <c r="W24" i="2"/>
  <c r="L24" i="2"/>
  <c r="S24" i="2"/>
  <c r="M24" i="2"/>
  <c r="R316" i="1"/>
  <c r="E291" i="2" s="1"/>
  <c r="L291" i="2" s="1"/>
  <c r="E63" i="2"/>
  <c r="K63" i="2" s="1"/>
  <c r="R278" i="1"/>
  <c r="R318" i="1"/>
  <c r="U32" i="2"/>
  <c r="M32" i="2"/>
  <c r="AF32" i="2"/>
  <c r="K324" i="1"/>
  <c r="Q32" i="2"/>
  <c r="G32" i="2"/>
  <c r="AB482" i="2"/>
  <c r="AF16" i="2"/>
  <c r="J32" i="2"/>
  <c r="Z32" i="2"/>
  <c r="N32" i="2"/>
  <c r="R314" i="1"/>
  <c r="E253" i="2" s="1"/>
  <c r="M253" i="2" s="1"/>
  <c r="S32" i="2"/>
  <c r="O32" i="2"/>
  <c r="X32" i="2"/>
  <c r="F32" i="2"/>
  <c r="R449" i="1"/>
  <c r="R455" i="1"/>
  <c r="AC32" i="2"/>
  <c r="P32" i="2"/>
  <c r="W32" i="2"/>
  <c r="R32" i="2"/>
  <c r="T32" i="2"/>
  <c r="AE32" i="2"/>
  <c r="K32" i="2"/>
  <c r="R324" i="1"/>
  <c r="R272" i="1"/>
  <c r="T482" i="2"/>
  <c r="AD16" i="2"/>
  <c r="X16" i="2"/>
  <c r="N16" i="2"/>
  <c r="H32" i="2"/>
  <c r="Y32" i="2"/>
  <c r="AA32" i="2"/>
  <c r="V32" i="2"/>
  <c r="L32" i="2"/>
  <c r="L16" i="2"/>
  <c r="R281" i="1"/>
  <c r="R322" i="1"/>
  <c r="R320" i="1"/>
  <c r="G482" i="2"/>
  <c r="G16" i="2"/>
  <c r="U482" i="2"/>
  <c r="M482" i="2"/>
  <c r="AA482" i="2"/>
  <c r="AE482" i="2"/>
  <c r="AC16" i="2"/>
  <c r="AF482" i="2"/>
  <c r="V482" i="2"/>
  <c r="AD482" i="2"/>
  <c r="Y482" i="2"/>
  <c r="Z16" i="2"/>
  <c r="V16" i="2"/>
  <c r="AB16" i="2"/>
  <c r="S482" i="2"/>
  <c r="Q482" i="2"/>
  <c r="O16" i="2"/>
  <c r="R482" i="2"/>
  <c r="W16" i="2"/>
  <c r="AA16" i="2"/>
  <c r="Y16" i="2"/>
  <c r="P482" i="2"/>
  <c r="Z482" i="2"/>
  <c r="AC482" i="2"/>
  <c r="X482" i="2"/>
  <c r="T16" i="2"/>
  <c r="P16" i="2"/>
  <c r="AE16" i="2"/>
  <c r="R16" i="2"/>
  <c r="N482" i="2"/>
  <c r="W482" i="2"/>
  <c r="L482" i="2"/>
  <c r="S16" i="2"/>
  <c r="M16" i="2"/>
  <c r="U16" i="2"/>
  <c r="K320" i="1"/>
  <c r="U455" i="1"/>
  <c r="K281" i="1"/>
  <c r="K272" i="1"/>
  <c r="K314" i="1"/>
  <c r="E242" i="2" s="1"/>
  <c r="AH242" i="2" s="1"/>
  <c r="K316" i="1"/>
  <c r="E280" i="2" s="1"/>
  <c r="AH280" i="2" s="1"/>
  <c r="K318" i="1"/>
  <c r="K322" i="1"/>
  <c r="K278" i="1"/>
  <c r="E52" i="2"/>
  <c r="AH52" i="2" s="1"/>
  <c r="K455" i="1"/>
  <c r="K458" i="1" s="1"/>
  <c r="K460" i="1" s="1"/>
  <c r="K462" i="1" s="1"/>
  <c r="E166" i="2" s="1"/>
  <c r="AH166" i="2" s="1"/>
  <c r="U324" i="1"/>
  <c r="L220" i="2"/>
  <c r="U316" i="1"/>
  <c r="E296" i="2" s="1"/>
  <c r="AB296" i="2" s="1"/>
  <c r="AD220" i="2"/>
  <c r="J220" i="2"/>
  <c r="AC220" i="2"/>
  <c r="E68" i="2"/>
  <c r="AB68" i="2" s="1"/>
  <c r="AF220" i="2"/>
  <c r="U449" i="1"/>
  <c r="T38" i="2"/>
  <c r="K38" i="2"/>
  <c r="AC38" i="2"/>
  <c r="AB38" i="2"/>
  <c r="N38" i="2"/>
  <c r="Z38" i="2"/>
  <c r="O38" i="2"/>
  <c r="AE38" i="2"/>
  <c r="U38" i="2"/>
  <c r="X38" i="2"/>
  <c r="M38" i="2"/>
  <c r="AD38" i="2"/>
  <c r="AF38" i="2"/>
  <c r="R38" i="2"/>
  <c r="F38" i="2"/>
  <c r="G38" i="2"/>
  <c r="V38" i="2"/>
  <c r="L38" i="2"/>
  <c r="Q38" i="2"/>
  <c r="Y38" i="2"/>
  <c r="H38" i="2"/>
  <c r="J38" i="2"/>
  <c r="W38" i="2"/>
  <c r="P38" i="2"/>
  <c r="AA38" i="2"/>
  <c r="S38" i="2"/>
  <c r="AA449" i="1"/>
  <c r="AA281" i="1"/>
  <c r="AA272" i="1"/>
  <c r="AA455" i="1"/>
  <c r="AA322" i="1"/>
  <c r="AA314" i="1"/>
  <c r="AA278" i="1"/>
  <c r="AA318" i="1"/>
  <c r="E77" i="2"/>
  <c r="AA320" i="1"/>
  <c r="AA324" i="1"/>
  <c r="AA316" i="1"/>
  <c r="E305" i="2" s="1"/>
  <c r="AC229" i="2"/>
  <c r="Q229" i="2"/>
  <c r="Y229" i="2"/>
  <c r="AE229" i="2"/>
  <c r="K229" i="2"/>
  <c r="T229" i="2"/>
  <c r="R229" i="2"/>
  <c r="N229" i="2"/>
  <c r="Z229" i="2"/>
  <c r="O229" i="2"/>
  <c r="X229" i="2"/>
  <c r="AF229" i="2"/>
  <c r="AD229" i="2"/>
  <c r="G229" i="2"/>
  <c r="M229" i="2"/>
  <c r="H229" i="2"/>
  <c r="U229" i="2"/>
  <c r="W229" i="2"/>
  <c r="L229" i="2"/>
  <c r="AA229" i="2"/>
  <c r="P229" i="2"/>
  <c r="V229" i="2"/>
  <c r="J229" i="2"/>
  <c r="S229" i="2"/>
  <c r="AB229" i="2"/>
  <c r="F229" i="2"/>
  <c r="Q29" i="2"/>
  <c r="AC207" i="2"/>
  <c r="V29" i="2"/>
  <c r="AD29" i="2"/>
  <c r="P29" i="2"/>
  <c r="V220" i="2"/>
  <c r="R220" i="2"/>
  <c r="N220" i="2"/>
  <c r="K29" i="2"/>
  <c r="U220" i="2"/>
  <c r="L207" i="2"/>
  <c r="U281" i="1"/>
  <c r="U320" i="1"/>
  <c r="U318" i="1"/>
  <c r="U278" i="1"/>
  <c r="X207" i="2"/>
  <c r="N207" i="2"/>
  <c r="W29" i="2"/>
  <c r="AB220" i="2"/>
  <c r="U29" i="2"/>
  <c r="X29" i="2"/>
  <c r="AE220" i="2"/>
  <c r="O29" i="2"/>
  <c r="U322" i="1"/>
  <c r="U314" i="1"/>
  <c r="E258" i="2" s="1"/>
  <c r="U207" i="2"/>
  <c r="S207" i="2"/>
  <c r="M207" i="2"/>
  <c r="Q207" i="2"/>
  <c r="O207" i="2"/>
  <c r="V207" i="2"/>
  <c r="P207" i="2"/>
  <c r="T207" i="2"/>
  <c r="AB207" i="2"/>
  <c r="AD207" i="2"/>
  <c r="Y207" i="2"/>
  <c r="AE207" i="2"/>
  <c r="AA207" i="2"/>
  <c r="AF207" i="2"/>
  <c r="W207" i="2"/>
  <c r="R207" i="2"/>
  <c r="Z207" i="2"/>
  <c r="I29" i="2"/>
  <c r="M220" i="2"/>
  <c r="S220" i="2"/>
  <c r="O220" i="2"/>
  <c r="Y220" i="2"/>
  <c r="AB29" i="2"/>
  <c r="Q220" i="2"/>
  <c r="F29" i="2"/>
  <c r="X220" i="2"/>
  <c r="T220" i="2"/>
  <c r="G220" i="2"/>
  <c r="R29" i="2"/>
  <c r="H220" i="2"/>
  <c r="AC29" i="2"/>
  <c r="P220" i="2"/>
  <c r="W220" i="2"/>
  <c r="AE29" i="2"/>
  <c r="H281" i="1"/>
  <c r="H449" i="1"/>
  <c r="H455" i="1"/>
  <c r="E47" i="2"/>
  <c r="H318" i="1"/>
  <c r="H278" i="1"/>
  <c r="H320" i="1"/>
  <c r="H316" i="1"/>
  <c r="E275" i="2" s="1"/>
  <c r="H314" i="1"/>
  <c r="H322" i="1"/>
  <c r="H324" i="1"/>
  <c r="H272" i="1"/>
  <c r="M316" i="1"/>
  <c r="E283" i="2" s="1"/>
  <c r="M322" i="1"/>
  <c r="M278" i="1"/>
  <c r="M324" i="1"/>
  <c r="M449" i="1"/>
  <c r="E55" i="2"/>
  <c r="M272" i="1"/>
  <c r="M318" i="1"/>
  <c r="M281" i="1"/>
  <c r="M320" i="1"/>
  <c r="M455" i="1"/>
  <c r="M314" i="1"/>
  <c r="AF29" i="2"/>
  <c r="Z29" i="2"/>
  <c r="AA220" i="2"/>
  <c r="K220" i="2"/>
  <c r="N29" i="2"/>
  <c r="AA29" i="2"/>
  <c r="G29" i="2"/>
  <c r="H29" i="2"/>
  <c r="F220" i="2"/>
  <c r="T29" i="2"/>
  <c r="Y29" i="2"/>
  <c r="S29" i="2"/>
  <c r="J29" i="2"/>
  <c r="M29" i="2"/>
  <c r="Y455" i="1"/>
  <c r="E74" i="2"/>
  <c r="Y324" i="1"/>
  <c r="Y314" i="1"/>
  <c r="Y449" i="1"/>
  <c r="Y316" i="1"/>
  <c r="E302" i="2" s="1"/>
  <c r="Y322" i="1"/>
  <c r="Y281" i="1"/>
  <c r="Y278" i="1"/>
  <c r="Y272" i="1"/>
  <c r="Y318" i="1"/>
  <c r="Y320" i="1"/>
  <c r="S320" i="1"/>
  <c r="S449" i="1"/>
  <c r="E64" i="2"/>
  <c r="S322" i="1"/>
  <c r="S272" i="1"/>
  <c r="S281" i="1"/>
  <c r="S314" i="1"/>
  <c r="S278" i="1"/>
  <c r="S316" i="1"/>
  <c r="E292" i="2" s="1"/>
  <c r="S324" i="1"/>
  <c r="S318" i="1"/>
  <c r="S455" i="1"/>
  <c r="I223" i="2"/>
  <c r="X223" i="2"/>
  <c r="W223" i="2"/>
  <c r="G223" i="2"/>
  <c r="S223" i="2"/>
  <c r="K223" i="2"/>
  <c r="N223" i="2"/>
  <c r="F223" i="2"/>
  <c r="M223" i="2"/>
  <c r="T223" i="2"/>
  <c r="U223" i="2"/>
  <c r="AD223" i="2"/>
  <c r="R223" i="2"/>
  <c r="J223" i="2"/>
  <c r="O223" i="2"/>
  <c r="AC223" i="2"/>
  <c r="V223" i="2"/>
  <c r="AB223" i="2"/>
  <c r="AF223" i="2"/>
  <c r="P223" i="2"/>
  <c r="H223" i="2"/>
  <c r="Z223" i="2"/>
  <c r="Q223" i="2"/>
  <c r="AE223" i="2"/>
  <c r="Y223" i="2"/>
  <c r="AA223" i="2"/>
  <c r="L223" i="2"/>
  <c r="K203" i="15"/>
  <c r="K205" i="15" s="1"/>
  <c r="K35" i="15" s="1"/>
  <c r="F316" i="2"/>
  <c r="F452" i="2"/>
  <c r="F470" i="2"/>
  <c r="Q545" i="2"/>
  <c r="Q568" i="2" s="1"/>
  <c r="R545" i="2"/>
  <c r="R568" i="2" s="1"/>
  <c r="P545" i="2"/>
  <c r="E10" i="2"/>
  <c r="W104" i="1"/>
  <c r="W124" i="1" s="1"/>
  <c r="W126" i="1" s="1"/>
  <c r="I452" i="2"/>
  <c r="I453" i="2" s="1"/>
  <c r="E217" i="2"/>
  <c r="AD215" i="2"/>
  <c r="W215" i="2"/>
  <c r="M215" i="2"/>
  <c r="X215" i="2"/>
  <c r="P215" i="2"/>
  <c r="H215" i="2"/>
  <c r="AF215" i="2"/>
  <c r="Q215" i="2"/>
  <c r="K215" i="2"/>
  <c r="S215" i="2"/>
  <c r="AA215" i="2"/>
  <c r="G215" i="2"/>
  <c r="T215" i="2"/>
  <c r="T217" i="2" s="1"/>
  <c r="V215" i="2"/>
  <c r="Z215" i="2"/>
  <c r="I215" i="2"/>
  <c r="Y215" i="2"/>
  <c r="R215" i="2"/>
  <c r="AB215" i="2"/>
  <c r="U215" i="2"/>
  <c r="AC215" i="2"/>
  <c r="O215" i="2"/>
  <c r="F215" i="2"/>
  <c r="AE215" i="2"/>
  <c r="N215" i="2"/>
  <c r="L215" i="2"/>
  <c r="J215" i="2"/>
  <c r="F446" i="2"/>
  <c r="I450" i="1"/>
  <c r="I274" i="1"/>
  <c r="I273" i="1"/>
  <c r="I451" i="1"/>
  <c r="I270" i="1"/>
  <c r="I447" i="1"/>
  <c r="J203" i="15"/>
  <c r="S84" i="15"/>
  <c r="J12" i="15" s="1"/>
  <c r="H452" i="2"/>
  <c r="H453" i="2" s="1"/>
  <c r="I99" i="1"/>
  <c r="I452" i="1"/>
  <c r="I275" i="1"/>
  <c r="I269" i="1"/>
  <c r="I448" i="1"/>
  <c r="I277" i="1"/>
  <c r="I454" i="1"/>
  <c r="I453" i="1"/>
  <c r="I271" i="1"/>
  <c r="I446" i="1"/>
  <c r="I276" i="1"/>
  <c r="K477" i="2"/>
  <c r="K480" i="2" s="1"/>
  <c r="K481" i="2" s="1"/>
  <c r="K482" i="2" s="1"/>
  <c r="K473" i="2"/>
  <c r="K474" i="2" s="1"/>
  <c r="K475" i="2" s="1"/>
  <c r="AF226" i="2"/>
  <c r="U226" i="2"/>
  <c r="AD226" i="2"/>
  <c r="V226" i="2"/>
  <c r="P226" i="2"/>
  <c r="L226" i="2"/>
  <c r="X226" i="2"/>
  <c r="N226" i="2"/>
  <c r="Y226" i="2"/>
  <c r="W226" i="2"/>
  <c r="AA226" i="2"/>
  <c r="O226" i="2"/>
  <c r="AC226" i="2"/>
  <c r="S226" i="2"/>
  <c r="K226" i="2"/>
  <c r="AB226" i="2"/>
  <c r="G226" i="2"/>
  <c r="AE226" i="2"/>
  <c r="Z226" i="2"/>
  <c r="F226" i="2"/>
  <c r="Q226" i="2"/>
  <c r="R226" i="2"/>
  <c r="T226" i="2"/>
  <c r="M226" i="2"/>
  <c r="H226" i="2"/>
  <c r="I226" i="2"/>
  <c r="J226" i="2"/>
  <c r="E200" i="2"/>
  <c r="H593" i="2" l="1"/>
  <c r="H619" i="2"/>
  <c r="H621" i="2" s="1"/>
  <c r="J593" i="2"/>
  <c r="J619" i="2"/>
  <c r="J621" i="2" s="1"/>
  <c r="K619" i="2"/>
  <c r="K621" i="2" s="1"/>
  <c r="K593" i="2"/>
  <c r="L619" i="2"/>
  <c r="L621" i="2" s="1"/>
  <c r="L593" i="2"/>
  <c r="M619" i="2"/>
  <c r="M621" i="2" s="1"/>
  <c r="M593" i="2"/>
  <c r="AB309" i="1"/>
  <c r="AC309" i="1" s="1"/>
  <c r="G619" i="2"/>
  <c r="G593" i="2"/>
  <c r="I619" i="2"/>
  <c r="I593" i="2"/>
  <c r="P231" i="1"/>
  <c r="P235" i="1" s="1"/>
  <c r="AB229" i="1"/>
  <c r="AC229" i="1" s="1"/>
  <c r="P12" i="1"/>
  <c r="AB68" i="1"/>
  <c r="AC68" i="1" s="1"/>
  <c r="AB70" i="1"/>
  <c r="AC70" i="1" s="1"/>
  <c r="P410" i="1"/>
  <c r="P412" i="1" s="1"/>
  <c r="P414" i="1" s="1"/>
  <c r="AB77" i="1"/>
  <c r="AC77" i="1" s="1"/>
  <c r="AB9" i="1"/>
  <c r="AC9" i="1" s="1"/>
  <c r="AB64" i="1"/>
  <c r="AC64" i="1" s="1"/>
  <c r="AB10" i="1"/>
  <c r="AC10" i="1" s="1"/>
  <c r="AB67" i="1"/>
  <c r="AC67" i="1" s="1"/>
  <c r="AB65" i="1"/>
  <c r="AC65" i="1" s="1"/>
  <c r="AB408" i="1"/>
  <c r="AC408" i="1" s="1"/>
  <c r="AB58" i="1"/>
  <c r="AC58" i="1" s="1"/>
  <c r="AB141" i="1"/>
  <c r="AC141" i="1" s="1"/>
  <c r="AB69" i="1"/>
  <c r="AC69" i="1" s="1"/>
  <c r="P75" i="1"/>
  <c r="P307" i="1" s="1"/>
  <c r="AB71" i="1"/>
  <c r="AC71" i="1" s="1"/>
  <c r="AB72" i="1"/>
  <c r="AC72" i="1" s="1"/>
  <c r="Y458" i="1"/>
  <c r="Y460" i="1" s="1"/>
  <c r="Y462" i="1" s="1"/>
  <c r="E188" i="2" s="1"/>
  <c r="AF188" i="2" s="1"/>
  <c r="AB63" i="1"/>
  <c r="AC63" i="1" s="1"/>
  <c r="O75" i="1"/>
  <c r="E466" i="2"/>
  <c r="AG464" i="2"/>
  <c r="AH464" i="2" s="1"/>
  <c r="X459" i="2"/>
  <c r="X460" i="2" s="1"/>
  <c r="S459" i="2"/>
  <c r="S460" i="2" s="1"/>
  <c r="AC459" i="2"/>
  <c r="AC460" i="2" s="1"/>
  <c r="AF459" i="2"/>
  <c r="AF460" i="2" s="1"/>
  <c r="AD459" i="2"/>
  <c r="AD460" i="2" s="1"/>
  <c r="Q459" i="2"/>
  <c r="Q460" i="2" s="1"/>
  <c r="I459" i="2"/>
  <c r="I460" i="2" s="1"/>
  <c r="AB459" i="2"/>
  <c r="AB460" i="2" s="1"/>
  <c r="V459" i="2"/>
  <c r="V460" i="2" s="1"/>
  <c r="U459" i="2"/>
  <c r="U460" i="2" s="1"/>
  <c r="R459" i="2"/>
  <c r="R460" i="2" s="1"/>
  <c r="AA459" i="2"/>
  <c r="AA460" i="2" s="1"/>
  <c r="L459" i="2"/>
  <c r="L460" i="2" s="1"/>
  <c r="Y459" i="2"/>
  <c r="Y460" i="2" s="1"/>
  <c r="H459" i="2"/>
  <c r="H460" i="2" s="1"/>
  <c r="G459" i="2"/>
  <c r="G460" i="2" s="1"/>
  <c r="N459" i="2"/>
  <c r="N460" i="2" s="1"/>
  <c r="Z459" i="2"/>
  <c r="Z460" i="2" s="1"/>
  <c r="E460" i="2"/>
  <c r="W459" i="2"/>
  <c r="W460" i="2" s="1"/>
  <c r="AE459" i="2"/>
  <c r="AE460" i="2" s="1"/>
  <c r="O459" i="2"/>
  <c r="O460" i="2" s="1"/>
  <c r="F459" i="2"/>
  <c r="J459" i="2"/>
  <c r="J460" i="2" s="1"/>
  <c r="T459" i="2"/>
  <c r="T460" i="2" s="1"/>
  <c r="P459" i="2"/>
  <c r="P460" i="2" s="1"/>
  <c r="M459" i="2"/>
  <c r="M460" i="2" s="1"/>
  <c r="K459" i="2"/>
  <c r="K460" i="2" s="1"/>
  <c r="O410" i="1"/>
  <c r="AB392" i="1"/>
  <c r="AC392" i="1" s="1"/>
  <c r="O231" i="1"/>
  <c r="AB215" i="1"/>
  <c r="AC215" i="1" s="1"/>
  <c r="AB8" i="1"/>
  <c r="AC8" i="1" s="1"/>
  <c r="O12" i="1"/>
  <c r="AF217" i="2"/>
  <c r="Z26" i="2"/>
  <c r="AB291" i="2"/>
  <c r="U291" i="2"/>
  <c r="S291" i="2"/>
  <c r="E293" i="2"/>
  <c r="R291" i="2"/>
  <c r="I291" i="2"/>
  <c r="M291" i="2"/>
  <c r="H291" i="2"/>
  <c r="AD291" i="2"/>
  <c r="J291" i="2"/>
  <c r="AA291" i="2"/>
  <c r="F291" i="2"/>
  <c r="AC26" i="2"/>
  <c r="Z291" i="2"/>
  <c r="V291" i="2"/>
  <c r="X291" i="2"/>
  <c r="AA217" i="2"/>
  <c r="T26" i="2"/>
  <c r="AE26" i="2"/>
  <c r="S26" i="2"/>
  <c r="X26" i="2"/>
  <c r="AF26" i="2"/>
  <c r="P217" i="2"/>
  <c r="P253" i="2"/>
  <c r="AB26" i="2"/>
  <c r="L217" i="2"/>
  <c r="G63" i="2"/>
  <c r="K217" i="2"/>
  <c r="M26" i="2"/>
  <c r="AA26" i="2"/>
  <c r="K26" i="2"/>
  <c r="W63" i="2"/>
  <c r="G217" i="2"/>
  <c r="E65" i="2"/>
  <c r="Z63" i="2"/>
  <c r="O217" i="2"/>
  <c r="W217" i="2"/>
  <c r="H26" i="2"/>
  <c r="J26" i="2"/>
  <c r="AE217" i="2"/>
  <c r="Q217" i="2"/>
  <c r="AC253" i="2"/>
  <c r="Z217" i="2"/>
  <c r="N253" i="2"/>
  <c r="AD26" i="2"/>
  <c r="N217" i="2"/>
  <c r="Q26" i="2"/>
  <c r="V26" i="2"/>
  <c r="J217" i="2"/>
  <c r="H217" i="2"/>
  <c r="N26" i="2"/>
  <c r="U217" i="2"/>
  <c r="O26" i="2"/>
  <c r="AD217" i="2"/>
  <c r="X217" i="2"/>
  <c r="AB217" i="2"/>
  <c r="AC217" i="2"/>
  <c r="I217" i="2"/>
  <c r="Y26" i="2"/>
  <c r="K283" i="1"/>
  <c r="K285" i="1" s="1"/>
  <c r="K129" i="1" s="1"/>
  <c r="K133" i="1" s="1"/>
  <c r="K144" i="1" s="1"/>
  <c r="E90" i="2" s="1"/>
  <c r="E525" i="2" s="1"/>
  <c r="AH525" i="2" s="1"/>
  <c r="AG25" i="2"/>
  <c r="AH25" i="2" s="1"/>
  <c r="AG216" i="2"/>
  <c r="AH216" i="2" s="1"/>
  <c r="I26" i="2"/>
  <c r="M217" i="2"/>
  <c r="H253" i="2"/>
  <c r="V253" i="2"/>
  <c r="L26" i="2"/>
  <c r="P26" i="2"/>
  <c r="R217" i="2"/>
  <c r="L253" i="2"/>
  <c r="Z253" i="2"/>
  <c r="W26" i="2"/>
  <c r="AG35" i="2"/>
  <c r="AH35" i="2" s="1"/>
  <c r="V217" i="2"/>
  <c r="S217" i="2"/>
  <c r="Y217" i="2"/>
  <c r="M63" i="2"/>
  <c r="V63" i="2"/>
  <c r="AF63" i="2"/>
  <c r="X63" i="2"/>
  <c r="AE63" i="2"/>
  <c r="AG24" i="2"/>
  <c r="AH24" i="2" s="1"/>
  <c r="G291" i="2"/>
  <c r="AC291" i="2"/>
  <c r="K291" i="2"/>
  <c r="O291" i="2"/>
  <c r="W291" i="2"/>
  <c r="AE291" i="2"/>
  <c r="N291" i="2"/>
  <c r="G26" i="2"/>
  <c r="AD283" i="2"/>
  <c r="AD63" i="2"/>
  <c r="U26" i="2"/>
  <c r="J63" i="2"/>
  <c r="U63" i="2"/>
  <c r="T63" i="2"/>
  <c r="AB63" i="2"/>
  <c r="T291" i="2"/>
  <c r="Y291" i="2"/>
  <c r="Q291" i="2"/>
  <c r="P291" i="2"/>
  <c r="AF291" i="2"/>
  <c r="R296" i="2"/>
  <c r="N63" i="2"/>
  <c r="Q63" i="2"/>
  <c r="AA63" i="2"/>
  <c r="H63" i="2"/>
  <c r="O63" i="2"/>
  <c r="Y63" i="2"/>
  <c r="I63" i="2"/>
  <c r="R63" i="2"/>
  <c r="F63" i="2"/>
  <c r="AC63" i="2"/>
  <c r="P63" i="2"/>
  <c r="L63" i="2"/>
  <c r="S63" i="2"/>
  <c r="G296" i="2"/>
  <c r="F253" i="2"/>
  <c r="J253" i="2"/>
  <c r="I253" i="2"/>
  <c r="AF253" i="2"/>
  <c r="K253" i="2"/>
  <c r="AD253" i="2"/>
  <c r="U253" i="2"/>
  <c r="O253" i="2"/>
  <c r="T253" i="2"/>
  <c r="Y253" i="2"/>
  <c r="X253" i="2"/>
  <c r="AB253" i="2"/>
  <c r="G253" i="2"/>
  <c r="S253" i="2"/>
  <c r="AG32" i="2"/>
  <c r="AH32" i="2" s="1"/>
  <c r="W253" i="2"/>
  <c r="R253" i="2"/>
  <c r="AA253" i="2"/>
  <c r="Q253" i="2"/>
  <c r="AE253" i="2"/>
  <c r="R458" i="1"/>
  <c r="R460" i="1" s="1"/>
  <c r="R462" i="1" s="1"/>
  <c r="E177" i="2" s="1"/>
  <c r="W177" i="2" s="1"/>
  <c r="T283" i="2"/>
  <c r="AC296" i="2"/>
  <c r="R283" i="1"/>
  <c r="R285" i="1" s="1"/>
  <c r="R129" i="1" s="1"/>
  <c r="R133" i="1" s="1"/>
  <c r="R144" i="1" s="1"/>
  <c r="E101" i="2" s="1"/>
  <c r="V296" i="2"/>
  <c r="R326" i="1"/>
  <c r="U458" i="1"/>
  <c r="U460" i="1" s="1"/>
  <c r="U462" i="1" s="1"/>
  <c r="E182" i="2" s="1"/>
  <c r="W182" i="2" s="1"/>
  <c r="L68" i="2"/>
  <c r="G68" i="2"/>
  <c r="M68" i="2"/>
  <c r="U68" i="2"/>
  <c r="AF68" i="2"/>
  <c r="J68" i="2"/>
  <c r="J296" i="2"/>
  <c r="K296" i="2"/>
  <c r="K326" i="1"/>
  <c r="Y68" i="2"/>
  <c r="F68" i="2"/>
  <c r="I68" i="2"/>
  <c r="P296" i="2"/>
  <c r="N68" i="2"/>
  <c r="U296" i="2"/>
  <c r="W68" i="2"/>
  <c r="Z68" i="2"/>
  <c r="X68" i="2"/>
  <c r="S68" i="2"/>
  <c r="AA68" i="2"/>
  <c r="N296" i="2"/>
  <c r="AA296" i="2"/>
  <c r="T296" i="2"/>
  <c r="L296" i="2"/>
  <c r="AE68" i="2"/>
  <c r="I296" i="2"/>
  <c r="Q296" i="2"/>
  <c r="AE296" i="2"/>
  <c r="S296" i="2"/>
  <c r="O68" i="2"/>
  <c r="V68" i="2"/>
  <c r="AD296" i="2"/>
  <c r="M296" i="2"/>
  <c r="F296" i="2"/>
  <c r="U326" i="1"/>
  <c r="X296" i="2"/>
  <c r="AG229" i="2"/>
  <c r="AH229" i="2" s="1"/>
  <c r="AD68" i="2"/>
  <c r="P68" i="2"/>
  <c r="T68" i="2"/>
  <c r="AC68" i="2"/>
  <c r="W296" i="2"/>
  <c r="O296" i="2"/>
  <c r="AF296" i="2"/>
  <c r="Y296" i="2"/>
  <c r="Z296" i="2"/>
  <c r="H296" i="2"/>
  <c r="AA458" i="1"/>
  <c r="AA460" i="1" s="1"/>
  <c r="AA462" i="1" s="1"/>
  <c r="E191" i="2" s="1"/>
  <c r="AA191" i="2" s="1"/>
  <c r="M458" i="1"/>
  <c r="M460" i="1" s="1"/>
  <c r="M462" i="1" s="1"/>
  <c r="E169" i="2" s="1"/>
  <c r="G169" i="2" s="1"/>
  <c r="H283" i="1"/>
  <c r="H285" i="1" s="1"/>
  <c r="E123" i="2" s="1"/>
  <c r="AG38" i="2"/>
  <c r="AH38" i="2" s="1"/>
  <c r="H68" i="2"/>
  <c r="Q68" i="2"/>
  <c r="K68" i="2"/>
  <c r="R68" i="2"/>
  <c r="I77" i="2"/>
  <c r="Q77" i="2"/>
  <c r="AB77" i="2"/>
  <c r="Y77" i="2"/>
  <c r="AA77" i="2"/>
  <c r="L77" i="2"/>
  <c r="M77" i="2"/>
  <c r="AC77" i="2"/>
  <c r="T77" i="2"/>
  <c r="W77" i="2"/>
  <c r="F77" i="2"/>
  <c r="K77" i="2"/>
  <c r="O77" i="2"/>
  <c r="H77" i="2"/>
  <c r="G77" i="2"/>
  <c r="AD77" i="2"/>
  <c r="AF77" i="2"/>
  <c r="N77" i="2"/>
  <c r="V77" i="2"/>
  <c r="P77" i="2"/>
  <c r="S77" i="2"/>
  <c r="U77" i="2"/>
  <c r="Z77" i="2"/>
  <c r="AE77" i="2"/>
  <c r="X77" i="2"/>
  <c r="R77" i="2"/>
  <c r="J77" i="2"/>
  <c r="E267" i="2"/>
  <c r="AA326" i="1"/>
  <c r="O305" i="2"/>
  <c r="AE305" i="2"/>
  <c r="K305" i="2"/>
  <c r="N305" i="2"/>
  <c r="T305" i="2"/>
  <c r="Y305" i="2"/>
  <c r="I305" i="2"/>
  <c r="X305" i="2"/>
  <c r="V305" i="2"/>
  <c r="G305" i="2"/>
  <c r="AB305" i="2"/>
  <c r="AC305" i="2"/>
  <c r="R305" i="2"/>
  <c r="H305" i="2"/>
  <c r="L305" i="2"/>
  <c r="S305" i="2"/>
  <c r="U305" i="2"/>
  <c r="P305" i="2"/>
  <c r="W305" i="2"/>
  <c r="M305" i="2"/>
  <c r="F305" i="2"/>
  <c r="AF305" i="2"/>
  <c r="Q305" i="2"/>
  <c r="J305" i="2"/>
  <c r="AA305" i="2"/>
  <c r="Z305" i="2"/>
  <c r="AD305" i="2"/>
  <c r="U283" i="1"/>
  <c r="U285" i="1" s="1"/>
  <c r="E144" i="2" s="1"/>
  <c r="AA283" i="1"/>
  <c r="AA285" i="1" s="1"/>
  <c r="I101" i="1"/>
  <c r="I104" i="1" s="1"/>
  <c r="AG29" i="2"/>
  <c r="AH29" i="2" s="1"/>
  <c r="AG220" i="2"/>
  <c r="AH220" i="2" s="1"/>
  <c r="M283" i="1"/>
  <c r="M285" i="1" s="1"/>
  <c r="R283" i="2"/>
  <c r="X283" i="2"/>
  <c r="AC283" i="2"/>
  <c r="Z283" i="2"/>
  <c r="Y283" i="1"/>
  <c r="Y285" i="1" s="1"/>
  <c r="Y287" i="1" s="1"/>
  <c r="V283" i="2"/>
  <c r="O55" i="2"/>
  <c r="U55" i="2"/>
  <c r="Q55" i="2"/>
  <c r="S55" i="2"/>
  <c r="M55" i="2"/>
  <c r="R55" i="2"/>
  <c r="AC55" i="2"/>
  <c r="AD55" i="2"/>
  <c r="Z55" i="2"/>
  <c r="L55" i="2"/>
  <c r="AF55" i="2"/>
  <c r="G55" i="2"/>
  <c r="X55" i="2"/>
  <c r="V55" i="2"/>
  <c r="T55" i="2"/>
  <c r="Y55" i="2"/>
  <c r="AE55" i="2"/>
  <c r="AB55" i="2"/>
  <c r="W55" i="2"/>
  <c r="N55" i="2"/>
  <c r="P55" i="2"/>
  <c r="AA55" i="2"/>
  <c r="E237" i="2"/>
  <c r="H326" i="1"/>
  <c r="H458" i="1"/>
  <c r="H460" i="1" s="1"/>
  <c r="H462" i="1" s="1"/>
  <c r="E161" i="2" s="1"/>
  <c r="AE283" i="2"/>
  <c r="AB283" i="2"/>
  <c r="S283" i="2"/>
  <c r="M283" i="2"/>
  <c r="W283" i="2"/>
  <c r="AF283" i="2"/>
  <c r="Q283" i="2"/>
  <c r="N283" i="2"/>
  <c r="L283" i="2"/>
  <c r="U283" i="2"/>
  <c r="O283" i="2"/>
  <c r="G283" i="2"/>
  <c r="Y283" i="2"/>
  <c r="E245" i="2"/>
  <c r="K245" i="2" s="1"/>
  <c r="M326" i="1"/>
  <c r="AA283" i="2"/>
  <c r="P283" i="2"/>
  <c r="W278" i="1"/>
  <c r="W449" i="1"/>
  <c r="W314" i="1"/>
  <c r="W455" i="1"/>
  <c r="W281" i="1"/>
  <c r="W272" i="1"/>
  <c r="W320" i="1"/>
  <c r="W318" i="1"/>
  <c r="W322" i="1"/>
  <c r="E71" i="2"/>
  <c r="W324" i="1"/>
  <c r="W316" i="1"/>
  <c r="E299" i="2" s="1"/>
  <c r="F338" i="2"/>
  <c r="AG316" i="2"/>
  <c r="AH316" i="2" s="1"/>
  <c r="E264" i="2"/>
  <c r="Y326" i="1"/>
  <c r="F217" i="2"/>
  <c r="AG215" i="2"/>
  <c r="AH215" i="2" s="1"/>
  <c r="R593" i="2"/>
  <c r="R619" i="2"/>
  <c r="E254" i="2"/>
  <c r="S326" i="1"/>
  <c r="F64" i="2"/>
  <c r="AC64" i="2"/>
  <c r="P64" i="2"/>
  <c r="S64" i="2"/>
  <c r="AF64" i="2"/>
  <c r="Y64" i="2"/>
  <c r="T64" i="2"/>
  <c r="Z64" i="2"/>
  <c r="L64" i="2"/>
  <c r="W64" i="2"/>
  <c r="V64" i="2"/>
  <c r="M64" i="2"/>
  <c r="K64" i="2"/>
  <c r="K65" i="2" s="1"/>
  <c r="X64" i="2"/>
  <c r="AE64" i="2"/>
  <c r="O64" i="2"/>
  <c r="AB64" i="2"/>
  <c r="J64" i="2"/>
  <c r="U64" i="2"/>
  <c r="I64" i="2"/>
  <c r="Q64" i="2"/>
  <c r="AA64" i="2"/>
  <c r="R64" i="2"/>
  <c r="G64" i="2"/>
  <c r="AD64" i="2"/>
  <c r="H64" i="2"/>
  <c r="N64" i="2"/>
  <c r="AB258" i="2"/>
  <c r="AE258" i="2"/>
  <c r="O258" i="2"/>
  <c r="Q258" i="2"/>
  <c r="R258" i="2"/>
  <c r="AF258" i="2"/>
  <c r="X258" i="2"/>
  <c r="M258" i="2"/>
  <c r="Y258" i="2"/>
  <c r="L258" i="2"/>
  <c r="V258" i="2"/>
  <c r="AC258" i="2"/>
  <c r="I258" i="2"/>
  <c r="AA258" i="2"/>
  <c r="T258" i="2"/>
  <c r="Z258" i="2"/>
  <c r="W258" i="2"/>
  <c r="U258" i="2"/>
  <c r="P258" i="2"/>
  <c r="K258" i="2"/>
  <c r="F258" i="2"/>
  <c r="G258" i="2"/>
  <c r="H258" i="2"/>
  <c r="J258" i="2"/>
  <c r="N258" i="2"/>
  <c r="AD258" i="2"/>
  <c r="S258" i="2"/>
  <c r="H477" i="2"/>
  <c r="H480" i="2" s="1"/>
  <c r="H481" i="2" s="1"/>
  <c r="H482" i="2" s="1"/>
  <c r="H473" i="2"/>
  <c r="H474" i="2" s="1"/>
  <c r="H475" i="2" s="1"/>
  <c r="E201" i="2"/>
  <c r="AG226" i="2"/>
  <c r="AH226" i="2" s="1"/>
  <c r="K207" i="2"/>
  <c r="K16" i="2"/>
  <c r="K55" i="2"/>
  <c r="J435" i="2"/>
  <c r="AG435" i="2" s="1"/>
  <c r="J25" i="15"/>
  <c r="E435" i="2" s="1"/>
  <c r="I477" i="2"/>
  <c r="I480" i="2" s="1"/>
  <c r="I481" i="2" s="1"/>
  <c r="I482" i="2" s="1"/>
  <c r="I473" i="2"/>
  <c r="I474" i="2" s="1"/>
  <c r="I475" i="2" s="1"/>
  <c r="F453" i="2"/>
  <c r="AC292" i="2"/>
  <c r="I292" i="2"/>
  <c r="N292" i="2"/>
  <c r="T292" i="2"/>
  <c r="AB292" i="2"/>
  <c r="G292" i="2"/>
  <c r="AF292" i="2"/>
  <c r="M292" i="2"/>
  <c r="Q292" i="2"/>
  <c r="W292" i="2"/>
  <c r="K292" i="2"/>
  <c r="V292" i="2"/>
  <c r="J292" i="2"/>
  <c r="X292" i="2"/>
  <c r="Y292" i="2"/>
  <c r="AA292" i="2"/>
  <c r="H292" i="2"/>
  <c r="AD292" i="2"/>
  <c r="Z292" i="2"/>
  <c r="O292" i="2"/>
  <c r="AE292" i="2"/>
  <c r="R292" i="2"/>
  <c r="S292" i="2"/>
  <c r="U292" i="2"/>
  <c r="L292" i="2"/>
  <c r="L293" i="2" s="1"/>
  <c r="P292" i="2"/>
  <c r="F292" i="2"/>
  <c r="S458" i="1"/>
  <c r="S460" i="1" s="1"/>
  <c r="S462" i="1" s="1"/>
  <c r="E178" i="2" s="1"/>
  <c r="U302" i="2"/>
  <c r="X302" i="2"/>
  <c r="AD302" i="2"/>
  <c r="Y302" i="2"/>
  <c r="W302" i="2"/>
  <c r="AF302" i="2"/>
  <c r="S302" i="2"/>
  <c r="N302" i="2"/>
  <c r="AC302" i="2"/>
  <c r="AB302" i="2"/>
  <c r="P302" i="2"/>
  <c r="L302" i="2"/>
  <c r="AA302" i="2"/>
  <c r="K302" i="2"/>
  <c r="Z302" i="2"/>
  <c r="O302" i="2"/>
  <c r="V302" i="2"/>
  <c r="G302" i="2"/>
  <c r="AE302" i="2"/>
  <c r="F302" i="2"/>
  <c r="Q302" i="2"/>
  <c r="R302" i="2"/>
  <c r="T302" i="2"/>
  <c r="M302" i="2"/>
  <c r="H302" i="2"/>
  <c r="I302" i="2"/>
  <c r="J302" i="2"/>
  <c r="AA74" i="2"/>
  <c r="X74" i="2"/>
  <c r="AD74" i="2"/>
  <c r="U74" i="2"/>
  <c r="N74" i="2"/>
  <c r="Z74" i="2"/>
  <c r="S74" i="2"/>
  <c r="AB74" i="2"/>
  <c r="L74" i="2"/>
  <c r="Y74" i="2"/>
  <c r="AC74" i="2"/>
  <c r="AE74" i="2"/>
  <c r="W74" i="2"/>
  <c r="AF74" i="2"/>
  <c r="O74" i="2"/>
  <c r="K74" i="2"/>
  <c r="P74" i="2"/>
  <c r="V74" i="2"/>
  <c r="G74" i="2"/>
  <c r="F74" i="2"/>
  <c r="R74" i="2"/>
  <c r="Q74" i="2"/>
  <c r="M74" i="2"/>
  <c r="H74" i="2"/>
  <c r="T74" i="2"/>
  <c r="J74" i="2"/>
  <c r="I74" i="2"/>
  <c r="F477" i="2"/>
  <c r="F473" i="2"/>
  <c r="L203" i="15"/>
  <c r="L205" i="15" s="1"/>
  <c r="L35" i="15" s="1"/>
  <c r="F545" i="2"/>
  <c r="F568" i="2" s="1"/>
  <c r="AG516" i="2"/>
  <c r="K283" i="2"/>
  <c r="J205" i="15"/>
  <c r="J35" i="15" s="1"/>
  <c r="Q593" i="2"/>
  <c r="Q619" i="2"/>
  <c r="AG223" i="2"/>
  <c r="AH223" i="2" s="1"/>
  <c r="S283" i="1"/>
  <c r="S285" i="1" s="1"/>
  <c r="AE177" i="2" l="1"/>
  <c r="P233" i="1"/>
  <c r="P264" i="1" s="1"/>
  <c r="P275" i="1" s="1"/>
  <c r="P237" i="1"/>
  <c r="E505" i="2"/>
  <c r="E514" i="2" s="1"/>
  <c r="P440" i="1"/>
  <c r="P273" i="1" s="1"/>
  <c r="P120" i="1"/>
  <c r="P121" i="1"/>
  <c r="P308" i="1"/>
  <c r="P312" i="1" s="1"/>
  <c r="E211" i="2" s="1"/>
  <c r="X211" i="2" s="1"/>
  <c r="P280" i="1"/>
  <c r="P122" i="1"/>
  <c r="P82" i="1"/>
  <c r="P98" i="1" s="1"/>
  <c r="P279" i="1"/>
  <c r="P456" i="1"/>
  <c r="P88" i="1"/>
  <c r="P91" i="1" s="1"/>
  <c r="P99" i="1" s="1"/>
  <c r="AA188" i="2"/>
  <c r="F188" i="2"/>
  <c r="U188" i="2"/>
  <c r="H188" i="2"/>
  <c r="V188" i="2"/>
  <c r="N188" i="2"/>
  <c r="J188" i="2"/>
  <c r="Z188" i="2"/>
  <c r="R188" i="2"/>
  <c r="AD188" i="2"/>
  <c r="W188" i="2"/>
  <c r="T188" i="2"/>
  <c r="G188" i="2"/>
  <c r="X188" i="2"/>
  <c r="M188" i="2"/>
  <c r="K188" i="2"/>
  <c r="AE188" i="2"/>
  <c r="AB188" i="2"/>
  <c r="P188" i="2"/>
  <c r="O188" i="2"/>
  <c r="I188" i="2"/>
  <c r="Q188" i="2"/>
  <c r="L188" i="2"/>
  <c r="Y188" i="2"/>
  <c r="S188" i="2"/>
  <c r="AC188" i="2"/>
  <c r="K461" i="2"/>
  <c r="E467" i="2"/>
  <c r="X466" i="2"/>
  <c r="X467" i="2" s="1"/>
  <c r="H466" i="2"/>
  <c r="H467" i="2" s="1"/>
  <c r="AD466" i="2"/>
  <c r="AD467" i="2" s="1"/>
  <c r="AB466" i="2"/>
  <c r="AB467" i="2" s="1"/>
  <c r="R466" i="2"/>
  <c r="R467" i="2" s="1"/>
  <c r="J466" i="2"/>
  <c r="J467" i="2" s="1"/>
  <c r="AC466" i="2"/>
  <c r="AC467" i="2" s="1"/>
  <c r="O466" i="2"/>
  <c r="O467" i="2" s="1"/>
  <c r="G466" i="2"/>
  <c r="G467" i="2" s="1"/>
  <c r="K466" i="2"/>
  <c r="K467" i="2" s="1"/>
  <c r="AE466" i="2"/>
  <c r="AE467" i="2" s="1"/>
  <c r="V466" i="2"/>
  <c r="V467" i="2" s="1"/>
  <c r="P466" i="2"/>
  <c r="P467" i="2" s="1"/>
  <c r="AA466" i="2"/>
  <c r="AA467" i="2" s="1"/>
  <c r="U466" i="2"/>
  <c r="U467" i="2" s="1"/>
  <c r="F466" i="2"/>
  <c r="M466" i="2"/>
  <c r="M467" i="2" s="1"/>
  <c r="Z466" i="2"/>
  <c r="Z467" i="2" s="1"/>
  <c r="S466" i="2"/>
  <c r="S467" i="2" s="1"/>
  <c r="L466" i="2"/>
  <c r="L467" i="2" s="1"/>
  <c r="Y466" i="2"/>
  <c r="Y467" i="2" s="1"/>
  <c r="AF466" i="2"/>
  <c r="AF467" i="2" s="1"/>
  <c r="I466" i="2"/>
  <c r="I467" i="2" s="1"/>
  <c r="N466" i="2"/>
  <c r="N467" i="2" s="1"/>
  <c r="T466" i="2"/>
  <c r="T467" i="2" s="1"/>
  <c r="W466" i="2"/>
  <c r="W467" i="2" s="1"/>
  <c r="Q466" i="2"/>
  <c r="Q467" i="2" s="1"/>
  <c r="AB12" i="1"/>
  <c r="AC12" i="1" s="1"/>
  <c r="O82" i="1"/>
  <c r="O235" i="1"/>
  <c r="AB235" i="1" s="1"/>
  <c r="AC235" i="1" s="1"/>
  <c r="AB231" i="1"/>
  <c r="AC231" i="1" s="1"/>
  <c r="O237" i="1"/>
  <c r="O233" i="1"/>
  <c r="F460" i="2"/>
  <c r="AG459" i="2"/>
  <c r="AH459" i="2" s="1"/>
  <c r="O461" i="2"/>
  <c r="AF461" i="2"/>
  <c r="AA461" i="2"/>
  <c r="T461" i="2"/>
  <c r="V461" i="2"/>
  <c r="Q461" i="2"/>
  <c r="M461" i="2"/>
  <c r="AE461" i="2"/>
  <c r="L461" i="2"/>
  <c r="S461" i="2"/>
  <c r="X461" i="2"/>
  <c r="Z461" i="2"/>
  <c r="R461" i="2"/>
  <c r="G461" i="2"/>
  <c r="P461" i="2"/>
  <c r="AD461" i="2"/>
  <c r="J461" i="2"/>
  <c r="AB461" i="2"/>
  <c r="AC461" i="2"/>
  <c r="U461" i="2"/>
  <c r="Y461" i="2"/>
  <c r="N461" i="2"/>
  <c r="I461" i="2"/>
  <c r="W461" i="2"/>
  <c r="H461" i="2"/>
  <c r="O412" i="1"/>
  <c r="AB410" i="1"/>
  <c r="AC410" i="1" s="1"/>
  <c r="O121" i="1"/>
  <c r="O280" i="1"/>
  <c r="O456" i="1"/>
  <c r="AB75" i="1"/>
  <c r="AC75" i="1" s="1"/>
  <c r="O279" i="1"/>
  <c r="O307" i="1"/>
  <c r="O122" i="1"/>
  <c r="O88" i="1"/>
  <c r="O308" i="1"/>
  <c r="O120" i="1"/>
  <c r="M293" i="2"/>
  <c r="AD293" i="2"/>
  <c r="R293" i="2"/>
  <c r="H293" i="2"/>
  <c r="S293" i="2"/>
  <c r="AH435" i="2"/>
  <c r="AB293" i="2"/>
  <c r="I293" i="2"/>
  <c r="U293" i="2"/>
  <c r="AA293" i="2"/>
  <c r="V293" i="2"/>
  <c r="F293" i="2"/>
  <c r="J293" i="2"/>
  <c r="Z293" i="2"/>
  <c r="X293" i="2"/>
  <c r="K328" i="1"/>
  <c r="G65" i="2"/>
  <c r="W65" i="2"/>
  <c r="Z65" i="2"/>
  <c r="K287" i="1"/>
  <c r="E128" i="2"/>
  <c r="E507" i="2" s="1"/>
  <c r="E516" i="2" s="1"/>
  <c r="E139" i="2"/>
  <c r="S139" i="2" s="1"/>
  <c r="AD65" i="2"/>
  <c r="AB65" i="2"/>
  <c r="AF65" i="2"/>
  <c r="AF293" i="2"/>
  <c r="L169" i="2"/>
  <c r="V169" i="2"/>
  <c r="AH90" i="2"/>
  <c r="N169" i="2"/>
  <c r="Y182" i="2"/>
  <c r="AA182" i="2"/>
  <c r="P169" i="2"/>
  <c r="Y293" i="2"/>
  <c r="K293" i="2"/>
  <c r="N293" i="2"/>
  <c r="I65" i="2"/>
  <c r="M65" i="2"/>
  <c r="O293" i="2"/>
  <c r="AC177" i="2"/>
  <c r="P293" i="2"/>
  <c r="W293" i="2"/>
  <c r="G293" i="2"/>
  <c r="U65" i="2"/>
  <c r="AE65" i="2"/>
  <c r="V65" i="2"/>
  <c r="T65" i="2"/>
  <c r="P65" i="2"/>
  <c r="AG217" i="2"/>
  <c r="AH217" i="2" s="1"/>
  <c r="Q293" i="2"/>
  <c r="AA65" i="2"/>
  <c r="AB182" i="2"/>
  <c r="K182" i="2"/>
  <c r="AB177" i="2"/>
  <c r="AG26" i="2"/>
  <c r="AH26" i="2" s="1"/>
  <c r="AG291" i="2"/>
  <c r="AH291" i="2" s="1"/>
  <c r="AE293" i="2"/>
  <c r="AC293" i="2"/>
  <c r="T293" i="2"/>
  <c r="J65" i="2"/>
  <c r="X65" i="2"/>
  <c r="Y65" i="2"/>
  <c r="AC65" i="2"/>
  <c r="O65" i="2"/>
  <c r="AG63" i="2"/>
  <c r="AH63" i="2" s="1"/>
  <c r="N65" i="2"/>
  <c r="AD177" i="2"/>
  <c r="U177" i="2"/>
  <c r="S65" i="2"/>
  <c r="H65" i="2"/>
  <c r="J177" i="2"/>
  <c r="Q65" i="2"/>
  <c r="L65" i="2"/>
  <c r="AB169" i="2"/>
  <c r="X169" i="2"/>
  <c r="U169" i="2"/>
  <c r="F177" i="2"/>
  <c r="Z177" i="2"/>
  <c r="L177" i="2"/>
  <c r="AG253" i="2"/>
  <c r="AH253" i="2" s="1"/>
  <c r="R65" i="2"/>
  <c r="Q169" i="2"/>
  <c r="S177" i="2"/>
  <c r="O177" i="2"/>
  <c r="R328" i="1"/>
  <c r="AF177" i="2"/>
  <c r="H177" i="2"/>
  <c r="I177" i="2"/>
  <c r="X177" i="2"/>
  <c r="K177" i="2"/>
  <c r="Y177" i="2"/>
  <c r="M177" i="2"/>
  <c r="G177" i="2"/>
  <c r="Q177" i="2"/>
  <c r="R177" i="2"/>
  <c r="P177" i="2"/>
  <c r="V177" i="2"/>
  <c r="AA177" i="2"/>
  <c r="N177" i="2"/>
  <c r="T177" i="2"/>
  <c r="R287" i="1"/>
  <c r="AD182" i="2"/>
  <c r="AC182" i="2"/>
  <c r="S182" i="2"/>
  <c r="P182" i="2"/>
  <c r="Q182" i="2"/>
  <c r="V182" i="2"/>
  <c r="H182" i="2"/>
  <c r="G182" i="2"/>
  <c r="U182" i="2"/>
  <c r="R182" i="2"/>
  <c r="M182" i="2"/>
  <c r="AE182" i="2"/>
  <c r="X182" i="2"/>
  <c r="I182" i="2"/>
  <c r="N182" i="2"/>
  <c r="Z182" i="2"/>
  <c r="AF182" i="2"/>
  <c r="J182" i="2"/>
  <c r="O182" i="2"/>
  <c r="L182" i="2"/>
  <c r="F182" i="2"/>
  <c r="T182" i="2"/>
  <c r="K191" i="2"/>
  <c r="H191" i="2"/>
  <c r="AB191" i="2"/>
  <c r="O191" i="2"/>
  <c r="F191" i="2"/>
  <c r="J191" i="2"/>
  <c r="AC191" i="2"/>
  <c r="AG296" i="2"/>
  <c r="AH296" i="2" s="1"/>
  <c r="AG68" i="2"/>
  <c r="AH68" i="2" s="1"/>
  <c r="H328" i="1"/>
  <c r="M191" i="2"/>
  <c r="T191" i="2"/>
  <c r="AE191" i="2"/>
  <c r="Z191" i="2"/>
  <c r="U287" i="1"/>
  <c r="K169" i="2"/>
  <c r="W458" i="1"/>
  <c r="W460" i="1" s="1"/>
  <c r="W462" i="1" s="1"/>
  <c r="E185" i="2" s="1"/>
  <c r="K185" i="2" s="1"/>
  <c r="Z169" i="2"/>
  <c r="R169" i="2"/>
  <c r="O169" i="2"/>
  <c r="M169" i="2"/>
  <c r="T169" i="2"/>
  <c r="AD169" i="2"/>
  <c r="AD191" i="2"/>
  <c r="G191" i="2"/>
  <c r="S191" i="2"/>
  <c r="H287" i="1"/>
  <c r="AC169" i="2"/>
  <c r="AE169" i="2"/>
  <c r="AA169" i="2"/>
  <c r="W169" i="2"/>
  <c r="AF169" i="2"/>
  <c r="S169" i="2"/>
  <c r="Y169" i="2"/>
  <c r="W191" i="2"/>
  <c r="AF191" i="2"/>
  <c r="X191" i="2"/>
  <c r="U191" i="2"/>
  <c r="I191" i="2"/>
  <c r="L191" i="2"/>
  <c r="P191" i="2"/>
  <c r="R191" i="2"/>
  <c r="Q191" i="2"/>
  <c r="N191" i="2"/>
  <c r="Y191" i="2"/>
  <c r="V191" i="2"/>
  <c r="U328" i="1"/>
  <c r="H129" i="1"/>
  <c r="H133" i="1" s="1"/>
  <c r="H144" i="1" s="1"/>
  <c r="E85" i="2" s="1"/>
  <c r="E523" i="2" s="1"/>
  <c r="AA287" i="1"/>
  <c r="E153" i="2"/>
  <c r="AA129" i="1"/>
  <c r="AA133" i="1" s="1"/>
  <c r="AA144" i="1" s="1"/>
  <c r="E115" i="2" s="1"/>
  <c r="U129" i="1"/>
  <c r="U133" i="1" s="1"/>
  <c r="U144" i="1" s="1"/>
  <c r="E106" i="2" s="1"/>
  <c r="AA106" i="2" s="1"/>
  <c r="AG305" i="2"/>
  <c r="AH305" i="2" s="1"/>
  <c r="I267" i="2"/>
  <c r="Q267" i="2"/>
  <c r="U267" i="2"/>
  <c r="T267" i="2"/>
  <c r="V267" i="2"/>
  <c r="G267" i="2"/>
  <c r="M267" i="2"/>
  <c r="AC267" i="2"/>
  <c r="F267" i="2"/>
  <c r="W267" i="2"/>
  <c r="H267" i="2"/>
  <c r="R267" i="2"/>
  <c r="Z267" i="2"/>
  <c r="AB267" i="2"/>
  <c r="P267" i="2"/>
  <c r="N267" i="2"/>
  <c r="AF267" i="2"/>
  <c r="AD267" i="2"/>
  <c r="AE267" i="2"/>
  <c r="K267" i="2"/>
  <c r="J267" i="2"/>
  <c r="O267" i="2"/>
  <c r="Y267" i="2"/>
  <c r="L267" i="2"/>
  <c r="X267" i="2"/>
  <c r="S267" i="2"/>
  <c r="AA267" i="2"/>
  <c r="AG77" i="2"/>
  <c r="AH77" i="2" s="1"/>
  <c r="AA328" i="1"/>
  <c r="E150" i="2"/>
  <c r="AF150" i="2" s="1"/>
  <c r="Y328" i="1"/>
  <c r="Y129" i="1"/>
  <c r="Y133" i="1" s="1"/>
  <c r="Y144" i="1" s="1"/>
  <c r="E112" i="2" s="1"/>
  <c r="N112" i="2" s="1"/>
  <c r="S245" i="2"/>
  <c r="U245" i="2"/>
  <c r="W245" i="2"/>
  <c r="N245" i="2"/>
  <c r="O245" i="2"/>
  <c r="M245" i="2"/>
  <c r="Q245" i="2"/>
  <c r="L245" i="2"/>
  <c r="AF245" i="2"/>
  <c r="T245" i="2"/>
  <c r="X245" i="2"/>
  <c r="V245" i="2"/>
  <c r="Z245" i="2"/>
  <c r="AC245" i="2"/>
  <c r="R245" i="2"/>
  <c r="P245" i="2"/>
  <c r="AA245" i="2"/>
  <c r="AD245" i="2"/>
  <c r="Y245" i="2"/>
  <c r="AB245" i="2"/>
  <c r="G245" i="2"/>
  <c r="AE245" i="2"/>
  <c r="E490" i="2"/>
  <c r="E492" i="2" s="1"/>
  <c r="E131" i="2"/>
  <c r="I131" i="2" s="1"/>
  <c r="M129" i="1"/>
  <c r="M133" i="1" s="1"/>
  <c r="M144" i="1" s="1"/>
  <c r="E93" i="2" s="1"/>
  <c r="M287" i="1"/>
  <c r="M328" i="1"/>
  <c r="I55" i="2"/>
  <c r="I16" i="2"/>
  <c r="I207" i="2"/>
  <c r="AG258" i="2"/>
  <c r="AH258" i="2" s="1"/>
  <c r="F474" i="2"/>
  <c r="AG292" i="2"/>
  <c r="AH292" i="2" s="1"/>
  <c r="T144" i="2"/>
  <c r="W144" i="2"/>
  <c r="Y144" i="2"/>
  <c r="O144" i="2"/>
  <c r="AA144" i="2"/>
  <c r="P144" i="2"/>
  <c r="F144" i="2"/>
  <c r="Z144" i="2"/>
  <c r="AC144" i="2"/>
  <c r="X144" i="2"/>
  <c r="AE144" i="2"/>
  <c r="L144" i="2"/>
  <c r="Q144" i="2"/>
  <c r="I144" i="2"/>
  <c r="H144" i="2"/>
  <c r="R144" i="2"/>
  <c r="S144" i="2"/>
  <c r="V144" i="2"/>
  <c r="J144" i="2"/>
  <c r="AD144" i="2"/>
  <c r="AF144" i="2"/>
  <c r="N144" i="2"/>
  <c r="G144" i="2"/>
  <c r="K144" i="2"/>
  <c r="U144" i="2"/>
  <c r="M144" i="2"/>
  <c r="AB144" i="2"/>
  <c r="H169" i="2"/>
  <c r="H245" i="2"/>
  <c r="H283" i="2"/>
  <c r="AD254" i="2"/>
  <c r="AD255" i="2" s="1"/>
  <c r="AF254" i="2"/>
  <c r="AF255" i="2" s="1"/>
  <c r="AC254" i="2"/>
  <c r="AC255" i="2" s="1"/>
  <c r="Z254" i="2"/>
  <c r="Z255" i="2" s="1"/>
  <c r="Q254" i="2"/>
  <c r="Q255" i="2" s="1"/>
  <c r="K254" i="2"/>
  <c r="K255" i="2" s="1"/>
  <c r="AE254" i="2"/>
  <c r="AE255" i="2" s="1"/>
  <c r="T254" i="2"/>
  <c r="T255" i="2" s="1"/>
  <c r="R254" i="2"/>
  <c r="R255" i="2" s="1"/>
  <c r="H254" i="2"/>
  <c r="H255" i="2" s="1"/>
  <c r="U254" i="2"/>
  <c r="U255" i="2" s="1"/>
  <c r="P254" i="2"/>
  <c r="P255" i="2" s="1"/>
  <c r="L254" i="2"/>
  <c r="L255" i="2" s="1"/>
  <c r="F254" i="2"/>
  <c r="X254" i="2"/>
  <c r="X255" i="2" s="1"/>
  <c r="G254" i="2"/>
  <c r="G255" i="2" s="1"/>
  <c r="V254" i="2"/>
  <c r="V255" i="2" s="1"/>
  <c r="AA254" i="2"/>
  <c r="AA255" i="2" s="1"/>
  <c r="Y254" i="2"/>
  <c r="Y255" i="2" s="1"/>
  <c r="AB254" i="2"/>
  <c r="AB255" i="2" s="1"/>
  <c r="I254" i="2"/>
  <c r="I255" i="2" s="1"/>
  <c r="J254" i="2"/>
  <c r="J255" i="2" s="1"/>
  <c r="N254" i="2"/>
  <c r="N255" i="2" s="1"/>
  <c r="M254" i="2"/>
  <c r="M255" i="2" s="1"/>
  <c r="O254" i="2"/>
  <c r="O255" i="2" s="1"/>
  <c r="S254" i="2"/>
  <c r="S255" i="2" s="1"/>
  <c r="W254" i="2"/>
  <c r="W255" i="2" s="1"/>
  <c r="E255" i="2"/>
  <c r="I124" i="1"/>
  <c r="W283" i="1"/>
  <c r="W285" i="1" s="1"/>
  <c r="E261" i="2"/>
  <c r="W326" i="1"/>
  <c r="AG64" i="2"/>
  <c r="AH64" i="2" s="1"/>
  <c r="AG338" i="2"/>
  <c r="O299" i="2"/>
  <c r="K299" i="2"/>
  <c r="AE299" i="2"/>
  <c r="N299" i="2"/>
  <c r="T299" i="2"/>
  <c r="AC299" i="2"/>
  <c r="AD299" i="2"/>
  <c r="I299" i="2"/>
  <c r="G299" i="2"/>
  <c r="L299" i="2"/>
  <c r="U299" i="2"/>
  <c r="M299" i="2"/>
  <c r="H299" i="2"/>
  <c r="Q299" i="2"/>
  <c r="J299" i="2"/>
  <c r="X299" i="2"/>
  <c r="W299" i="2"/>
  <c r="AB299" i="2"/>
  <c r="R299" i="2"/>
  <c r="Z299" i="2"/>
  <c r="Y299" i="2"/>
  <c r="AA299" i="2"/>
  <c r="S299" i="2"/>
  <c r="V299" i="2"/>
  <c r="P299" i="2"/>
  <c r="F299" i="2"/>
  <c r="AF299" i="2"/>
  <c r="S129" i="1"/>
  <c r="S133" i="1" s="1"/>
  <c r="S144" i="1" s="1"/>
  <c r="E102" i="2" s="1"/>
  <c r="E103" i="2" s="1"/>
  <c r="E140" i="2"/>
  <c r="S287" i="1"/>
  <c r="S328" i="1"/>
  <c r="F593" i="2"/>
  <c r="F619" i="2"/>
  <c r="F480" i="2"/>
  <c r="AG74" i="2"/>
  <c r="AH74" i="2" s="1"/>
  <c r="AG302" i="2"/>
  <c r="AH302" i="2" s="1"/>
  <c r="I283" i="2"/>
  <c r="I245" i="2"/>
  <c r="I169" i="2"/>
  <c r="AB264" i="2"/>
  <c r="U264" i="2"/>
  <c r="AF264" i="2"/>
  <c r="X264" i="2"/>
  <c r="V264" i="2"/>
  <c r="AD264" i="2"/>
  <c r="Z264" i="2"/>
  <c r="W264" i="2"/>
  <c r="K264" i="2"/>
  <c r="AC264" i="2"/>
  <c r="N264" i="2"/>
  <c r="P264" i="2"/>
  <c r="L264" i="2"/>
  <c r="AE264" i="2"/>
  <c r="AA264" i="2"/>
  <c r="O264" i="2"/>
  <c r="G264" i="2"/>
  <c r="S264" i="2"/>
  <c r="Y264" i="2"/>
  <c r="F264" i="2"/>
  <c r="Q264" i="2"/>
  <c r="R264" i="2"/>
  <c r="T264" i="2"/>
  <c r="M264" i="2"/>
  <c r="H264" i="2"/>
  <c r="J264" i="2"/>
  <c r="I264" i="2"/>
  <c r="M203" i="15"/>
  <c r="Y101" i="2"/>
  <c r="AE101" i="2"/>
  <c r="L101" i="2"/>
  <c r="AB101" i="2"/>
  <c r="AF101" i="2"/>
  <c r="T101" i="2"/>
  <c r="X101" i="2"/>
  <c r="H101" i="2"/>
  <c r="V101" i="2"/>
  <c r="O101" i="2"/>
  <c r="AC101" i="2"/>
  <c r="P101" i="2"/>
  <c r="W101" i="2"/>
  <c r="AA101" i="2"/>
  <c r="G101" i="2"/>
  <c r="S101" i="2"/>
  <c r="U101" i="2"/>
  <c r="F101" i="2"/>
  <c r="AD101" i="2"/>
  <c r="J101" i="2"/>
  <c r="Z101" i="2"/>
  <c r="N101" i="2"/>
  <c r="M101" i="2"/>
  <c r="R101" i="2"/>
  <c r="Q101" i="2"/>
  <c r="I101" i="2"/>
  <c r="K101" i="2"/>
  <c r="Z178" i="2"/>
  <c r="AE178" i="2"/>
  <c r="AF178" i="2"/>
  <c r="V178" i="2"/>
  <c r="G178" i="2"/>
  <c r="Q178" i="2"/>
  <c r="F178" i="2"/>
  <c r="W178" i="2"/>
  <c r="W179" i="2" s="1"/>
  <c r="U178" i="2"/>
  <c r="R178" i="2"/>
  <c r="M178" i="2"/>
  <c r="Y178" i="2"/>
  <c r="N178" i="2"/>
  <c r="AC178" i="2"/>
  <c r="O178" i="2"/>
  <c r="J178" i="2"/>
  <c r="K178" i="2"/>
  <c r="AA178" i="2"/>
  <c r="AD178" i="2"/>
  <c r="X178" i="2"/>
  <c r="P178" i="2"/>
  <c r="T178" i="2"/>
  <c r="AB178" i="2"/>
  <c r="L178" i="2"/>
  <c r="S178" i="2"/>
  <c r="H178" i="2"/>
  <c r="I178" i="2"/>
  <c r="E179" i="2"/>
  <c r="F65" i="2"/>
  <c r="H16" i="2"/>
  <c r="H207" i="2"/>
  <c r="H55" i="2"/>
  <c r="X71" i="2"/>
  <c r="F71" i="2"/>
  <c r="V71" i="2"/>
  <c r="AE71" i="2"/>
  <c r="G71" i="2"/>
  <c r="L71" i="2"/>
  <c r="S71" i="2"/>
  <c r="AF71" i="2"/>
  <c r="N71" i="2"/>
  <c r="U71" i="2"/>
  <c r="K71" i="2"/>
  <c r="P71" i="2"/>
  <c r="AD71" i="2"/>
  <c r="T71" i="2"/>
  <c r="AC71" i="2"/>
  <c r="W71" i="2"/>
  <c r="H71" i="2"/>
  <c r="Z71" i="2"/>
  <c r="AB71" i="2"/>
  <c r="I71" i="2"/>
  <c r="J71" i="2"/>
  <c r="O71" i="2"/>
  <c r="Y71" i="2"/>
  <c r="AA71" i="2"/>
  <c r="Q71" i="2"/>
  <c r="M71" i="2"/>
  <c r="R71" i="2"/>
  <c r="AE179" i="2" l="1"/>
  <c r="P269" i="1"/>
  <c r="P276" i="1"/>
  <c r="P277" i="1"/>
  <c r="AJ144" i="2"/>
  <c r="AB237" i="1"/>
  <c r="AC237" i="1" s="1"/>
  <c r="P452" i="1"/>
  <c r="P271" i="1"/>
  <c r="P446" i="1"/>
  <c r="P448" i="1"/>
  <c r="P454" i="1"/>
  <c r="P453" i="1"/>
  <c r="AB139" i="2"/>
  <c r="AD150" i="2"/>
  <c r="AB120" i="1"/>
  <c r="AC120" i="1" s="1"/>
  <c r="P142" i="1"/>
  <c r="P274" i="1"/>
  <c r="AB121" i="1"/>
  <c r="AC121" i="1" s="1"/>
  <c r="P270" i="1"/>
  <c r="P451" i="1"/>
  <c r="P447" i="1"/>
  <c r="P450" i="1"/>
  <c r="AB308" i="1"/>
  <c r="AC308" i="1" s="1"/>
  <c r="AB279" i="1"/>
  <c r="AC279" i="1" s="1"/>
  <c r="AB456" i="1"/>
  <c r="AC456" i="1" s="1"/>
  <c r="P101" i="1"/>
  <c r="P104" i="1" s="1"/>
  <c r="P124" i="1" s="1"/>
  <c r="P126" i="1" s="1"/>
  <c r="AB280" i="1"/>
  <c r="AC280" i="1" s="1"/>
  <c r="P131" i="1"/>
  <c r="P130" i="1"/>
  <c r="AB122" i="1"/>
  <c r="AC122" i="1" s="1"/>
  <c r="P93" i="1"/>
  <c r="E20" i="2"/>
  <c r="K20" i="2" s="1"/>
  <c r="AG188" i="2"/>
  <c r="AH188" i="2" s="1"/>
  <c r="S211" i="2"/>
  <c r="AF211" i="2"/>
  <c r="AB211" i="2"/>
  <c r="J211" i="2"/>
  <c r="Y211" i="2"/>
  <c r="P211" i="2"/>
  <c r="AD211" i="2"/>
  <c r="U211" i="2"/>
  <c r="Z211" i="2"/>
  <c r="M211" i="2"/>
  <c r="AC211" i="2"/>
  <c r="AA211" i="2"/>
  <c r="Q211" i="2"/>
  <c r="I211" i="2"/>
  <c r="H211" i="2"/>
  <c r="K211" i="2"/>
  <c r="V211" i="2"/>
  <c r="AE211" i="2"/>
  <c r="T211" i="2"/>
  <c r="R211" i="2"/>
  <c r="N211" i="2"/>
  <c r="L211" i="2"/>
  <c r="W211" i="2"/>
  <c r="O211" i="2"/>
  <c r="F211" i="2"/>
  <c r="G211" i="2"/>
  <c r="AH507" i="2"/>
  <c r="F467" i="2"/>
  <c r="AG467" i="2" s="1"/>
  <c r="AH467" i="2" s="1"/>
  <c r="AG466" i="2"/>
  <c r="AH466" i="2" s="1"/>
  <c r="O91" i="1"/>
  <c r="AB88" i="1"/>
  <c r="AC88" i="1" s="1"/>
  <c r="O414" i="1"/>
  <c r="AB414" i="1" s="1"/>
  <c r="AC414" i="1" s="1"/>
  <c r="O440" i="1"/>
  <c r="AB412" i="1"/>
  <c r="AC412" i="1" s="1"/>
  <c r="AB307" i="1"/>
  <c r="AC307" i="1" s="1"/>
  <c r="O312" i="1"/>
  <c r="O264" i="1"/>
  <c r="AB233" i="1"/>
  <c r="AC233" i="1" s="1"/>
  <c r="O130" i="1"/>
  <c r="O131" i="1"/>
  <c r="O142" i="1"/>
  <c r="E19" i="2"/>
  <c r="O19" i="2" s="1"/>
  <c r="O98" i="1"/>
  <c r="AB82" i="1"/>
  <c r="AC82" i="1" s="1"/>
  <c r="M468" i="2"/>
  <c r="J468" i="2"/>
  <c r="AB468" i="2"/>
  <c r="R468" i="2"/>
  <c r="P468" i="2"/>
  <c r="X468" i="2"/>
  <c r="G468" i="2"/>
  <c r="Y468" i="2"/>
  <c r="Z468" i="2"/>
  <c r="AC468" i="2"/>
  <c r="O468" i="2"/>
  <c r="W468" i="2"/>
  <c r="Q468" i="2"/>
  <c r="K468" i="2"/>
  <c r="H468" i="2"/>
  <c r="U468" i="2"/>
  <c r="V468" i="2"/>
  <c r="AA468" i="2"/>
  <c r="AF468" i="2"/>
  <c r="AE468" i="2"/>
  <c r="S468" i="2"/>
  <c r="N468" i="2"/>
  <c r="T468" i="2"/>
  <c r="I468" i="2"/>
  <c r="AD468" i="2"/>
  <c r="L468" i="2"/>
  <c r="F461" i="2"/>
  <c r="AG460" i="2"/>
  <c r="AH460" i="2" s="1"/>
  <c r="AH516" i="2"/>
  <c r="P139" i="2"/>
  <c r="X139" i="2"/>
  <c r="L139" i="2"/>
  <c r="I139" i="2"/>
  <c r="Q139" i="2"/>
  <c r="H131" i="2"/>
  <c r="U139" i="2"/>
  <c r="H106" i="2"/>
  <c r="H179" i="2"/>
  <c r="R179" i="2"/>
  <c r="O139" i="2"/>
  <c r="AF139" i="2"/>
  <c r="H139" i="2"/>
  <c r="E141" i="2"/>
  <c r="W139" i="2"/>
  <c r="G139" i="2"/>
  <c r="AA139" i="2"/>
  <c r="M139" i="2"/>
  <c r="O179" i="2"/>
  <c r="Z139" i="2"/>
  <c r="J139" i="2"/>
  <c r="R139" i="2"/>
  <c r="N139" i="2"/>
  <c r="AE139" i="2"/>
  <c r="AD139" i="2"/>
  <c r="AH128" i="2"/>
  <c r="F139" i="2"/>
  <c r="T139" i="2"/>
  <c r="AC139" i="2"/>
  <c r="K139" i="2"/>
  <c r="Y139" i="2"/>
  <c r="V139" i="2"/>
  <c r="AF106" i="2"/>
  <c r="I179" i="2"/>
  <c r="AB179" i="2"/>
  <c r="M179" i="2"/>
  <c r="P179" i="2"/>
  <c r="AC179" i="2"/>
  <c r="G179" i="2"/>
  <c r="AG293" i="2"/>
  <c r="AH293" i="2" s="1"/>
  <c r="L185" i="2"/>
  <c r="Z179" i="2"/>
  <c r="S179" i="2"/>
  <c r="K179" i="2"/>
  <c r="N179" i="2"/>
  <c r="U179" i="2"/>
  <c r="Y179" i="2"/>
  <c r="X179" i="2"/>
  <c r="J179" i="2"/>
  <c r="V179" i="2"/>
  <c r="AD179" i="2"/>
  <c r="AF179" i="2"/>
  <c r="AE106" i="2"/>
  <c r="L179" i="2"/>
  <c r="S112" i="2"/>
  <c r="AG177" i="2"/>
  <c r="AH177" i="2" s="1"/>
  <c r="Z106" i="2"/>
  <c r="AG65" i="2"/>
  <c r="AH65" i="2" s="1"/>
  <c r="W106" i="2"/>
  <c r="T179" i="2"/>
  <c r="AA179" i="2"/>
  <c r="Q179" i="2"/>
  <c r="AB112" i="2"/>
  <c r="F106" i="2"/>
  <c r="P106" i="2"/>
  <c r="R112" i="2"/>
  <c r="AC150" i="2"/>
  <c r="U185" i="2"/>
  <c r="AG182" i="2"/>
  <c r="AH182" i="2" s="1"/>
  <c r="Z185" i="2"/>
  <c r="S185" i="2"/>
  <c r="H185" i="2"/>
  <c r="V185" i="2"/>
  <c r="AE185" i="2"/>
  <c r="M150" i="2"/>
  <c r="P150" i="2"/>
  <c r="Z150" i="2"/>
  <c r="R150" i="2"/>
  <c r="N150" i="2"/>
  <c r="O185" i="2"/>
  <c r="W185" i="2"/>
  <c r="AF185" i="2"/>
  <c r="AG191" i="2"/>
  <c r="AH191" i="2" s="1"/>
  <c r="Q185" i="2"/>
  <c r="T185" i="2"/>
  <c r="X185" i="2"/>
  <c r="AA185" i="2"/>
  <c r="J185" i="2"/>
  <c r="R185" i="2"/>
  <c r="AC185" i="2"/>
  <c r="Y185" i="2"/>
  <c r="AD185" i="2"/>
  <c r="N185" i="2"/>
  <c r="F112" i="2"/>
  <c r="V112" i="2"/>
  <c r="AB185" i="2"/>
  <c r="G185" i="2"/>
  <c r="I185" i="2"/>
  <c r="M185" i="2"/>
  <c r="P185" i="2"/>
  <c r="F185" i="2"/>
  <c r="Z112" i="2"/>
  <c r="I112" i="2"/>
  <c r="L112" i="2"/>
  <c r="O112" i="2"/>
  <c r="AF112" i="2"/>
  <c r="T112" i="2"/>
  <c r="X112" i="2"/>
  <c r="AE112" i="2"/>
  <c r="AD106" i="2"/>
  <c r="S106" i="2"/>
  <c r="G106" i="2"/>
  <c r="H150" i="2"/>
  <c r="L150" i="2"/>
  <c r="S150" i="2"/>
  <c r="AG267" i="2"/>
  <c r="AH267" i="2" s="1"/>
  <c r="I115" i="2"/>
  <c r="AA115" i="2"/>
  <c r="AC115" i="2"/>
  <c r="K115" i="2"/>
  <c r="AB115" i="2"/>
  <c r="G115" i="2"/>
  <c r="M115" i="2"/>
  <c r="Q115" i="2"/>
  <c r="T115" i="2"/>
  <c r="S115" i="2"/>
  <c r="J115" i="2"/>
  <c r="L115" i="2"/>
  <c r="O115" i="2"/>
  <c r="V115" i="2"/>
  <c r="AE115" i="2"/>
  <c r="AF115" i="2"/>
  <c r="P115" i="2"/>
  <c r="X115" i="2"/>
  <c r="F115" i="2"/>
  <c r="U115" i="2"/>
  <c r="H115" i="2"/>
  <c r="Y115" i="2"/>
  <c r="W115" i="2"/>
  <c r="Z115" i="2"/>
  <c r="AD115" i="2"/>
  <c r="R115" i="2"/>
  <c r="N115" i="2"/>
  <c r="Q106" i="2"/>
  <c r="J106" i="2"/>
  <c r="U106" i="2"/>
  <c r="AB106" i="2"/>
  <c r="K106" i="2"/>
  <c r="M106" i="2"/>
  <c r="J150" i="2"/>
  <c r="T150" i="2"/>
  <c r="G150" i="2"/>
  <c r="AA150" i="2"/>
  <c r="K150" i="2"/>
  <c r="W150" i="2"/>
  <c r="V150" i="2"/>
  <c r="I153" i="2"/>
  <c r="S153" i="2"/>
  <c r="U153" i="2"/>
  <c r="F153" i="2"/>
  <c r="L153" i="2"/>
  <c r="G153" i="2"/>
  <c r="AB153" i="2"/>
  <c r="J153" i="2"/>
  <c r="Z153" i="2"/>
  <c r="P153" i="2"/>
  <c r="M153" i="2"/>
  <c r="R153" i="2"/>
  <c r="AD153" i="2"/>
  <c r="K153" i="2"/>
  <c r="N153" i="2"/>
  <c r="Y153" i="2"/>
  <c r="T153" i="2"/>
  <c r="AC153" i="2"/>
  <c r="AF153" i="2"/>
  <c r="AE153" i="2"/>
  <c r="W153" i="2"/>
  <c r="O153" i="2"/>
  <c r="AA153" i="2"/>
  <c r="X153" i="2"/>
  <c r="V153" i="2"/>
  <c r="Q153" i="2"/>
  <c r="H153" i="2"/>
  <c r="X106" i="2"/>
  <c r="AC106" i="2"/>
  <c r="O106" i="2"/>
  <c r="R106" i="2"/>
  <c r="AB150" i="2"/>
  <c r="U150" i="2"/>
  <c r="O150" i="2"/>
  <c r="L106" i="2"/>
  <c r="T106" i="2"/>
  <c r="Y106" i="2"/>
  <c r="N106" i="2"/>
  <c r="V106" i="2"/>
  <c r="I106" i="2"/>
  <c r="I150" i="2"/>
  <c r="Q150" i="2"/>
  <c r="F150" i="2"/>
  <c r="X150" i="2"/>
  <c r="AE150" i="2"/>
  <c r="Y150" i="2"/>
  <c r="J112" i="2"/>
  <c r="H112" i="2"/>
  <c r="W112" i="2"/>
  <c r="Y112" i="2"/>
  <c r="K112" i="2"/>
  <c r="P112" i="2"/>
  <c r="U112" i="2"/>
  <c r="M112" i="2"/>
  <c r="Q112" i="2"/>
  <c r="G112" i="2"/>
  <c r="AC112" i="2"/>
  <c r="AA112" i="2"/>
  <c r="AD112" i="2"/>
  <c r="O93" i="2"/>
  <c r="Q93" i="2"/>
  <c r="AE93" i="2"/>
  <c r="AA93" i="2"/>
  <c r="X93" i="2"/>
  <c r="R93" i="2"/>
  <c r="S93" i="2"/>
  <c r="AD93" i="2"/>
  <c r="W93" i="2"/>
  <c r="T93" i="2"/>
  <c r="U93" i="2"/>
  <c r="N93" i="2"/>
  <c r="V93" i="2"/>
  <c r="P93" i="2"/>
  <c r="AB93" i="2"/>
  <c r="AC93" i="2"/>
  <c r="Z93" i="2"/>
  <c r="M93" i="2"/>
  <c r="L93" i="2"/>
  <c r="G93" i="2"/>
  <c r="AF93" i="2"/>
  <c r="Y93" i="2"/>
  <c r="K93" i="2"/>
  <c r="I93" i="2"/>
  <c r="E493" i="2"/>
  <c r="AG490" i="2"/>
  <c r="AH490" i="2" s="1"/>
  <c r="H93" i="2"/>
  <c r="Q131" i="2"/>
  <c r="S131" i="2"/>
  <c r="O131" i="2"/>
  <c r="W131" i="2"/>
  <c r="AE131" i="2"/>
  <c r="AD131" i="2"/>
  <c r="Y131" i="2"/>
  <c r="AA131" i="2"/>
  <c r="G131" i="2"/>
  <c r="P131" i="2"/>
  <c r="M131" i="2"/>
  <c r="U131" i="2"/>
  <c r="X131" i="2"/>
  <c r="N131" i="2"/>
  <c r="L131" i="2"/>
  <c r="AF131" i="2"/>
  <c r="V131" i="2"/>
  <c r="R131" i="2"/>
  <c r="T131" i="2"/>
  <c r="AB131" i="2"/>
  <c r="Z131" i="2"/>
  <c r="AC131" i="2"/>
  <c r="K131" i="2"/>
  <c r="M205" i="15"/>
  <c r="M35" i="15" s="1"/>
  <c r="AG264" i="2"/>
  <c r="AH264" i="2" s="1"/>
  <c r="R102" i="2"/>
  <c r="R103" i="2" s="1"/>
  <c r="F102" i="2"/>
  <c r="F103" i="2" s="1"/>
  <c r="AA102" i="2"/>
  <c r="AA103" i="2" s="1"/>
  <c r="Q102" i="2"/>
  <c r="Q103" i="2" s="1"/>
  <c r="AE102" i="2"/>
  <c r="AE103" i="2" s="1"/>
  <c r="S102" i="2"/>
  <c r="G102" i="2"/>
  <c r="G103" i="2" s="1"/>
  <c r="AC102" i="2"/>
  <c r="AC103" i="2" s="1"/>
  <c r="H102" i="2"/>
  <c r="H103" i="2" s="1"/>
  <c r="K102" i="2"/>
  <c r="Y102" i="2"/>
  <c r="Y103" i="2" s="1"/>
  <c r="O102" i="2"/>
  <c r="O103" i="2" s="1"/>
  <c r="L102" i="2"/>
  <c r="V102" i="2"/>
  <c r="AB102" i="2"/>
  <c r="AB103" i="2" s="1"/>
  <c r="M102" i="2"/>
  <c r="M103" i="2" s="1"/>
  <c r="AF102" i="2"/>
  <c r="AF103" i="2" s="1"/>
  <c r="AD102" i="2"/>
  <c r="X102" i="2"/>
  <c r="J102" i="2"/>
  <c r="J103" i="2" s="1"/>
  <c r="N102" i="2"/>
  <c r="Z102" i="2"/>
  <c r="I102" i="2"/>
  <c r="U102" i="2"/>
  <c r="U103" i="2" s="1"/>
  <c r="T102" i="2"/>
  <c r="T103" i="2" s="1"/>
  <c r="P102" i="2"/>
  <c r="W102" i="2"/>
  <c r="W103" i="2" s="1"/>
  <c r="I126" i="1"/>
  <c r="F475" i="2"/>
  <c r="AG101" i="2"/>
  <c r="AH101" i="2" s="1"/>
  <c r="N203" i="15"/>
  <c r="N205" i="15" s="1"/>
  <c r="N35" i="15" s="1"/>
  <c r="O84" i="15"/>
  <c r="R84" i="15" s="1"/>
  <c r="F481" i="2"/>
  <c r="AH338" i="2"/>
  <c r="AG71" i="2"/>
  <c r="AH71" i="2" s="1"/>
  <c r="AG299" i="2"/>
  <c r="AH299" i="2" s="1"/>
  <c r="Z261" i="2"/>
  <c r="U261" i="2"/>
  <c r="X261" i="2"/>
  <c r="K261" i="2"/>
  <c r="AD261" i="2"/>
  <c r="AF261" i="2"/>
  <c r="P261" i="2"/>
  <c r="L261" i="2"/>
  <c r="N261" i="2"/>
  <c r="AC261" i="2"/>
  <c r="M261" i="2"/>
  <c r="S261" i="2"/>
  <c r="I261" i="2"/>
  <c r="Y261" i="2"/>
  <c r="AA261" i="2"/>
  <c r="G261" i="2"/>
  <c r="T261" i="2"/>
  <c r="R261" i="2"/>
  <c r="Q261" i="2"/>
  <c r="F261" i="2"/>
  <c r="AE261" i="2"/>
  <c r="V261" i="2"/>
  <c r="J261" i="2"/>
  <c r="H261" i="2"/>
  <c r="AB261" i="2"/>
  <c r="O261" i="2"/>
  <c r="W261" i="2"/>
  <c r="AG144" i="2"/>
  <c r="AH144" i="2" s="1"/>
  <c r="AG178" i="2"/>
  <c r="AH178" i="2" s="1"/>
  <c r="F179" i="2"/>
  <c r="I140" i="2"/>
  <c r="Z140" i="2"/>
  <c r="AA140" i="2"/>
  <c r="AD140" i="2"/>
  <c r="H140" i="2"/>
  <c r="R140" i="2"/>
  <c r="N140" i="2"/>
  <c r="V140" i="2"/>
  <c r="T140" i="2"/>
  <c r="L140" i="2"/>
  <c r="O140" i="2"/>
  <c r="K140" i="2"/>
  <c r="J140" i="2"/>
  <c r="M140" i="2"/>
  <c r="F140" i="2"/>
  <c r="G140" i="2"/>
  <c r="AC140" i="2"/>
  <c r="W140" i="2"/>
  <c r="AE140" i="2"/>
  <c r="AF140" i="2"/>
  <c r="P140" i="2"/>
  <c r="U140" i="2"/>
  <c r="S140" i="2"/>
  <c r="S141" i="2" s="1"/>
  <c r="Y140" i="2"/>
  <c r="X140" i="2"/>
  <c r="Q140" i="2"/>
  <c r="AB140" i="2"/>
  <c r="W287" i="1"/>
  <c r="W129" i="1"/>
  <c r="W133" i="1" s="1"/>
  <c r="W144" i="1" s="1"/>
  <c r="E109" i="2" s="1"/>
  <c r="W328" i="1"/>
  <c r="E147" i="2"/>
  <c r="AG254" i="2"/>
  <c r="AH254" i="2" s="1"/>
  <c r="F255" i="2"/>
  <c r="AG255" i="2" s="1"/>
  <c r="AH255" i="2" s="1"/>
  <c r="AJ131" i="2" l="1"/>
  <c r="AB130" i="1"/>
  <c r="AC130" i="1" s="1"/>
  <c r="AJ140" i="2"/>
  <c r="AJ139" i="2"/>
  <c r="AJ150" i="2"/>
  <c r="AJ153" i="2"/>
  <c r="AB142" i="1"/>
  <c r="AC142" i="1" s="1"/>
  <c r="P316" i="1"/>
  <c r="E287" i="2" s="1"/>
  <c r="S287" i="2" s="1"/>
  <c r="P449" i="1"/>
  <c r="P318" i="1"/>
  <c r="P281" i="1"/>
  <c r="E59" i="2"/>
  <c r="R59" i="2" s="1"/>
  <c r="P314" i="1"/>
  <c r="E249" i="2" s="1"/>
  <c r="P455" i="1"/>
  <c r="P320" i="1"/>
  <c r="P272" i="1"/>
  <c r="P322" i="1"/>
  <c r="P278" i="1"/>
  <c r="P324" i="1"/>
  <c r="AE20" i="2"/>
  <c r="Z20" i="2"/>
  <c r="P20" i="2"/>
  <c r="V20" i="2"/>
  <c r="S20" i="2"/>
  <c r="AD20" i="2"/>
  <c r="AB131" i="1"/>
  <c r="AC131" i="1" s="1"/>
  <c r="AB20" i="2"/>
  <c r="J20" i="2"/>
  <c r="F20" i="2"/>
  <c r="R20" i="2"/>
  <c r="I20" i="2"/>
  <c r="H20" i="2"/>
  <c r="U20" i="2"/>
  <c r="W20" i="2"/>
  <c r="L20" i="2"/>
  <c r="Y20" i="2"/>
  <c r="N20" i="2"/>
  <c r="X20" i="2"/>
  <c r="T20" i="2"/>
  <c r="AF20" i="2"/>
  <c r="Q20" i="2"/>
  <c r="AA20" i="2"/>
  <c r="G20" i="2"/>
  <c r="M20" i="2"/>
  <c r="O20" i="2"/>
  <c r="O21" i="2" s="1"/>
  <c r="AC20" i="2"/>
  <c r="AG211" i="2"/>
  <c r="AH211" i="2" s="1"/>
  <c r="F468" i="2"/>
  <c r="AG468" i="2" s="1"/>
  <c r="AH468" i="2" s="1"/>
  <c r="AD19" i="2"/>
  <c r="Y19" i="2"/>
  <c r="AA19" i="2"/>
  <c r="Q19" i="2"/>
  <c r="AC19" i="2"/>
  <c r="Z19" i="2"/>
  <c r="O99" i="1"/>
  <c r="AB99" i="1" s="1"/>
  <c r="AC99" i="1" s="1"/>
  <c r="AB91" i="1"/>
  <c r="AC91" i="1" s="1"/>
  <c r="P19" i="2"/>
  <c r="I19" i="2"/>
  <c r="O453" i="1"/>
  <c r="AB453" i="1" s="1"/>
  <c r="AC453" i="1" s="1"/>
  <c r="O448" i="1"/>
  <c r="AB448" i="1" s="1"/>
  <c r="AC448" i="1" s="1"/>
  <c r="O454" i="1"/>
  <c r="AB454" i="1" s="1"/>
  <c r="AC454" i="1" s="1"/>
  <c r="O277" i="1"/>
  <c r="AB277" i="1" s="1"/>
  <c r="AC277" i="1" s="1"/>
  <c r="O276" i="1"/>
  <c r="AB276" i="1" s="1"/>
  <c r="AC276" i="1" s="1"/>
  <c r="O269" i="1"/>
  <c r="O271" i="1"/>
  <c r="AB271" i="1" s="1"/>
  <c r="AC271" i="1" s="1"/>
  <c r="O275" i="1"/>
  <c r="AB275" i="1" s="1"/>
  <c r="AC275" i="1" s="1"/>
  <c r="O446" i="1"/>
  <c r="O452" i="1"/>
  <c r="AB452" i="1" s="1"/>
  <c r="AC452" i="1" s="1"/>
  <c r="AB264" i="1"/>
  <c r="AC264" i="1" s="1"/>
  <c r="G19" i="2"/>
  <c r="N19" i="2"/>
  <c r="O273" i="1"/>
  <c r="AB273" i="1" s="1"/>
  <c r="AC273" i="1" s="1"/>
  <c r="O447" i="1"/>
  <c r="AB447" i="1" s="1"/>
  <c r="AC447" i="1" s="1"/>
  <c r="O451" i="1"/>
  <c r="AB451" i="1" s="1"/>
  <c r="AC451" i="1" s="1"/>
  <c r="O274" i="1"/>
  <c r="AB274" i="1" s="1"/>
  <c r="AC274" i="1" s="1"/>
  <c r="O450" i="1"/>
  <c r="AB450" i="1" s="1"/>
  <c r="AC450" i="1" s="1"/>
  <c r="O270" i="1"/>
  <c r="AB270" i="1" s="1"/>
  <c r="AC270" i="1" s="1"/>
  <c r="AB440" i="1"/>
  <c r="AC440" i="1" s="1"/>
  <c r="H19" i="2"/>
  <c r="E21" i="2"/>
  <c r="E40" i="2" s="1"/>
  <c r="K19" i="2"/>
  <c r="K21" i="2" s="1"/>
  <c r="J19" i="2"/>
  <c r="M19" i="2"/>
  <c r="Q59" i="2"/>
  <c r="AE19" i="2"/>
  <c r="W19" i="2"/>
  <c r="R19" i="2"/>
  <c r="O93" i="1"/>
  <c r="AB93" i="1" s="1"/>
  <c r="AC93" i="1" s="1"/>
  <c r="S19" i="2"/>
  <c r="E210" i="2"/>
  <c r="F210" i="2" s="1"/>
  <c r="AB312" i="1"/>
  <c r="AC312" i="1" s="1"/>
  <c r="T19" i="2"/>
  <c r="U19" i="2"/>
  <c r="AG461" i="2"/>
  <c r="AH461" i="2" s="1"/>
  <c r="F19" i="2"/>
  <c r="X19" i="2"/>
  <c r="V19" i="2"/>
  <c r="AB98" i="1"/>
  <c r="AC98" i="1" s="1"/>
  <c r="AF19" i="2"/>
  <c r="AB19" i="2"/>
  <c r="L19" i="2"/>
  <c r="U141" i="2"/>
  <c r="G141" i="2"/>
  <c r="Q141" i="2"/>
  <c r="M141" i="2"/>
  <c r="R141" i="2"/>
  <c r="AG139" i="2"/>
  <c r="AH139" i="2" s="1"/>
  <c r="AE141" i="2"/>
  <c r="W141" i="2"/>
  <c r="F141" i="2"/>
  <c r="O141" i="2"/>
  <c r="N141" i="2"/>
  <c r="J141" i="2"/>
  <c r="H141" i="2"/>
  <c r="V141" i="2"/>
  <c r="Z141" i="2"/>
  <c r="AG179" i="2"/>
  <c r="AH179" i="2" s="1"/>
  <c r="AG185" i="2"/>
  <c r="AH185" i="2" s="1"/>
  <c r="AG150" i="2"/>
  <c r="AH150" i="2" s="1"/>
  <c r="AG106" i="2"/>
  <c r="AH106" i="2" s="1"/>
  <c r="AG112" i="2"/>
  <c r="AH112" i="2" s="1"/>
  <c r="AG153" i="2"/>
  <c r="AH153" i="2" s="1"/>
  <c r="AG115" i="2"/>
  <c r="AH115" i="2" s="1"/>
  <c r="I12" i="15"/>
  <c r="T84" i="15"/>
  <c r="K12" i="15" s="1"/>
  <c r="AD103" i="2"/>
  <c r="P141" i="2"/>
  <c r="X141" i="2"/>
  <c r="AC141" i="2"/>
  <c r="F482" i="2"/>
  <c r="F93" i="2"/>
  <c r="F16" i="2"/>
  <c r="F55" i="2"/>
  <c r="F207" i="2"/>
  <c r="O203" i="15"/>
  <c r="AG102" i="2"/>
  <c r="AH102" i="2" s="1"/>
  <c r="AG140" i="2"/>
  <c r="AH140" i="2" s="1"/>
  <c r="P103" i="2"/>
  <c r="K103" i="2"/>
  <c r="AG261" i="2"/>
  <c r="AH261" i="2" s="1"/>
  <c r="I141" i="2"/>
  <c r="I278" i="1"/>
  <c r="I449" i="1"/>
  <c r="I314" i="1"/>
  <c r="I272" i="1"/>
  <c r="I316" i="1"/>
  <c r="I324" i="1"/>
  <c r="I281" i="1"/>
  <c r="I320" i="1"/>
  <c r="I455" i="1"/>
  <c r="E48" i="2"/>
  <c r="I318" i="1"/>
  <c r="I322" i="1"/>
  <c r="AA141" i="2"/>
  <c r="L103" i="2"/>
  <c r="N103" i="2"/>
  <c r="K141" i="2"/>
  <c r="S109" i="2"/>
  <c r="N109" i="2"/>
  <c r="K109" i="2"/>
  <c r="T109" i="2"/>
  <c r="X109" i="2"/>
  <c r="L109" i="2"/>
  <c r="AF109" i="2"/>
  <c r="AD109" i="2"/>
  <c r="AE109" i="2"/>
  <c r="R109" i="2"/>
  <c r="AB109" i="2"/>
  <c r="O109" i="2"/>
  <c r="I109" i="2"/>
  <c r="M109" i="2"/>
  <c r="H109" i="2"/>
  <c r="AA109" i="2"/>
  <c r="U109" i="2"/>
  <c r="P109" i="2"/>
  <c r="AC109" i="2"/>
  <c r="J109" i="2"/>
  <c r="Y109" i="2"/>
  <c r="F109" i="2"/>
  <c r="G109" i="2"/>
  <c r="Z109" i="2"/>
  <c r="V109" i="2"/>
  <c r="W109" i="2"/>
  <c r="Q109" i="2"/>
  <c r="AB147" i="2"/>
  <c r="K147" i="2"/>
  <c r="U147" i="2"/>
  <c r="X147" i="2"/>
  <c r="I147" i="2"/>
  <c r="AD147" i="2"/>
  <c r="F147" i="2"/>
  <c r="N147" i="2"/>
  <c r="AF147" i="2"/>
  <c r="AC147" i="2"/>
  <c r="L147" i="2"/>
  <c r="AE147" i="2"/>
  <c r="J147" i="2"/>
  <c r="Q147" i="2"/>
  <c r="G147" i="2"/>
  <c r="W147" i="2"/>
  <c r="O147" i="2"/>
  <c r="AA147" i="2"/>
  <c r="Y147" i="2"/>
  <c r="T147" i="2"/>
  <c r="M147" i="2"/>
  <c r="V147" i="2"/>
  <c r="Z147" i="2"/>
  <c r="S147" i="2"/>
  <c r="R147" i="2"/>
  <c r="H147" i="2"/>
  <c r="P147" i="2"/>
  <c r="AD141" i="2"/>
  <c r="S103" i="2"/>
  <c r="T141" i="2"/>
  <c r="Z103" i="2"/>
  <c r="AB141" i="2"/>
  <c r="L141" i="2"/>
  <c r="V103" i="2"/>
  <c r="Y141" i="2"/>
  <c r="AF141" i="2"/>
  <c r="X103" i="2"/>
  <c r="I103" i="2"/>
  <c r="AD21" i="2" l="1"/>
  <c r="AJ141" i="2"/>
  <c r="AJ147" i="2"/>
  <c r="G287" i="2"/>
  <c r="O287" i="2"/>
  <c r="W287" i="2"/>
  <c r="Z287" i="2"/>
  <c r="X59" i="2"/>
  <c r="N287" i="2"/>
  <c r="AD287" i="2"/>
  <c r="L287" i="2"/>
  <c r="Y59" i="2"/>
  <c r="AB287" i="2"/>
  <c r="AF287" i="2"/>
  <c r="Y287" i="2"/>
  <c r="F59" i="2"/>
  <c r="AE59" i="2"/>
  <c r="AA287" i="2"/>
  <c r="J287" i="2"/>
  <c r="T287" i="2"/>
  <c r="AE287" i="2"/>
  <c r="U59" i="2"/>
  <c r="K59" i="2"/>
  <c r="U287" i="2"/>
  <c r="X287" i="2"/>
  <c r="M287" i="2"/>
  <c r="P287" i="2"/>
  <c r="K287" i="2"/>
  <c r="Q287" i="2"/>
  <c r="I287" i="2"/>
  <c r="M59" i="2"/>
  <c r="G59" i="2"/>
  <c r="Z59" i="2"/>
  <c r="M21" i="2"/>
  <c r="H21" i="2"/>
  <c r="AC287" i="2"/>
  <c r="H287" i="2"/>
  <c r="R287" i="2"/>
  <c r="F287" i="2"/>
  <c r="V287" i="2"/>
  <c r="V59" i="2"/>
  <c r="P59" i="2"/>
  <c r="AA59" i="2"/>
  <c r="I21" i="2"/>
  <c r="G21" i="2"/>
  <c r="P283" i="1"/>
  <c r="P285" i="1" s="1"/>
  <c r="P129" i="1" s="1"/>
  <c r="P133" i="1" s="1"/>
  <c r="P144" i="1" s="1"/>
  <c r="E97" i="2" s="1"/>
  <c r="P21" i="2"/>
  <c r="P458" i="1"/>
  <c r="P460" i="1" s="1"/>
  <c r="P462" i="1" s="1"/>
  <c r="E173" i="2" s="1"/>
  <c r="H173" i="2" s="1"/>
  <c r="P326" i="1"/>
  <c r="AF21" i="2"/>
  <c r="AF59" i="2"/>
  <c r="T59" i="2"/>
  <c r="W59" i="2"/>
  <c r="S59" i="2"/>
  <c r="I59" i="2"/>
  <c r="H59" i="2"/>
  <c r="L59" i="2"/>
  <c r="AB59" i="2"/>
  <c r="N59" i="2"/>
  <c r="J59" i="2"/>
  <c r="AC59" i="2"/>
  <c r="O59" i="2"/>
  <c r="AD59" i="2"/>
  <c r="J21" i="2"/>
  <c r="Z21" i="2"/>
  <c r="S21" i="2"/>
  <c r="AE21" i="2"/>
  <c r="Y21" i="2"/>
  <c r="L21" i="2"/>
  <c r="V21" i="2"/>
  <c r="AB21" i="2"/>
  <c r="T21" i="2"/>
  <c r="AG20" i="2"/>
  <c r="AH20" i="2" s="1"/>
  <c r="X21" i="2"/>
  <c r="N21" i="2"/>
  <c r="AC21" i="2"/>
  <c r="W21" i="2"/>
  <c r="Q21" i="2"/>
  <c r="R21" i="2"/>
  <c r="U21" i="2"/>
  <c r="AA21" i="2"/>
  <c r="O101" i="1"/>
  <c r="AB101" i="1" s="1"/>
  <c r="AC101" i="1" s="1"/>
  <c r="AB446" i="1"/>
  <c r="AC446" i="1" s="1"/>
  <c r="F212" i="2"/>
  <c r="AA210" i="2"/>
  <c r="AA212" i="2" s="1"/>
  <c r="E212" i="2"/>
  <c r="E231" i="2" s="1"/>
  <c r="E320" i="2" s="1"/>
  <c r="K210" i="2"/>
  <c r="K212" i="2" s="1"/>
  <c r="U210" i="2"/>
  <c r="U212" i="2" s="1"/>
  <c r="T210" i="2"/>
  <c r="T212" i="2" s="1"/>
  <c r="S210" i="2"/>
  <c r="S212" i="2" s="1"/>
  <c r="Y210" i="2"/>
  <c r="Y212" i="2" s="1"/>
  <c r="AD210" i="2"/>
  <c r="AD212" i="2" s="1"/>
  <c r="AC210" i="2"/>
  <c r="AC212" i="2" s="1"/>
  <c r="O210" i="2"/>
  <c r="O212" i="2" s="1"/>
  <c r="V210" i="2"/>
  <c r="V212" i="2" s="1"/>
  <c r="X210" i="2"/>
  <c r="X212" i="2" s="1"/>
  <c r="H210" i="2"/>
  <c r="H212" i="2" s="1"/>
  <c r="L210" i="2"/>
  <c r="L212" i="2" s="1"/>
  <c r="AB210" i="2"/>
  <c r="AB212" i="2" s="1"/>
  <c r="AF210" i="2"/>
  <c r="AF212" i="2" s="1"/>
  <c r="I210" i="2"/>
  <c r="I212" i="2" s="1"/>
  <c r="P210" i="2"/>
  <c r="P212" i="2" s="1"/>
  <c r="N210" i="2"/>
  <c r="N212" i="2" s="1"/>
  <c r="J210" i="2"/>
  <c r="J212" i="2" s="1"/>
  <c r="Z210" i="2"/>
  <c r="Z212" i="2" s="1"/>
  <c r="Q210" i="2"/>
  <c r="Q212" i="2" s="1"/>
  <c r="R210" i="2"/>
  <c r="R212" i="2" s="1"/>
  <c r="W210" i="2"/>
  <c r="W212" i="2" s="1"/>
  <c r="AE210" i="2"/>
  <c r="AE212" i="2" s="1"/>
  <c r="M210" i="2"/>
  <c r="M212" i="2" s="1"/>
  <c r="G210" i="2"/>
  <c r="G212" i="2" s="1"/>
  <c r="F21" i="2"/>
  <c r="AG19" i="2"/>
  <c r="AH19" i="2" s="1"/>
  <c r="I249" i="2"/>
  <c r="R249" i="2"/>
  <c r="X249" i="2"/>
  <c r="H249" i="2"/>
  <c r="M249" i="2"/>
  <c r="Z249" i="2"/>
  <c r="AD249" i="2"/>
  <c r="AE249" i="2"/>
  <c r="G249" i="2"/>
  <c r="K249" i="2"/>
  <c r="P249" i="2"/>
  <c r="N249" i="2"/>
  <c r="Q249" i="2"/>
  <c r="S249" i="2"/>
  <c r="F249" i="2"/>
  <c r="L249" i="2"/>
  <c r="W249" i="2"/>
  <c r="Y249" i="2"/>
  <c r="U249" i="2"/>
  <c r="AA249" i="2"/>
  <c r="J249" i="2"/>
  <c r="AC249" i="2"/>
  <c r="O249" i="2"/>
  <c r="T249" i="2"/>
  <c r="AB249" i="2"/>
  <c r="AF249" i="2"/>
  <c r="V249" i="2"/>
  <c r="AB269" i="1"/>
  <c r="AC269" i="1" s="1"/>
  <c r="AG103" i="2"/>
  <c r="AH103" i="2" s="1"/>
  <c r="AG141" i="2"/>
  <c r="AH141" i="2" s="1"/>
  <c r="E49" i="2"/>
  <c r="E238" i="2"/>
  <c r="I326" i="1"/>
  <c r="F131" i="2"/>
  <c r="F169" i="2"/>
  <c r="F283" i="2"/>
  <c r="F245" i="2"/>
  <c r="AG147" i="2"/>
  <c r="AH147" i="2" s="1"/>
  <c r="AG109" i="2"/>
  <c r="AH109" i="2" s="1"/>
  <c r="E276" i="2"/>
  <c r="P203" i="15"/>
  <c r="O205" i="15"/>
  <c r="J434" i="2"/>
  <c r="AG434" i="2" s="1"/>
  <c r="K25" i="15"/>
  <c r="E434" i="2" s="1"/>
  <c r="I458" i="1"/>
  <c r="I283" i="1"/>
  <c r="J436" i="2"/>
  <c r="I25" i="15"/>
  <c r="E436" i="2" s="1"/>
  <c r="AG287" i="2" l="1"/>
  <c r="AH287" i="2" s="1"/>
  <c r="AG59" i="2"/>
  <c r="AH59" i="2" s="1"/>
  <c r="AF173" i="2"/>
  <c r="S173" i="2"/>
  <c r="L173" i="2"/>
  <c r="U173" i="2"/>
  <c r="N173" i="2"/>
  <c r="AD173" i="2"/>
  <c r="R173" i="2"/>
  <c r="O173" i="2"/>
  <c r="T173" i="2"/>
  <c r="V173" i="2"/>
  <c r="AC173" i="2"/>
  <c r="G173" i="2"/>
  <c r="Z173" i="2"/>
  <c r="P328" i="1"/>
  <c r="W173" i="2"/>
  <c r="X173" i="2"/>
  <c r="Y173" i="2"/>
  <c r="F173" i="2"/>
  <c r="AB173" i="2"/>
  <c r="P173" i="2"/>
  <c r="AE173" i="2"/>
  <c r="M173" i="2"/>
  <c r="Q173" i="2"/>
  <c r="I173" i="2"/>
  <c r="AA173" i="2"/>
  <c r="J173" i="2"/>
  <c r="K173" i="2"/>
  <c r="P287" i="1"/>
  <c r="E135" i="2"/>
  <c r="N135" i="2" s="1"/>
  <c r="AG21" i="2"/>
  <c r="AH21" i="2" s="1"/>
  <c r="O104" i="1"/>
  <c r="AB104" i="1" s="1"/>
  <c r="AC104" i="1" s="1"/>
  <c r="J97" i="2"/>
  <c r="J527" i="2" s="1"/>
  <c r="K97" i="2"/>
  <c r="K527" i="2" s="1"/>
  <c r="AA97" i="2"/>
  <c r="AA527" i="2" s="1"/>
  <c r="O97" i="2"/>
  <c r="O527" i="2" s="1"/>
  <c r="R97" i="2"/>
  <c r="R527" i="2" s="1"/>
  <c r="R556" i="2" s="1"/>
  <c r="N97" i="2"/>
  <c r="N527" i="2" s="1"/>
  <c r="F97" i="2"/>
  <c r="AF97" i="2"/>
  <c r="AF527" i="2" s="1"/>
  <c r="AF630" i="2" s="1"/>
  <c r="AF631" i="2" s="1"/>
  <c r="M97" i="2"/>
  <c r="M527" i="2" s="1"/>
  <c r="S97" i="2"/>
  <c r="S527" i="2" s="1"/>
  <c r="S556" i="2" s="1"/>
  <c r="Q97" i="2"/>
  <c r="Q527" i="2" s="1"/>
  <c r="Q556" i="2" s="1"/>
  <c r="Y97" i="2"/>
  <c r="Y527" i="2" s="1"/>
  <c r="T97" i="2"/>
  <c r="T527" i="2" s="1"/>
  <c r="AE97" i="2"/>
  <c r="H97" i="2"/>
  <c r="H527" i="2" s="1"/>
  <c r="W97" i="2"/>
  <c r="W527" i="2" s="1"/>
  <c r="X97" i="2"/>
  <c r="X527" i="2" s="1"/>
  <c r="Z97" i="2"/>
  <c r="Z527" i="2" s="1"/>
  <c r="AC97" i="2"/>
  <c r="AC527" i="2" s="1"/>
  <c r="I97" i="2"/>
  <c r="I527" i="2" s="1"/>
  <c r="L97" i="2"/>
  <c r="L527" i="2" s="1"/>
  <c r="P97" i="2"/>
  <c r="P527" i="2" s="1"/>
  <c r="P556" i="2" s="1"/>
  <c r="G97" i="2"/>
  <c r="G527" i="2" s="1"/>
  <c r="AB97" i="2"/>
  <c r="AB527" i="2" s="1"/>
  <c r="AD97" i="2"/>
  <c r="AD527" i="2" s="1"/>
  <c r="U97" i="2"/>
  <c r="U527" i="2" s="1"/>
  <c r="V97" i="2"/>
  <c r="V527" i="2" s="1"/>
  <c r="E527" i="2"/>
  <c r="AG210" i="2"/>
  <c r="AH210" i="2" s="1"/>
  <c r="AG249" i="2"/>
  <c r="AH249" i="2" s="1"/>
  <c r="AG212" i="2"/>
  <c r="AH212" i="2" s="1"/>
  <c r="N350" i="2"/>
  <c r="N352" i="2" s="1"/>
  <c r="D18" i="4" s="1"/>
  <c r="R350" i="2"/>
  <c r="R352" i="2" s="1"/>
  <c r="D22" i="4" s="1"/>
  <c r="V350" i="2"/>
  <c r="V352" i="2" s="1"/>
  <c r="Z350" i="2"/>
  <c r="Z352" i="2" s="1"/>
  <c r="AD350" i="2"/>
  <c r="AD352" i="2" s="1"/>
  <c r="L350" i="2"/>
  <c r="L352" i="2" s="1"/>
  <c r="D16" i="4" s="1"/>
  <c r="T350" i="2"/>
  <c r="T352" i="2" s="1"/>
  <c r="AB350" i="2"/>
  <c r="AB352" i="2" s="1"/>
  <c r="I350" i="2"/>
  <c r="I352" i="2" s="1"/>
  <c r="D13" i="4" s="1"/>
  <c r="Q350" i="2"/>
  <c r="Q352" i="2" s="1"/>
  <c r="D21" i="4" s="1"/>
  <c r="Y350" i="2"/>
  <c r="Y352" i="2" s="1"/>
  <c r="G350" i="2"/>
  <c r="G352" i="2" s="1"/>
  <c r="D11" i="4" s="1"/>
  <c r="K350" i="2"/>
  <c r="K352" i="2" s="1"/>
  <c r="D15" i="4" s="1"/>
  <c r="O350" i="2"/>
  <c r="O352" i="2" s="1"/>
  <c r="D19" i="4" s="1"/>
  <c r="S350" i="2"/>
  <c r="S352" i="2" s="1"/>
  <c r="W350" i="2"/>
  <c r="W352" i="2" s="1"/>
  <c r="AA350" i="2"/>
  <c r="AA352" i="2" s="1"/>
  <c r="AE350" i="2"/>
  <c r="AE352" i="2" s="1"/>
  <c r="H350" i="2"/>
  <c r="H352" i="2" s="1"/>
  <c r="D12" i="4" s="1"/>
  <c r="P350" i="2"/>
  <c r="P352" i="2" s="1"/>
  <c r="D20" i="4" s="1"/>
  <c r="X350" i="2"/>
  <c r="X352" i="2" s="1"/>
  <c r="AF350" i="2"/>
  <c r="AF352" i="2" s="1"/>
  <c r="M350" i="2"/>
  <c r="M352" i="2" s="1"/>
  <c r="D17" i="4" s="1"/>
  <c r="U350" i="2"/>
  <c r="U352" i="2" s="1"/>
  <c r="AC350" i="2"/>
  <c r="AC352" i="2" s="1"/>
  <c r="AC360" i="2"/>
  <c r="AF360" i="2"/>
  <c r="X360" i="2"/>
  <c r="S360" i="2"/>
  <c r="AE360" i="2"/>
  <c r="G360" i="2"/>
  <c r="K360" i="2"/>
  <c r="AD360" i="2"/>
  <c r="U360" i="2"/>
  <c r="J360" i="2"/>
  <c r="Z360" i="2"/>
  <c r="AA360" i="2"/>
  <c r="Y360" i="2"/>
  <c r="P360" i="2"/>
  <c r="H360" i="2"/>
  <c r="F360" i="2"/>
  <c r="W360" i="2"/>
  <c r="AB360" i="2"/>
  <c r="V360" i="2"/>
  <c r="R360" i="2"/>
  <c r="I360" i="2"/>
  <c r="T360" i="2"/>
  <c r="Q360" i="2"/>
  <c r="N360" i="2"/>
  <c r="O360" i="2"/>
  <c r="M360" i="2"/>
  <c r="L360" i="2"/>
  <c r="AH434" i="2"/>
  <c r="J442" i="2"/>
  <c r="AG489" i="2"/>
  <c r="AG436" i="2"/>
  <c r="AH436" i="2" s="1"/>
  <c r="I285" i="1"/>
  <c r="E277" i="2"/>
  <c r="I460" i="1"/>
  <c r="AD406" i="2"/>
  <c r="U406" i="2"/>
  <c r="P406" i="2"/>
  <c r="V406" i="2"/>
  <c r="AC406" i="2"/>
  <c r="H406" i="2"/>
  <c r="T406" i="2"/>
  <c r="X406" i="2"/>
  <c r="J406" i="2"/>
  <c r="I406" i="2"/>
  <c r="L406" i="2"/>
  <c r="G406" i="2"/>
  <c r="Q406" i="2"/>
  <c r="M406" i="2"/>
  <c r="Y406" i="2"/>
  <c r="F406" i="2"/>
  <c r="K406" i="2"/>
  <c r="W406" i="2"/>
  <c r="AE406" i="2"/>
  <c r="R406" i="2"/>
  <c r="AB406" i="2"/>
  <c r="Z406" i="2"/>
  <c r="N406" i="2"/>
  <c r="AA406" i="2"/>
  <c r="AF406" i="2"/>
  <c r="O406" i="2"/>
  <c r="S406" i="2"/>
  <c r="E239" i="2"/>
  <c r="H556" i="2" l="1"/>
  <c r="H630" i="2"/>
  <c r="L556" i="2"/>
  <c r="L630" i="2"/>
  <c r="K630" i="2"/>
  <c r="K556" i="2"/>
  <c r="M556" i="2"/>
  <c r="M630" i="2"/>
  <c r="J556" i="2"/>
  <c r="J630" i="2"/>
  <c r="O630" i="2"/>
  <c r="N509" i="2"/>
  <c r="O556" i="2"/>
  <c r="G556" i="2"/>
  <c r="I556" i="2"/>
  <c r="AG173" i="2"/>
  <c r="AH173" i="2" s="1"/>
  <c r="AA135" i="2"/>
  <c r="AA509" i="2" s="1"/>
  <c r="AA547" i="2" s="1"/>
  <c r="AB135" i="2"/>
  <c r="AB509" i="2" s="1"/>
  <c r="AB547" i="2" s="1"/>
  <c r="Q135" i="2"/>
  <c r="Q509" i="2" s="1"/>
  <c r="AD135" i="2"/>
  <c r="AD509" i="2" s="1"/>
  <c r="AD547" i="2" s="1"/>
  <c r="Y135" i="2"/>
  <c r="Y509" i="2" s="1"/>
  <c r="Y547" i="2" s="1"/>
  <c r="X135" i="2"/>
  <c r="X509" i="2" s="1"/>
  <c r="X547" i="2" s="1"/>
  <c r="V135" i="2"/>
  <c r="V509" i="2" s="1"/>
  <c r="V547" i="2" s="1"/>
  <c r="AE135" i="2"/>
  <c r="O135" i="2"/>
  <c r="S135" i="2"/>
  <c r="S509" i="2" s="1"/>
  <c r="P135" i="2"/>
  <c r="P509" i="2" s="1"/>
  <c r="AC135" i="2"/>
  <c r="AC509" i="2" s="1"/>
  <c r="AC547" i="2" s="1"/>
  <c r="U135" i="2"/>
  <c r="U509" i="2" s="1"/>
  <c r="U547" i="2" s="1"/>
  <c r="F135" i="2"/>
  <c r="F509" i="2" s="1"/>
  <c r="E509" i="2"/>
  <c r="J135" i="2"/>
  <c r="J509" i="2" s="1"/>
  <c r="R135" i="2"/>
  <c r="R509" i="2" s="1"/>
  <c r="Z135" i="2"/>
  <c r="Z509" i="2" s="1"/>
  <c r="Z547" i="2" s="1"/>
  <c r="W135" i="2"/>
  <c r="W509" i="2" s="1"/>
  <c r="W547" i="2" s="1"/>
  <c r="I135" i="2"/>
  <c r="I509" i="2" s="1"/>
  <c r="M135" i="2"/>
  <c r="M509" i="2" s="1"/>
  <c r="K135" i="2"/>
  <c r="K509" i="2" s="1"/>
  <c r="G135" i="2"/>
  <c r="G509" i="2" s="1"/>
  <c r="AF135" i="2"/>
  <c r="AF509" i="2" s="1"/>
  <c r="T135" i="2"/>
  <c r="T509" i="2" s="1"/>
  <c r="T547" i="2" s="1"/>
  <c r="H135" i="2"/>
  <c r="H509" i="2" s="1"/>
  <c r="L135" i="2"/>
  <c r="L509" i="2" s="1"/>
  <c r="O124" i="1"/>
  <c r="O126" i="1" s="1"/>
  <c r="Z630" i="2"/>
  <c r="Z631" i="2" s="1"/>
  <c r="Z556" i="2"/>
  <c r="T630" i="2"/>
  <c r="T631" i="2" s="1"/>
  <c r="T556" i="2"/>
  <c r="V556" i="2"/>
  <c r="V630" i="2"/>
  <c r="V631" i="2" s="1"/>
  <c r="AC630" i="2"/>
  <c r="AC631" i="2" s="1"/>
  <c r="AC556" i="2"/>
  <c r="AG97" i="2"/>
  <c r="AH97" i="2" s="1"/>
  <c r="F527" i="2"/>
  <c r="AA630" i="2"/>
  <c r="AA631" i="2" s="1"/>
  <c r="AA556" i="2"/>
  <c r="X556" i="2"/>
  <c r="X630" i="2"/>
  <c r="X631" i="2" s="1"/>
  <c r="U630" i="2"/>
  <c r="U631" i="2" s="1"/>
  <c r="U556" i="2"/>
  <c r="AD630" i="2"/>
  <c r="AD631" i="2" s="1"/>
  <c r="AD556" i="2"/>
  <c r="AB630" i="2"/>
  <c r="AB631" i="2" s="1"/>
  <c r="AB556" i="2"/>
  <c r="W556" i="2"/>
  <c r="W630" i="2"/>
  <c r="W631" i="2" s="1"/>
  <c r="Y630" i="2"/>
  <c r="Y631" i="2" s="1"/>
  <c r="Y556" i="2"/>
  <c r="AG360" i="2"/>
  <c r="AH360" i="2" s="1"/>
  <c r="AG342" i="2"/>
  <c r="AG406" i="2"/>
  <c r="AH406" i="2" s="1"/>
  <c r="AE492" i="2"/>
  <c r="AE493" i="2" s="1"/>
  <c r="AE494" i="2" s="1"/>
  <c r="M492" i="2"/>
  <c r="M493" i="2" s="1"/>
  <c r="M494" i="2" s="1"/>
  <c r="O492" i="2"/>
  <c r="O493" i="2" s="1"/>
  <c r="O494" i="2" s="1"/>
  <c r="Z492" i="2"/>
  <c r="Z493" i="2" s="1"/>
  <c r="Z494" i="2" s="1"/>
  <c r="AD492" i="2"/>
  <c r="AD493" i="2" s="1"/>
  <c r="AD494" i="2" s="1"/>
  <c r="V492" i="2"/>
  <c r="V493" i="2" s="1"/>
  <c r="V494" i="2" s="1"/>
  <c r="P492" i="2"/>
  <c r="P493" i="2" s="1"/>
  <c r="P494" i="2" s="1"/>
  <c r="W492" i="2"/>
  <c r="W493" i="2" s="1"/>
  <c r="W494" i="2" s="1"/>
  <c r="AC492" i="2"/>
  <c r="AC493" i="2" s="1"/>
  <c r="AC494" i="2" s="1"/>
  <c r="L492" i="2"/>
  <c r="L493" i="2" s="1"/>
  <c r="L494" i="2" s="1"/>
  <c r="N492" i="2"/>
  <c r="N493" i="2" s="1"/>
  <c r="N494" i="2" s="1"/>
  <c r="R492" i="2"/>
  <c r="R493" i="2" s="1"/>
  <c r="R494" i="2" s="1"/>
  <c r="Q492" i="2"/>
  <c r="Q493" i="2" s="1"/>
  <c r="Q494" i="2" s="1"/>
  <c r="T492" i="2"/>
  <c r="T493" i="2" s="1"/>
  <c r="T494" i="2" s="1"/>
  <c r="AF492" i="2"/>
  <c r="AF493" i="2" s="1"/>
  <c r="AF494" i="2" s="1"/>
  <c r="AB492" i="2"/>
  <c r="AB493" i="2" s="1"/>
  <c r="AB494" i="2" s="1"/>
  <c r="K492" i="2"/>
  <c r="K493" i="2" s="1"/>
  <c r="K494" i="2" s="1"/>
  <c r="J492" i="2"/>
  <c r="J493" i="2" s="1"/>
  <c r="J494" i="2" s="1"/>
  <c r="F492" i="2"/>
  <c r="H492" i="2"/>
  <c r="H493" i="2" s="1"/>
  <c r="H494" i="2" s="1"/>
  <c r="Y492" i="2"/>
  <c r="Y493" i="2" s="1"/>
  <c r="Y494" i="2" s="1"/>
  <c r="AH489" i="2"/>
  <c r="U492" i="2"/>
  <c r="U493" i="2" s="1"/>
  <c r="U494" i="2" s="1"/>
  <c r="AA492" i="2"/>
  <c r="AA493" i="2" s="1"/>
  <c r="AA494" i="2" s="1"/>
  <c r="S492" i="2"/>
  <c r="S493" i="2" s="1"/>
  <c r="S494" i="2" s="1"/>
  <c r="X492" i="2"/>
  <c r="X493" i="2" s="1"/>
  <c r="X494" i="2" s="1"/>
  <c r="I492" i="2"/>
  <c r="I493" i="2" s="1"/>
  <c r="I494" i="2" s="1"/>
  <c r="G492" i="2"/>
  <c r="G493" i="2" s="1"/>
  <c r="G494" i="2" s="1"/>
  <c r="I462" i="1"/>
  <c r="I328" i="1"/>
  <c r="I129" i="1"/>
  <c r="E124" i="2"/>
  <c r="I287" i="1"/>
  <c r="J445" i="2"/>
  <c r="J449" i="2"/>
  <c r="J470" i="2" s="1"/>
  <c r="AG442" i="2"/>
  <c r="AH442" i="2" s="1"/>
  <c r="O509" i="2" l="1"/>
  <c r="O518" i="2" s="1"/>
  <c r="O547" i="2" s="1"/>
  <c r="AJ135" i="2"/>
  <c r="AG135" i="2"/>
  <c r="AH135" i="2" s="1"/>
  <c r="AG343" i="2"/>
  <c r="AH343" i="2" s="1"/>
  <c r="J350" i="2"/>
  <c r="J352" i="2" s="1"/>
  <c r="D14" i="4" s="1"/>
  <c r="AB124" i="1"/>
  <c r="AC124" i="1" s="1"/>
  <c r="O272" i="1"/>
  <c r="O322" i="1"/>
  <c r="AB322" i="1" s="1"/>
  <c r="AC322" i="1" s="1"/>
  <c r="O449" i="1"/>
  <c r="O324" i="1"/>
  <c r="AB324" i="1" s="1"/>
  <c r="AC324" i="1" s="1"/>
  <c r="O320" i="1"/>
  <c r="AB320" i="1" s="1"/>
  <c r="AC320" i="1" s="1"/>
  <c r="O316" i="1"/>
  <c r="O281" i="1"/>
  <c r="AB281" i="1" s="1"/>
  <c r="AC281" i="1" s="1"/>
  <c r="O455" i="1"/>
  <c r="AB455" i="1" s="1"/>
  <c r="AC455" i="1" s="1"/>
  <c r="E58" i="2"/>
  <c r="O318" i="1"/>
  <c r="AB318" i="1" s="1"/>
  <c r="AC318" i="1" s="1"/>
  <c r="O278" i="1"/>
  <c r="AB278" i="1" s="1"/>
  <c r="AC278" i="1" s="1"/>
  <c r="O314" i="1"/>
  <c r="AB126" i="1"/>
  <c r="AC126" i="1" s="1"/>
  <c r="F556" i="2"/>
  <c r="AG527" i="2"/>
  <c r="AH527" i="2" s="1"/>
  <c r="AH342" i="2"/>
  <c r="S85" i="2"/>
  <c r="S8" i="2"/>
  <c r="S275" i="2"/>
  <c r="S161" i="2"/>
  <c r="S47" i="2"/>
  <c r="S123" i="2"/>
  <c r="S237" i="2"/>
  <c r="S199" i="2"/>
  <c r="Y123" i="2"/>
  <c r="Y8" i="2"/>
  <c r="Y275" i="2"/>
  <c r="Y237" i="2"/>
  <c r="Y85" i="2"/>
  <c r="Y47" i="2"/>
  <c r="Y161" i="2"/>
  <c r="Y199" i="2"/>
  <c r="K199" i="2"/>
  <c r="K237" i="2"/>
  <c r="K123" i="2"/>
  <c r="K47" i="2"/>
  <c r="K275" i="2"/>
  <c r="K85" i="2"/>
  <c r="K8" i="2"/>
  <c r="K161" i="2"/>
  <c r="Q199" i="2"/>
  <c r="Q123" i="2"/>
  <c r="Q237" i="2"/>
  <c r="Q8" i="2"/>
  <c r="Q275" i="2"/>
  <c r="Q85" i="2"/>
  <c r="Q161" i="2"/>
  <c r="Q47" i="2"/>
  <c r="AC237" i="2"/>
  <c r="AC123" i="2"/>
  <c r="AC47" i="2"/>
  <c r="AC8" i="2"/>
  <c r="AC161" i="2"/>
  <c r="AC275" i="2"/>
  <c r="AC85" i="2"/>
  <c r="AC199" i="2"/>
  <c r="AD275" i="2"/>
  <c r="AD161" i="2"/>
  <c r="AD47" i="2"/>
  <c r="AD8" i="2"/>
  <c r="AD199" i="2"/>
  <c r="AD123" i="2"/>
  <c r="AD85" i="2"/>
  <c r="AD237" i="2"/>
  <c r="AE275" i="2"/>
  <c r="AE199" i="2"/>
  <c r="AE123" i="2"/>
  <c r="AE237" i="2"/>
  <c r="AE85" i="2"/>
  <c r="AE47" i="2"/>
  <c r="AE161" i="2"/>
  <c r="AE8" i="2"/>
  <c r="G8" i="2"/>
  <c r="G85" i="2"/>
  <c r="G275" i="2"/>
  <c r="G47" i="2"/>
  <c r="G199" i="2"/>
  <c r="G237" i="2"/>
  <c r="G161" i="2"/>
  <c r="G123" i="2"/>
  <c r="AA199" i="2"/>
  <c r="AA275" i="2"/>
  <c r="AA161" i="2"/>
  <c r="AA237" i="2"/>
  <c r="AA85" i="2"/>
  <c r="AA47" i="2"/>
  <c r="AA123" i="2"/>
  <c r="AA8" i="2"/>
  <c r="H85" i="2"/>
  <c r="H237" i="2"/>
  <c r="H199" i="2"/>
  <c r="H47" i="2"/>
  <c r="H123" i="2"/>
  <c r="H8" i="2"/>
  <c r="H161" i="2"/>
  <c r="H275" i="2"/>
  <c r="AB161" i="2"/>
  <c r="AB85" i="2"/>
  <c r="AB47" i="2"/>
  <c r="AB123" i="2"/>
  <c r="AB237" i="2"/>
  <c r="AB275" i="2"/>
  <c r="AB8" i="2"/>
  <c r="AB199" i="2"/>
  <c r="R123" i="2"/>
  <c r="R85" i="2"/>
  <c r="R161" i="2"/>
  <c r="R8" i="2"/>
  <c r="R47" i="2"/>
  <c r="R199" i="2"/>
  <c r="R275" i="2"/>
  <c r="R237" i="2"/>
  <c r="W123" i="2"/>
  <c r="W47" i="2"/>
  <c r="W8" i="2"/>
  <c r="W237" i="2"/>
  <c r="W161" i="2"/>
  <c r="W275" i="2"/>
  <c r="W199" i="2"/>
  <c r="W85" i="2"/>
  <c r="Z85" i="2"/>
  <c r="Z8" i="2"/>
  <c r="Z161" i="2"/>
  <c r="Z199" i="2"/>
  <c r="Z237" i="2"/>
  <c r="Z275" i="2"/>
  <c r="Z123" i="2"/>
  <c r="Z47" i="2"/>
  <c r="I123" i="2"/>
  <c r="I275" i="2"/>
  <c r="I85" i="2"/>
  <c r="I161" i="2"/>
  <c r="I199" i="2"/>
  <c r="I237" i="2"/>
  <c r="I47" i="2"/>
  <c r="I8" i="2"/>
  <c r="U123" i="2"/>
  <c r="U8" i="2"/>
  <c r="U237" i="2"/>
  <c r="U85" i="2"/>
  <c r="U47" i="2"/>
  <c r="U275" i="2"/>
  <c r="U161" i="2"/>
  <c r="U199" i="2"/>
  <c r="F493" i="2"/>
  <c r="AG492" i="2"/>
  <c r="AH492" i="2" s="1"/>
  <c r="AF85" i="2"/>
  <c r="AF161" i="2"/>
  <c r="AF237" i="2"/>
  <c r="AF199" i="2"/>
  <c r="AF8" i="2"/>
  <c r="AF275" i="2"/>
  <c r="AF47" i="2"/>
  <c r="AF123" i="2"/>
  <c r="N237" i="2"/>
  <c r="N275" i="2"/>
  <c r="N123" i="2"/>
  <c r="N161" i="2"/>
  <c r="N199" i="2"/>
  <c r="N47" i="2"/>
  <c r="N8" i="2"/>
  <c r="N85" i="2"/>
  <c r="P275" i="2"/>
  <c r="P85" i="2"/>
  <c r="P47" i="2"/>
  <c r="P123" i="2"/>
  <c r="P199" i="2"/>
  <c r="P8" i="2"/>
  <c r="P161" i="2"/>
  <c r="P237" i="2"/>
  <c r="O47" i="2"/>
  <c r="O85" i="2"/>
  <c r="O199" i="2"/>
  <c r="O123" i="2"/>
  <c r="O161" i="2"/>
  <c r="O275" i="2"/>
  <c r="O8" i="2"/>
  <c r="O237" i="2"/>
  <c r="J446" i="2"/>
  <c r="AG446" i="2" s="1"/>
  <c r="AH446" i="2" s="1"/>
  <c r="AG445" i="2"/>
  <c r="AH445" i="2" s="1"/>
  <c r="E162" i="2"/>
  <c r="E497" i="2"/>
  <c r="E506" i="2"/>
  <c r="E515" i="2" s="1"/>
  <c r="E125" i="2"/>
  <c r="I133" i="1"/>
  <c r="J452" i="2"/>
  <c r="AG449" i="2"/>
  <c r="AH449" i="2" s="1"/>
  <c r="X123" i="2"/>
  <c r="X161" i="2"/>
  <c r="X275" i="2"/>
  <c r="X199" i="2"/>
  <c r="X8" i="2"/>
  <c r="X237" i="2"/>
  <c r="X47" i="2"/>
  <c r="X85" i="2"/>
  <c r="J237" i="2"/>
  <c r="J123" i="2"/>
  <c r="J85" i="2"/>
  <c r="J8" i="2"/>
  <c r="J161" i="2"/>
  <c r="J275" i="2"/>
  <c r="J199" i="2"/>
  <c r="J47" i="2"/>
  <c r="T123" i="2"/>
  <c r="T237" i="2"/>
  <c r="T199" i="2"/>
  <c r="T47" i="2"/>
  <c r="T8" i="2"/>
  <c r="T275" i="2"/>
  <c r="T161" i="2"/>
  <c r="T85" i="2"/>
  <c r="L47" i="2"/>
  <c r="L123" i="2"/>
  <c r="L199" i="2"/>
  <c r="L275" i="2"/>
  <c r="L161" i="2"/>
  <c r="L237" i="2"/>
  <c r="L85" i="2"/>
  <c r="L8" i="2"/>
  <c r="V275" i="2"/>
  <c r="V199" i="2"/>
  <c r="V237" i="2"/>
  <c r="V8" i="2"/>
  <c r="V161" i="2"/>
  <c r="V85" i="2"/>
  <c r="V47" i="2"/>
  <c r="V123" i="2"/>
  <c r="M8" i="2"/>
  <c r="M275" i="2"/>
  <c r="M199" i="2"/>
  <c r="M161" i="2"/>
  <c r="M123" i="2"/>
  <c r="M237" i="2"/>
  <c r="M85" i="2"/>
  <c r="M47" i="2"/>
  <c r="O603" i="2" l="1"/>
  <c r="O578" i="2"/>
  <c r="I505" i="2"/>
  <c r="I514" i="2" s="1"/>
  <c r="G505" i="2"/>
  <c r="G514" i="2" s="1"/>
  <c r="AG509" i="2"/>
  <c r="AH509" i="2" s="1"/>
  <c r="K505" i="2"/>
  <c r="K514" i="2" s="1"/>
  <c r="M505" i="2"/>
  <c r="M514" i="2" s="1"/>
  <c r="O505" i="2"/>
  <c r="O514" i="2" s="1"/>
  <c r="O543" i="2" s="1"/>
  <c r="O562" i="2" s="1"/>
  <c r="P505" i="2"/>
  <c r="L505" i="2"/>
  <c r="J505" i="2"/>
  <c r="J514" i="2" s="1"/>
  <c r="N505" i="2"/>
  <c r="N514" i="2" s="1"/>
  <c r="H505" i="2"/>
  <c r="H514" i="2" s="1"/>
  <c r="AJ123" i="2"/>
  <c r="E248" i="2"/>
  <c r="O326" i="1"/>
  <c r="AB326" i="1" s="1"/>
  <c r="AC326" i="1" s="1"/>
  <c r="AB314" i="1"/>
  <c r="AC314" i="1" s="1"/>
  <c r="O283" i="1"/>
  <c r="AB272" i="1"/>
  <c r="AC272" i="1" s="1"/>
  <c r="O458" i="1"/>
  <c r="AB449" i="1"/>
  <c r="AC449" i="1" s="1"/>
  <c r="E60" i="2"/>
  <c r="E79" i="2" s="1"/>
  <c r="AA58" i="2"/>
  <c r="AA60" i="2" s="1"/>
  <c r="T58" i="2"/>
  <c r="T60" i="2" s="1"/>
  <c r="G58" i="2"/>
  <c r="G60" i="2" s="1"/>
  <c r="U58" i="2"/>
  <c r="U60" i="2" s="1"/>
  <c r="H58" i="2"/>
  <c r="H60" i="2" s="1"/>
  <c r="R58" i="2"/>
  <c r="R60" i="2" s="1"/>
  <c r="Q58" i="2"/>
  <c r="Q60" i="2" s="1"/>
  <c r="K58" i="2"/>
  <c r="K60" i="2" s="1"/>
  <c r="I58" i="2"/>
  <c r="I60" i="2" s="1"/>
  <c r="M58" i="2"/>
  <c r="M60" i="2" s="1"/>
  <c r="N58" i="2"/>
  <c r="N60" i="2" s="1"/>
  <c r="AF58" i="2"/>
  <c r="AF60" i="2" s="1"/>
  <c r="X58" i="2"/>
  <c r="X60" i="2" s="1"/>
  <c r="S58" i="2"/>
  <c r="S60" i="2" s="1"/>
  <c r="AD58" i="2"/>
  <c r="AD60" i="2" s="1"/>
  <c r="AB58" i="2"/>
  <c r="AB60" i="2" s="1"/>
  <c r="AC58" i="2"/>
  <c r="AC60" i="2" s="1"/>
  <c r="P58" i="2"/>
  <c r="P60" i="2" s="1"/>
  <c r="W58" i="2"/>
  <c r="W60" i="2" s="1"/>
  <c r="AE58" i="2"/>
  <c r="AE60" i="2" s="1"/>
  <c r="V58" i="2"/>
  <c r="V60" i="2" s="1"/>
  <c r="Y58" i="2"/>
  <c r="Y60" i="2" s="1"/>
  <c r="Z58" i="2"/>
  <c r="Z60" i="2" s="1"/>
  <c r="O58" i="2"/>
  <c r="O60" i="2" s="1"/>
  <c r="L58" i="2"/>
  <c r="L60" i="2" s="1"/>
  <c r="J58" i="2"/>
  <c r="J60" i="2" s="1"/>
  <c r="F58" i="2"/>
  <c r="E286" i="2"/>
  <c r="AB316" i="1"/>
  <c r="AC316" i="1" s="1"/>
  <c r="J453" i="2"/>
  <c r="AG453" i="2" s="1"/>
  <c r="AH453" i="2" s="1"/>
  <c r="AG452" i="2"/>
  <c r="AH452" i="2" s="1"/>
  <c r="I144" i="1"/>
  <c r="N523" i="2"/>
  <c r="AF505" i="2"/>
  <c r="AB505" i="2"/>
  <c r="T505" i="2"/>
  <c r="X505" i="2"/>
  <c r="J477" i="2"/>
  <c r="J473" i="2"/>
  <c r="AG470" i="2"/>
  <c r="AH470" i="2" s="1"/>
  <c r="AG493" i="2"/>
  <c r="AH493" i="2" s="1"/>
  <c r="F494" i="2"/>
  <c r="U505" i="2"/>
  <c r="Z505" i="2"/>
  <c r="AA505" i="2"/>
  <c r="AE505" i="2"/>
  <c r="V505" i="2"/>
  <c r="E163" i="2"/>
  <c r="O523" i="2"/>
  <c r="P523" i="2"/>
  <c r="R523" i="2"/>
  <c r="G523" i="2"/>
  <c r="AD505" i="2"/>
  <c r="AC505" i="2"/>
  <c r="Q523" i="2"/>
  <c r="Q505" i="2"/>
  <c r="K523" i="2"/>
  <c r="S505" i="2"/>
  <c r="M523" i="2"/>
  <c r="L523" i="2"/>
  <c r="J523" i="2"/>
  <c r="E499" i="2"/>
  <c r="AG497" i="2"/>
  <c r="AH497" i="2" s="1"/>
  <c r="I523" i="2"/>
  <c r="W505" i="2"/>
  <c r="R505" i="2"/>
  <c r="H523" i="2"/>
  <c r="Y505" i="2"/>
  <c r="L514" i="2" l="1"/>
  <c r="L543" i="2" s="1"/>
  <c r="L562" i="2" s="1"/>
  <c r="K614" i="2"/>
  <c r="K552" i="2"/>
  <c r="L552" i="2"/>
  <c r="L614" i="2"/>
  <c r="H614" i="2"/>
  <c r="H552" i="2"/>
  <c r="M552" i="2"/>
  <c r="M614" i="2"/>
  <c r="J614" i="2"/>
  <c r="J552" i="2"/>
  <c r="O614" i="2"/>
  <c r="O587" i="2"/>
  <c r="O613" i="2"/>
  <c r="O629" i="2"/>
  <c r="O631" i="2" s="1"/>
  <c r="O651" i="2" s="1"/>
  <c r="O552" i="2"/>
  <c r="H543" i="2"/>
  <c r="H562" i="2" s="1"/>
  <c r="G543" i="2"/>
  <c r="G562" i="2" s="1"/>
  <c r="M543" i="2"/>
  <c r="M562" i="2" s="1"/>
  <c r="J543" i="2"/>
  <c r="J562" i="2" s="1"/>
  <c r="K543" i="2"/>
  <c r="K562" i="2" s="1"/>
  <c r="I543" i="2"/>
  <c r="I562" i="2" s="1"/>
  <c r="I552" i="2"/>
  <c r="G552" i="2"/>
  <c r="E288" i="2"/>
  <c r="E307" i="2" s="1"/>
  <c r="E322" i="2" s="1"/>
  <c r="AB286" i="2"/>
  <c r="AB288" i="2" s="1"/>
  <c r="L286" i="2"/>
  <c r="L288" i="2" s="1"/>
  <c r="AC286" i="2"/>
  <c r="AC288" i="2" s="1"/>
  <c r="G286" i="2"/>
  <c r="G288" i="2" s="1"/>
  <c r="S286" i="2"/>
  <c r="S288" i="2" s="1"/>
  <c r="P286" i="2"/>
  <c r="P288" i="2" s="1"/>
  <c r="O286" i="2"/>
  <c r="O288" i="2" s="1"/>
  <c r="I286" i="2"/>
  <c r="I288" i="2" s="1"/>
  <c r="Y286" i="2"/>
  <c r="Y288" i="2" s="1"/>
  <c r="K286" i="2"/>
  <c r="K288" i="2" s="1"/>
  <c r="Z286" i="2"/>
  <c r="Z288" i="2" s="1"/>
  <c r="AF286" i="2"/>
  <c r="AF288" i="2" s="1"/>
  <c r="W286" i="2"/>
  <c r="W288" i="2" s="1"/>
  <c r="N286" i="2"/>
  <c r="N288" i="2" s="1"/>
  <c r="X286" i="2"/>
  <c r="X288" i="2" s="1"/>
  <c r="V286" i="2"/>
  <c r="V288" i="2" s="1"/>
  <c r="M286" i="2"/>
  <c r="M288" i="2" s="1"/>
  <c r="AE286" i="2"/>
  <c r="AE288" i="2" s="1"/>
  <c r="R286" i="2"/>
  <c r="R288" i="2" s="1"/>
  <c r="AA286" i="2"/>
  <c r="AA288" i="2" s="1"/>
  <c r="J286" i="2"/>
  <c r="J288" i="2" s="1"/>
  <c r="Q286" i="2"/>
  <c r="Q288" i="2" s="1"/>
  <c r="F286" i="2"/>
  <c r="U286" i="2"/>
  <c r="U288" i="2" s="1"/>
  <c r="H286" i="2"/>
  <c r="H288" i="2" s="1"/>
  <c r="T286" i="2"/>
  <c r="T288" i="2" s="1"/>
  <c r="AD286" i="2"/>
  <c r="AD288" i="2" s="1"/>
  <c r="F60" i="2"/>
  <c r="AG60" i="2" s="1"/>
  <c r="AH60" i="2" s="1"/>
  <c r="AG58" i="2"/>
  <c r="AH58" i="2" s="1"/>
  <c r="O460" i="1"/>
  <c r="AB458" i="1"/>
  <c r="AC458" i="1" s="1"/>
  <c r="O285" i="1"/>
  <c r="AB283" i="1"/>
  <c r="AC283" i="1" s="1"/>
  <c r="E250" i="2"/>
  <c r="E269" i="2" s="1"/>
  <c r="E321" i="2" s="1"/>
  <c r="S248" i="2"/>
  <c r="S250" i="2" s="1"/>
  <c r="M248" i="2"/>
  <c r="M250" i="2" s="1"/>
  <c r="K248" i="2"/>
  <c r="K250" i="2" s="1"/>
  <c r="L248" i="2"/>
  <c r="L250" i="2" s="1"/>
  <c r="V248" i="2"/>
  <c r="V250" i="2" s="1"/>
  <c r="N248" i="2"/>
  <c r="N250" i="2" s="1"/>
  <c r="W248" i="2"/>
  <c r="W250" i="2" s="1"/>
  <c r="AA248" i="2"/>
  <c r="AA250" i="2" s="1"/>
  <c r="Z248" i="2"/>
  <c r="Z250" i="2" s="1"/>
  <c r="Y248" i="2"/>
  <c r="Y250" i="2" s="1"/>
  <c r="O248" i="2"/>
  <c r="O250" i="2" s="1"/>
  <c r="H248" i="2"/>
  <c r="H250" i="2" s="1"/>
  <c r="J248" i="2"/>
  <c r="J250" i="2" s="1"/>
  <c r="AD248" i="2"/>
  <c r="AD250" i="2" s="1"/>
  <c r="Q248" i="2"/>
  <c r="Q250" i="2" s="1"/>
  <c r="U248" i="2"/>
  <c r="U250" i="2" s="1"/>
  <c r="P248" i="2"/>
  <c r="P250" i="2" s="1"/>
  <c r="R248" i="2"/>
  <c r="R250" i="2" s="1"/>
  <c r="AC248" i="2"/>
  <c r="AC250" i="2" s="1"/>
  <c r="I248" i="2"/>
  <c r="I250" i="2" s="1"/>
  <c r="X248" i="2"/>
  <c r="X250" i="2" s="1"/>
  <c r="AE248" i="2"/>
  <c r="AE250" i="2" s="1"/>
  <c r="AF248" i="2"/>
  <c r="AF250" i="2" s="1"/>
  <c r="F248" i="2"/>
  <c r="T248" i="2"/>
  <c r="T250" i="2" s="1"/>
  <c r="G248" i="2"/>
  <c r="G250" i="2" s="1"/>
  <c r="AB248" i="2"/>
  <c r="AB250" i="2" s="1"/>
  <c r="F161" i="2"/>
  <c r="F8" i="2"/>
  <c r="AG494" i="2"/>
  <c r="AH494" i="2" s="1"/>
  <c r="F199" i="2"/>
  <c r="F237" i="2"/>
  <c r="F123" i="2"/>
  <c r="F275" i="2"/>
  <c r="F85" i="2"/>
  <c r="F47" i="2"/>
  <c r="X514" i="2"/>
  <c r="X543" i="2"/>
  <c r="X587" i="2" s="1"/>
  <c r="X613" i="2" s="1"/>
  <c r="T543" i="2"/>
  <c r="T587" i="2" s="1"/>
  <c r="T613" i="2" s="1"/>
  <c r="T514" i="2"/>
  <c r="AF514" i="2"/>
  <c r="J474" i="2"/>
  <c r="AG473" i="2"/>
  <c r="AH473" i="2" s="1"/>
  <c r="AC514" i="2"/>
  <c r="AC543" i="2"/>
  <c r="AC587" i="2" s="1"/>
  <c r="AC613" i="2" s="1"/>
  <c r="R552" i="2"/>
  <c r="W514" i="2"/>
  <c r="W543" i="2"/>
  <c r="W587" i="2" s="1"/>
  <c r="W613" i="2" s="1"/>
  <c r="S514" i="2"/>
  <c r="Q552" i="2"/>
  <c r="Z543" i="2"/>
  <c r="Z587" i="2" s="1"/>
  <c r="Z613" i="2" s="1"/>
  <c r="Z514" i="2"/>
  <c r="AA514" i="2"/>
  <c r="AA543" i="2"/>
  <c r="AA587" i="2" s="1"/>
  <c r="AA613" i="2" s="1"/>
  <c r="U543" i="2"/>
  <c r="U587" i="2" s="1"/>
  <c r="U613" i="2" s="1"/>
  <c r="U514" i="2"/>
  <c r="J480" i="2"/>
  <c r="AG477" i="2"/>
  <c r="AH477" i="2" s="1"/>
  <c r="E86" i="2"/>
  <c r="AD514" i="2"/>
  <c r="AD543" i="2"/>
  <c r="AD587" i="2" s="1"/>
  <c r="AD613" i="2" s="1"/>
  <c r="V543" i="2"/>
  <c r="V587" i="2" s="1"/>
  <c r="V613" i="2" s="1"/>
  <c r="V514" i="2"/>
  <c r="Y543" i="2"/>
  <c r="Y587" i="2" s="1"/>
  <c r="Y613" i="2" s="1"/>
  <c r="Y514" i="2"/>
  <c r="E500" i="2"/>
  <c r="G499" i="2"/>
  <c r="G500" i="2" s="1"/>
  <c r="F499" i="2"/>
  <c r="AD499" i="2"/>
  <c r="AD500" i="2" s="1"/>
  <c r="AB499" i="2"/>
  <c r="AB500" i="2" s="1"/>
  <c r="H499" i="2"/>
  <c r="H500" i="2" s="1"/>
  <c r="U499" i="2"/>
  <c r="U500" i="2" s="1"/>
  <c r="W499" i="2"/>
  <c r="W500" i="2" s="1"/>
  <c r="L499" i="2"/>
  <c r="L500" i="2" s="1"/>
  <c r="V499" i="2"/>
  <c r="V500" i="2" s="1"/>
  <c r="M499" i="2"/>
  <c r="M500" i="2" s="1"/>
  <c r="X499" i="2"/>
  <c r="X500" i="2" s="1"/>
  <c r="O499" i="2"/>
  <c r="O500" i="2" s="1"/>
  <c r="AA499" i="2"/>
  <c r="AA500" i="2" s="1"/>
  <c r="AC499" i="2"/>
  <c r="AC500" i="2" s="1"/>
  <c r="J499" i="2"/>
  <c r="J500" i="2" s="1"/>
  <c r="S499" i="2"/>
  <c r="S500" i="2" s="1"/>
  <c r="AE499" i="2"/>
  <c r="AE500" i="2" s="1"/>
  <c r="T499" i="2"/>
  <c r="T500" i="2" s="1"/>
  <c r="Q499" i="2"/>
  <c r="Q500" i="2" s="1"/>
  <c r="AF499" i="2"/>
  <c r="AF500" i="2" s="1"/>
  <c r="Z499" i="2"/>
  <c r="Z500" i="2" s="1"/>
  <c r="Y499" i="2"/>
  <c r="Y500" i="2" s="1"/>
  <c r="R499" i="2"/>
  <c r="R500" i="2" s="1"/>
  <c r="I499" i="2"/>
  <c r="I500" i="2" s="1"/>
  <c r="P499" i="2"/>
  <c r="P500" i="2" s="1"/>
  <c r="N499" i="2"/>
  <c r="N500" i="2" s="1"/>
  <c r="K499" i="2"/>
  <c r="K500" i="2" s="1"/>
  <c r="P552" i="2"/>
  <c r="AE514" i="2"/>
  <c r="AB543" i="2"/>
  <c r="AB587" i="2" s="1"/>
  <c r="AB613" i="2" s="1"/>
  <c r="AB514" i="2"/>
  <c r="L587" i="2" l="1"/>
  <c r="L613" i="2"/>
  <c r="J587" i="2"/>
  <c r="J613" i="2"/>
  <c r="M613" i="2"/>
  <c r="M587" i="2"/>
  <c r="H587" i="2"/>
  <c r="H613" i="2"/>
  <c r="K587" i="2"/>
  <c r="K613" i="2"/>
  <c r="F505" i="2"/>
  <c r="F514" i="2" s="1"/>
  <c r="G587" i="2"/>
  <c r="G613" i="2"/>
  <c r="I587" i="2"/>
  <c r="I613" i="2"/>
  <c r="F288" i="2"/>
  <c r="AG288" i="2" s="1"/>
  <c r="AH288" i="2" s="1"/>
  <c r="AG286" i="2"/>
  <c r="AH286" i="2" s="1"/>
  <c r="AG248" i="2"/>
  <c r="AH248" i="2" s="1"/>
  <c r="F250" i="2"/>
  <c r="AG250" i="2" s="1"/>
  <c r="AH250" i="2" s="1"/>
  <c r="O462" i="1"/>
  <c r="AB460" i="1"/>
  <c r="AC460" i="1" s="1"/>
  <c r="O129" i="1"/>
  <c r="E134" i="2"/>
  <c r="O328" i="1"/>
  <c r="AB328" i="1" s="1"/>
  <c r="AC328" i="1" s="1"/>
  <c r="O287" i="1"/>
  <c r="AB287" i="1" s="1"/>
  <c r="AC287" i="1" s="1"/>
  <c r="AB285" i="1"/>
  <c r="AC285" i="1" s="1"/>
  <c r="F523" i="2"/>
  <c r="AG85" i="2"/>
  <c r="AH85" i="2" s="1"/>
  <c r="AG199" i="2"/>
  <c r="AH199" i="2" s="1"/>
  <c r="AA501" i="2"/>
  <c r="AC501" i="2"/>
  <c r="J501" i="2"/>
  <c r="S501" i="2"/>
  <c r="AE501" i="2"/>
  <c r="T501" i="2"/>
  <c r="P501" i="2"/>
  <c r="Q501" i="2"/>
  <c r="AF501" i="2"/>
  <c r="Z501" i="2"/>
  <c r="Y501" i="2"/>
  <c r="R501" i="2"/>
  <c r="G501" i="2"/>
  <c r="I501" i="2"/>
  <c r="K501" i="2"/>
  <c r="AD501" i="2"/>
  <c r="AB501" i="2"/>
  <c r="N501" i="2"/>
  <c r="H501" i="2"/>
  <c r="U501" i="2"/>
  <c r="W501" i="2"/>
  <c r="L501" i="2"/>
  <c r="V501" i="2"/>
  <c r="M501" i="2"/>
  <c r="X501" i="2"/>
  <c r="O501" i="2"/>
  <c r="E524" i="2"/>
  <c r="E87" i="2"/>
  <c r="AG275" i="2"/>
  <c r="AH275" i="2" s="1"/>
  <c r="S543" i="2"/>
  <c r="S532" i="2"/>
  <c r="AG123" i="2"/>
  <c r="AH123" i="2" s="1"/>
  <c r="AG8" i="2"/>
  <c r="AH8" i="2" s="1"/>
  <c r="F500" i="2"/>
  <c r="AG500" i="2" s="1"/>
  <c r="AH500" i="2" s="1"/>
  <c r="AG499" i="2"/>
  <c r="AH499" i="2" s="1"/>
  <c r="J481" i="2"/>
  <c r="AG480" i="2"/>
  <c r="AH480" i="2" s="1"/>
  <c r="J475" i="2"/>
  <c r="AG474" i="2"/>
  <c r="AH474" i="2" s="1"/>
  <c r="AG47" i="2"/>
  <c r="AH47" i="2" s="1"/>
  <c r="AG237" i="2"/>
  <c r="AH237" i="2" s="1"/>
  <c r="AG161" i="2"/>
  <c r="AH161" i="2" s="1"/>
  <c r="E136" i="2" l="1"/>
  <c r="E155" i="2" s="1"/>
  <c r="E319" i="2" s="1"/>
  <c r="E324" i="2" s="1"/>
  <c r="E356" i="2" s="1"/>
  <c r="T134" i="2"/>
  <c r="K134" i="2"/>
  <c r="K508" i="2" s="1"/>
  <c r="U134" i="2"/>
  <c r="L134" i="2"/>
  <c r="L508" i="2" s="1"/>
  <c r="Q134" i="2"/>
  <c r="I134" i="2"/>
  <c r="I508" i="2" s="1"/>
  <c r="S134" i="2"/>
  <c r="AC134" i="2"/>
  <c r="O134" i="2"/>
  <c r="O508" i="2" s="1"/>
  <c r="AD134" i="2"/>
  <c r="E508" i="2"/>
  <c r="AE134" i="2"/>
  <c r="G134" i="2"/>
  <c r="G508" i="2" s="1"/>
  <c r="H134" i="2"/>
  <c r="H508" i="2" s="1"/>
  <c r="Z134" i="2"/>
  <c r="AA134" i="2"/>
  <c r="X134" i="2"/>
  <c r="N134" i="2"/>
  <c r="N508" i="2" s="1"/>
  <c r="J134" i="2"/>
  <c r="J136" i="2" s="1"/>
  <c r="AF134" i="2"/>
  <c r="V134" i="2"/>
  <c r="M134" i="2"/>
  <c r="M508" i="2" s="1"/>
  <c r="W134" i="2"/>
  <c r="Y134" i="2"/>
  <c r="F134" i="2"/>
  <c r="F508" i="2" s="1"/>
  <c r="R134" i="2"/>
  <c r="P134" i="2"/>
  <c r="P508" i="2" s="1"/>
  <c r="AB134" i="2"/>
  <c r="O133" i="1"/>
  <c r="AB129" i="1"/>
  <c r="AC129" i="1" s="1"/>
  <c r="E172" i="2"/>
  <c r="AB462" i="1"/>
  <c r="AC462" i="1" s="1"/>
  <c r="AG505" i="2"/>
  <c r="F501" i="2"/>
  <c r="V162" i="2"/>
  <c r="V163" i="2" s="1"/>
  <c r="V200" i="2"/>
  <c r="V201" i="2" s="1"/>
  <c r="V231" i="2" s="1"/>
  <c r="V363" i="2" s="1"/>
  <c r="V48" i="2"/>
  <c r="V49" i="2" s="1"/>
  <c r="V79" i="2" s="1"/>
  <c r="V86" i="2"/>
  <c r="V87" i="2" s="1"/>
  <c r="V9" i="2"/>
  <c r="V10" i="2" s="1"/>
  <c r="V40" i="2" s="1"/>
  <c r="V276" i="2"/>
  <c r="V277" i="2" s="1"/>
  <c r="V307" i="2" s="1"/>
  <c r="V322" i="2" s="1"/>
  <c r="V124" i="2"/>
  <c r="V238" i="2"/>
  <c r="V239" i="2" s="1"/>
  <c r="V269" i="2" s="1"/>
  <c r="V321" i="2" s="1"/>
  <c r="H124" i="2"/>
  <c r="H162" i="2"/>
  <c r="H163" i="2" s="1"/>
  <c r="H9" i="2"/>
  <c r="H10" i="2" s="1"/>
  <c r="H40" i="2" s="1"/>
  <c r="H276" i="2"/>
  <c r="H277" i="2" s="1"/>
  <c r="H307" i="2" s="1"/>
  <c r="H322" i="2" s="1"/>
  <c r="H200" i="2"/>
  <c r="H201" i="2" s="1"/>
  <c r="H231" i="2" s="1"/>
  <c r="H363" i="2" s="1"/>
  <c r="H86" i="2"/>
  <c r="H48" i="2"/>
  <c r="H49" i="2" s="1"/>
  <c r="H79" i="2" s="1"/>
  <c r="H238" i="2"/>
  <c r="H239" i="2" s="1"/>
  <c r="H269" i="2" s="1"/>
  <c r="H321" i="2" s="1"/>
  <c r="K276" i="2"/>
  <c r="K277" i="2" s="1"/>
  <c r="K307" i="2" s="1"/>
  <c r="K322" i="2" s="1"/>
  <c r="K238" i="2"/>
  <c r="K239" i="2" s="1"/>
  <c r="K269" i="2" s="1"/>
  <c r="K321" i="2" s="1"/>
  <c r="K124" i="2"/>
  <c r="K48" i="2"/>
  <c r="K49" i="2" s="1"/>
  <c r="K79" i="2" s="1"/>
  <c r="K200" i="2"/>
  <c r="K201" i="2" s="1"/>
  <c r="K231" i="2" s="1"/>
  <c r="K363" i="2" s="1"/>
  <c r="K9" i="2"/>
  <c r="K10" i="2" s="1"/>
  <c r="K40" i="2" s="1"/>
  <c r="K86" i="2"/>
  <c r="K162" i="2"/>
  <c r="K163" i="2" s="1"/>
  <c r="Y48" i="2"/>
  <c r="Y49" i="2" s="1"/>
  <c r="Y79" i="2" s="1"/>
  <c r="Y238" i="2"/>
  <c r="Y239" i="2" s="1"/>
  <c r="Y269" i="2" s="1"/>
  <c r="Y321" i="2" s="1"/>
  <c r="Y200" i="2"/>
  <c r="Y201" i="2" s="1"/>
  <c r="Y231" i="2" s="1"/>
  <c r="Y363" i="2" s="1"/>
  <c r="Y9" i="2"/>
  <c r="Y10" i="2" s="1"/>
  <c r="Y40" i="2" s="1"/>
  <c r="Y86" i="2"/>
  <c r="Y87" i="2" s="1"/>
  <c r="Y124" i="2"/>
  <c r="Y276" i="2"/>
  <c r="Y277" i="2" s="1"/>
  <c r="Y307" i="2" s="1"/>
  <c r="Y322" i="2" s="1"/>
  <c r="Y162" i="2"/>
  <c r="Y163" i="2" s="1"/>
  <c r="P200" i="2"/>
  <c r="P201" i="2" s="1"/>
  <c r="P231" i="2" s="1"/>
  <c r="P363" i="2" s="1"/>
  <c r="P48" i="2"/>
  <c r="P49" i="2" s="1"/>
  <c r="P79" i="2" s="1"/>
  <c r="P162" i="2"/>
  <c r="P163" i="2" s="1"/>
  <c r="P276" i="2"/>
  <c r="P277" i="2" s="1"/>
  <c r="P307" i="2" s="1"/>
  <c r="P322" i="2" s="1"/>
  <c r="P238" i="2"/>
  <c r="P239" i="2" s="1"/>
  <c r="P269" i="2" s="1"/>
  <c r="P321" i="2" s="1"/>
  <c r="P86" i="2"/>
  <c r="P124" i="2"/>
  <c r="P9" i="2"/>
  <c r="P10" i="2" s="1"/>
  <c r="P40" i="2" s="1"/>
  <c r="J124" i="2"/>
  <c r="J200" i="2"/>
  <c r="J201" i="2" s="1"/>
  <c r="J162" i="2"/>
  <c r="J163" i="2" s="1"/>
  <c r="J276" i="2"/>
  <c r="J277" i="2" s="1"/>
  <c r="J9" i="2"/>
  <c r="J10" i="2" s="1"/>
  <c r="J48" i="2"/>
  <c r="J49" i="2" s="1"/>
  <c r="J86" i="2"/>
  <c r="J238" i="2"/>
  <c r="J239" i="2" s="1"/>
  <c r="J482" i="2"/>
  <c r="AG481" i="2"/>
  <c r="AH481" i="2" s="1"/>
  <c r="S587" i="2"/>
  <c r="S562" i="2"/>
  <c r="O86" i="2"/>
  <c r="O238" i="2"/>
  <c r="O239" i="2" s="1"/>
  <c r="O269" i="2" s="1"/>
  <c r="O321" i="2" s="1"/>
  <c r="O9" i="2"/>
  <c r="O10" i="2" s="1"/>
  <c r="O40" i="2" s="1"/>
  <c r="O162" i="2"/>
  <c r="O163" i="2" s="1"/>
  <c r="O124" i="2"/>
  <c r="O276" i="2"/>
  <c r="O277" i="2" s="1"/>
  <c r="O307" i="2" s="1"/>
  <c r="O322" i="2" s="1"/>
  <c r="O200" i="2"/>
  <c r="O201" i="2" s="1"/>
  <c r="O231" i="2" s="1"/>
  <c r="O363" i="2" s="1"/>
  <c r="O48" i="2"/>
  <c r="O49" i="2" s="1"/>
  <c r="O79" i="2" s="1"/>
  <c r="L9" i="2"/>
  <c r="L10" i="2" s="1"/>
  <c r="L40" i="2" s="1"/>
  <c r="L124" i="2"/>
  <c r="L200" i="2"/>
  <c r="L201" i="2" s="1"/>
  <c r="L231" i="2" s="1"/>
  <c r="L363" i="2" s="1"/>
  <c r="L48" i="2"/>
  <c r="L49" i="2" s="1"/>
  <c r="L79" i="2" s="1"/>
  <c r="L276" i="2"/>
  <c r="L277" i="2" s="1"/>
  <c r="L307" i="2" s="1"/>
  <c r="L322" i="2" s="1"/>
  <c r="L162" i="2"/>
  <c r="L163" i="2" s="1"/>
  <c r="L86" i="2"/>
  <c r="L238" i="2"/>
  <c r="L239" i="2" s="1"/>
  <c r="L269" i="2" s="1"/>
  <c r="L321" i="2" s="1"/>
  <c r="N200" i="2"/>
  <c r="N201" i="2" s="1"/>
  <c r="N231" i="2" s="1"/>
  <c r="N363" i="2" s="1"/>
  <c r="N86" i="2"/>
  <c r="N276" i="2"/>
  <c r="N277" i="2" s="1"/>
  <c r="N307" i="2" s="1"/>
  <c r="N322" i="2" s="1"/>
  <c r="N124" i="2"/>
  <c r="N48" i="2"/>
  <c r="N49" i="2" s="1"/>
  <c r="N79" i="2" s="1"/>
  <c r="N162" i="2"/>
  <c r="N163" i="2" s="1"/>
  <c r="N9" i="2"/>
  <c r="N10" i="2" s="1"/>
  <c r="N40" i="2" s="1"/>
  <c r="N238" i="2"/>
  <c r="N239" i="2" s="1"/>
  <c r="N269" i="2" s="1"/>
  <c r="N321" i="2" s="1"/>
  <c r="I86" i="2"/>
  <c r="I9" i="2"/>
  <c r="I10" i="2" s="1"/>
  <c r="I40" i="2" s="1"/>
  <c r="I238" i="2"/>
  <c r="I239" i="2" s="1"/>
  <c r="I269" i="2" s="1"/>
  <c r="I321" i="2" s="1"/>
  <c r="I162" i="2"/>
  <c r="I163" i="2" s="1"/>
  <c r="I124" i="2"/>
  <c r="I200" i="2"/>
  <c r="I201" i="2" s="1"/>
  <c r="I231" i="2" s="1"/>
  <c r="I363" i="2" s="1"/>
  <c r="I48" i="2"/>
  <c r="I49" i="2" s="1"/>
  <c r="I79" i="2" s="1"/>
  <c r="I276" i="2"/>
  <c r="I277" i="2" s="1"/>
  <c r="I307" i="2" s="1"/>
  <c r="I322" i="2" s="1"/>
  <c r="Z48" i="2"/>
  <c r="Z49" i="2" s="1"/>
  <c r="Z79" i="2" s="1"/>
  <c r="Z200" i="2"/>
  <c r="Z201" i="2" s="1"/>
  <c r="Z231" i="2" s="1"/>
  <c r="Z363" i="2" s="1"/>
  <c r="Z276" i="2"/>
  <c r="Z277" i="2" s="1"/>
  <c r="Z307" i="2" s="1"/>
  <c r="Z322" i="2" s="1"/>
  <c r="Z9" i="2"/>
  <c r="Z10" i="2" s="1"/>
  <c r="Z40" i="2" s="1"/>
  <c r="Z86" i="2"/>
  <c r="Z87" i="2" s="1"/>
  <c r="Z238" i="2"/>
  <c r="Z239" i="2" s="1"/>
  <c r="Z269" i="2" s="1"/>
  <c r="Z321" i="2" s="1"/>
  <c r="Z124" i="2"/>
  <c r="Z162" i="2"/>
  <c r="Z163" i="2" s="1"/>
  <c r="T200" i="2"/>
  <c r="T201" i="2" s="1"/>
  <c r="T231" i="2" s="1"/>
  <c r="T363" i="2" s="1"/>
  <c r="T238" i="2"/>
  <c r="T239" i="2" s="1"/>
  <c r="T269" i="2" s="1"/>
  <c r="T321" i="2" s="1"/>
  <c r="T48" i="2"/>
  <c r="T49" i="2" s="1"/>
  <c r="T79" i="2" s="1"/>
  <c r="T124" i="2"/>
  <c r="T9" i="2"/>
  <c r="T10" i="2" s="1"/>
  <c r="T40" i="2" s="1"/>
  <c r="T162" i="2"/>
  <c r="T163" i="2" s="1"/>
  <c r="T86" i="2"/>
  <c r="T87" i="2" s="1"/>
  <c r="T276" i="2"/>
  <c r="T277" i="2" s="1"/>
  <c r="T307" i="2" s="1"/>
  <c r="T322" i="2" s="1"/>
  <c r="AC48" i="2"/>
  <c r="AC49" i="2" s="1"/>
  <c r="AC79" i="2" s="1"/>
  <c r="AC200" i="2"/>
  <c r="AC201" i="2" s="1"/>
  <c r="AC231" i="2" s="1"/>
  <c r="AC363" i="2" s="1"/>
  <c r="AC9" i="2"/>
  <c r="AC10" i="2" s="1"/>
  <c r="AC40" i="2" s="1"/>
  <c r="AC276" i="2"/>
  <c r="AC277" i="2" s="1"/>
  <c r="AC307" i="2" s="1"/>
  <c r="AC322" i="2" s="1"/>
  <c r="AC86" i="2"/>
  <c r="AC87" i="2" s="1"/>
  <c r="AC238" i="2"/>
  <c r="AC239" i="2" s="1"/>
  <c r="AC269" i="2" s="1"/>
  <c r="AC321" i="2" s="1"/>
  <c r="AC124" i="2"/>
  <c r="AC162" i="2"/>
  <c r="AC163" i="2" s="1"/>
  <c r="J93" i="2"/>
  <c r="J16" i="2"/>
  <c r="AG16" i="2" s="1"/>
  <c r="AH16" i="2" s="1"/>
  <c r="J207" i="2"/>
  <c r="AG207" i="2" s="1"/>
  <c r="AH207" i="2" s="1"/>
  <c r="J55" i="2"/>
  <c r="AG55" i="2" s="1"/>
  <c r="AH55" i="2" s="1"/>
  <c r="AG475" i="2"/>
  <c r="AH475" i="2" s="1"/>
  <c r="X238" i="2"/>
  <c r="X239" i="2" s="1"/>
  <c r="X269" i="2" s="1"/>
  <c r="X321" i="2" s="1"/>
  <c r="X86" i="2"/>
  <c r="X87" i="2" s="1"/>
  <c r="X276" i="2"/>
  <c r="X277" i="2" s="1"/>
  <c r="X307" i="2" s="1"/>
  <c r="X322" i="2" s="1"/>
  <c r="X48" i="2"/>
  <c r="X49" i="2" s="1"/>
  <c r="X79" i="2" s="1"/>
  <c r="X9" i="2"/>
  <c r="X10" i="2" s="1"/>
  <c r="X40" i="2" s="1"/>
  <c r="X200" i="2"/>
  <c r="X201" i="2" s="1"/>
  <c r="X231" i="2" s="1"/>
  <c r="X363" i="2" s="1"/>
  <c r="X124" i="2"/>
  <c r="X162" i="2"/>
  <c r="X163" i="2" s="1"/>
  <c r="W200" i="2"/>
  <c r="W201" i="2" s="1"/>
  <c r="W231" i="2" s="1"/>
  <c r="W363" i="2" s="1"/>
  <c r="W9" i="2"/>
  <c r="W10" i="2" s="1"/>
  <c r="W40" i="2" s="1"/>
  <c r="W86" i="2"/>
  <c r="W87" i="2" s="1"/>
  <c r="W162" i="2"/>
  <c r="W163" i="2" s="1"/>
  <c r="W48" i="2"/>
  <c r="W49" i="2" s="1"/>
  <c r="W79" i="2" s="1"/>
  <c r="W276" i="2"/>
  <c r="W277" i="2" s="1"/>
  <c r="W307" i="2" s="1"/>
  <c r="W322" i="2" s="1"/>
  <c r="W238" i="2"/>
  <c r="W239" i="2" s="1"/>
  <c r="W269" i="2" s="1"/>
  <c r="W321" i="2" s="1"/>
  <c r="W124" i="2"/>
  <c r="AB124" i="2"/>
  <c r="AB200" i="2"/>
  <c r="AB201" i="2" s="1"/>
  <c r="AB231" i="2" s="1"/>
  <c r="AB363" i="2" s="1"/>
  <c r="AB48" i="2"/>
  <c r="AB49" i="2" s="1"/>
  <c r="AB79" i="2" s="1"/>
  <c r="AB162" i="2"/>
  <c r="AB163" i="2" s="1"/>
  <c r="AB86" i="2"/>
  <c r="AB87" i="2" s="1"/>
  <c r="AB9" i="2"/>
  <c r="AB10" i="2" s="1"/>
  <c r="AB40" i="2" s="1"/>
  <c r="AB238" i="2"/>
  <c r="AB239" i="2" s="1"/>
  <c r="AB269" i="2" s="1"/>
  <c r="AB321" i="2" s="1"/>
  <c r="AB276" i="2"/>
  <c r="AB277" i="2" s="1"/>
  <c r="AB307" i="2" s="1"/>
  <c r="AB322" i="2" s="1"/>
  <c r="G48" i="2"/>
  <c r="G49" i="2" s="1"/>
  <c r="G79" i="2" s="1"/>
  <c r="G124" i="2"/>
  <c r="G200" i="2"/>
  <c r="G201" i="2" s="1"/>
  <c r="G231" i="2" s="1"/>
  <c r="G363" i="2" s="1"/>
  <c r="G86" i="2"/>
  <c r="G238" i="2"/>
  <c r="G239" i="2" s="1"/>
  <c r="G269" i="2" s="1"/>
  <c r="G321" i="2" s="1"/>
  <c r="G276" i="2"/>
  <c r="G277" i="2" s="1"/>
  <c r="G307" i="2" s="1"/>
  <c r="G322" i="2" s="1"/>
  <c r="G162" i="2"/>
  <c r="G163" i="2" s="1"/>
  <c r="G9" i="2"/>
  <c r="G10" i="2" s="1"/>
  <c r="G40" i="2" s="1"/>
  <c r="AF124" i="2"/>
  <c r="AF9" i="2"/>
  <c r="AF10" i="2" s="1"/>
  <c r="AF40" i="2" s="1"/>
  <c r="AF276" i="2"/>
  <c r="AF277" i="2" s="1"/>
  <c r="AF307" i="2" s="1"/>
  <c r="AF322" i="2" s="1"/>
  <c r="AF238" i="2"/>
  <c r="AF239" i="2" s="1"/>
  <c r="AF269" i="2" s="1"/>
  <c r="AF321" i="2" s="1"/>
  <c r="AF162" i="2"/>
  <c r="AF163" i="2" s="1"/>
  <c r="AF86" i="2"/>
  <c r="AF87" i="2" s="1"/>
  <c r="AF48" i="2"/>
  <c r="AF49" i="2" s="1"/>
  <c r="AF79" i="2" s="1"/>
  <c r="AF200" i="2"/>
  <c r="AF201" i="2" s="1"/>
  <c r="AF231" i="2" s="1"/>
  <c r="AF363" i="2" s="1"/>
  <c r="AE124" i="2"/>
  <c r="AE162" i="2"/>
  <c r="AE163" i="2" s="1"/>
  <c r="AE200" i="2"/>
  <c r="AE201" i="2" s="1"/>
  <c r="AE231" i="2" s="1"/>
  <c r="AE363" i="2" s="1"/>
  <c r="AE9" i="2"/>
  <c r="AE10" i="2" s="1"/>
  <c r="AE40" i="2" s="1"/>
  <c r="AE238" i="2"/>
  <c r="AE239" i="2" s="1"/>
  <c r="AE269" i="2" s="1"/>
  <c r="AE321" i="2" s="1"/>
  <c r="AE86" i="2"/>
  <c r="AE87" i="2" s="1"/>
  <c r="AE276" i="2"/>
  <c r="AE277" i="2" s="1"/>
  <c r="AE307" i="2" s="1"/>
  <c r="AE322" i="2" s="1"/>
  <c r="AE48" i="2"/>
  <c r="AE49" i="2" s="1"/>
  <c r="AE79" i="2" s="1"/>
  <c r="AA238" i="2"/>
  <c r="AA239" i="2" s="1"/>
  <c r="AA269" i="2" s="1"/>
  <c r="AA321" i="2" s="1"/>
  <c r="AA86" i="2"/>
  <c r="AA87" i="2" s="1"/>
  <c r="AA162" i="2"/>
  <c r="AA163" i="2" s="1"/>
  <c r="AA9" i="2"/>
  <c r="AA10" i="2" s="1"/>
  <c r="AA40" i="2" s="1"/>
  <c r="AA276" i="2"/>
  <c r="AA277" i="2" s="1"/>
  <c r="AA307" i="2" s="1"/>
  <c r="AA322" i="2" s="1"/>
  <c r="AA48" i="2"/>
  <c r="AA49" i="2" s="1"/>
  <c r="AA79" i="2" s="1"/>
  <c r="AA200" i="2"/>
  <c r="AA201" i="2" s="1"/>
  <c r="AA231" i="2" s="1"/>
  <c r="AA363" i="2" s="1"/>
  <c r="AA124" i="2"/>
  <c r="AG523" i="2"/>
  <c r="AH523" i="2" s="1"/>
  <c r="F552" i="2"/>
  <c r="M48" i="2"/>
  <c r="M49" i="2" s="1"/>
  <c r="M79" i="2" s="1"/>
  <c r="M162" i="2"/>
  <c r="M163" i="2" s="1"/>
  <c r="M276" i="2"/>
  <c r="M277" i="2" s="1"/>
  <c r="M307" i="2" s="1"/>
  <c r="M322" i="2" s="1"/>
  <c r="M124" i="2"/>
  <c r="M200" i="2"/>
  <c r="M201" i="2" s="1"/>
  <c r="M231" i="2" s="1"/>
  <c r="M363" i="2" s="1"/>
  <c r="M86" i="2"/>
  <c r="M9" i="2"/>
  <c r="M10" i="2" s="1"/>
  <c r="M40" i="2" s="1"/>
  <c r="M238" i="2"/>
  <c r="M239" i="2" s="1"/>
  <c r="M269" i="2" s="1"/>
  <c r="M321" i="2" s="1"/>
  <c r="U9" i="2"/>
  <c r="U10" i="2" s="1"/>
  <c r="U40" i="2" s="1"/>
  <c r="U238" i="2"/>
  <c r="U239" i="2" s="1"/>
  <c r="U269" i="2" s="1"/>
  <c r="U321" i="2" s="1"/>
  <c r="U276" i="2"/>
  <c r="U277" i="2" s="1"/>
  <c r="U307" i="2" s="1"/>
  <c r="U322" i="2" s="1"/>
  <c r="U124" i="2"/>
  <c r="U162" i="2"/>
  <c r="U163" i="2" s="1"/>
  <c r="U48" i="2"/>
  <c r="U49" i="2" s="1"/>
  <c r="U79" i="2" s="1"/>
  <c r="U86" i="2"/>
  <c r="U87" i="2" s="1"/>
  <c r="U200" i="2"/>
  <c r="U201" i="2" s="1"/>
  <c r="U231" i="2" s="1"/>
  <c r="U363" i="2" s="1"/>
  <c r="AD124" i="2"/>
  <c r="AD276" i="2"/>
  <c r="AD277" i="2" s="1"/>
  <c r="AD307" i="2" s="1"/>
  <c r="AD322" i="2" s="1"/>
  <c r="AD162" i="2"/>
  <c r="AD163" i="2" s="1"/>
  <c r="AD9" i="2"/>
  <c r="AD10" i="2" s="1"/>
  <c r="AD40" i="2" s="1"/>
  <c r="AD200" i="2"/>
  <c r="AD201" i="2" s="1"/>
  <c r="AD231" i="2" s="1"/>
  <c r="AD363" i="2" s="1"/>
  <c r="AD48" i="2"/>
  <c r="AD49" i="2" s="1"/>
  <c r="AD79" i="2" s="1"/>
  <c r="AD238" i="2"/>
  <c r="AD239" i="2" s="1"/>
  <c r="AD269" i="2" s="1"/>
  <c r="AD321" i="2" s="1"/>
  <c r="AD86" i="2"/>
  <c r="AD87" i="2" s="1"/>
  <c r="R124" i="2"/>
  <c r="R48" i="2"/>
  <c r="R49" i="2" s="1"/>
  <c r="R79" i="2" s="1"/>
  <c r="R276" i="2"/>
  <c r="R277" i="2" s="1"/>
  <c r="R307" i="2" s="1"/>
  <c r="R322" i="2" s="1"/>
  <c r="R238" i="2"/>
  <c r="R239" i="2" s="1"/>
  <c r="R269" i="2" s="1"/>
  <c r="R321" i="2" s="1"/>
  <c r="R162" i="2"/>
  <c r="R163" i="2" s="1"/>
  <c r="R86" i="2"/>
  <c r="R200" i="2"/>
  <c r="R201" i="2" s="1"/>
  <c r="R231" i="2" s="1"/>
  <c r="R363" i="2" s="1"/>
  <c r="R9" i="2"/>
  <c r="R10" i="2" s="1"/>
  <c r="R40" i="2" s="1"/>
  <c r="Q48" i="2"/>
  <c r="Q49" i="2" s="1"/>
  <c r="Q79" i="2" s="1"/>
  <c r="Q162" i="2"/>
  <c r="Q163" i="2" s="1"/>
  <c r="Q238" i="2"/>
  <c r="Q239" i="2" s="1"/>
  <c r="Q269" i="2" s="1"/>
  <c r="Q321" i="2" s="1"/>
  <c r="Q86" i="2"/>
  <c r="Q9" i="2"/>
  <c r="Q10" i="2" s="1"/>
  <c r="Q40" i="2" s="1"/>
  <c r="Q276" i="2"/>
  <c r="Q277" i="2" s="1"/>
  <c r="Q307" i="2" s="1"/>
  <c r="Q322" i="2" s="1"/>
  <c r="Q124" i="2"/>
  <c r="Q200" i="2"/>
  <c r="Q201" i="2" s="1"/>
  <c r="Q231" i="2" s="1"/>
  <c r="Q363" i="2" s="1"/>
  <c r="S48" i="2"/>
  <c r="S49" i="2" s="1"/>
  <c r="S79" i="2" s="1"/>
  <c r="S162" i="2"/>
  <c r="S163" i="2" s="1"/>
  <c r="S124" i="2"/>
  <c r="S238" i="2"/>
  <c r="S239" i="2" s="1"/>
  <c r="S269" i="2" s="1"/>
  <c r="S321" i="2" s="1"/>
  <c r="S276" i="2"/>
  <c r="S277" i="2" s="1"/>
  <c r="S307" i="2" s="1"/>
  <c r="S322" i="2" s="1"/>
  <c r="S86" i="2"/>
  <c r="S87" i="2" s="1"/>
  <c r="S200" i="2"/>
  <c r="S201" i="2" s="1"/>
  <c r="S231" i="2" s="1"/>
  <c r="S363" i="2" s="1"/>
  <c r="S9" i="2"/>
  <c r="S10" i="2" s="1"/>
  <c r="S40" i="2" s="1"/>
  <c r="E517" i="2" l="1"/>
  <c r="D508" i="2"/>
  <c r="D509" i="2" s="1"/>
  <c r="E518" i="2"/>
  <c r="I506" i="2"/>
  <c r="I515" i="2" s="1"/>
  <c r="O506" i="2"/>
  <c r="J506" i="2"/>
  <c r="H506" i="2"/>
  <c r="H515" i="2" s="1"/>
  <c r="G506" i="2"/>
  <c r="G515" i="2" s="1"/>
  <c r="K506" i="2"/>
  <c r="N506" i="2"/>
  <c r="N515" i="2" s="1"/>
  <c r="M506" i="2"/>
  <c r="P506" i="2"/>
  <c r="L506" i="2"/>
  <c r="AJ134" i="2"/>
  <c r="AJ124" i="2"/>
  <c r="E326" i="2"/>
  <c r="W136" i="2"/>
  <c r="W508" i="2"/>
  <c r="S136" i="2"/>
  <c r="S508" i="2"/>
  <c r="S517" i="2" s="1"/>
  <c r="S546" i="2" s="1"/>
  <c r="R508" i="2"/>
  <c r="R517" i="2" s="1"/>
  <c r="R546" i="2" s="1"/>
  <c r="R136" i="2"/>
  <c r="M136" i="2"/>
  <c r="N136" i="2"/>
  <c r="H136" i="2"/>
  <c r="AD136" i="2"/>
  <c r="AD508" i="2"/>
  <c r="I136" i="2"/>
  <c r="K136" i="2"/>
  <c r="U136" i="2"/>
  <c r="U508" i="2"/>
  <c r="O144" i="1"/>
  <c r="AB133" i="1"/>
  <c r="AC133" i="1" s="1"/>
  <c r="F136" i="2"/>
  <c r="AG134" i="2"/>
  <c r="AH134" i="2" s="1"/>
  <c r="V136" i="2"/>
  <c r="V508" i="2"/>
  <c r="X136" i="2"/>
  <c r="X508" i="2"/>
  <c r="G136" i="2"/>
  <c r="O136" i="2"/>
  <c r="Q136" i="2"/>
  <c r="Q508" i="2"/>
  <c r="Q517" i="2" s="1"/>
  <c r="Q546" i="2" s="1"/>
  <c r="T136" i="2"/>
  <c r="T508" i="2"/>
  <c r="W172" i="2"/>
  <c r="W174" i="2" s="1"/>
  <c r="W193" i="2" s="1"/>
  <c r="K172" i="2"/>
  <c r="K174" i="2" s="1"/>
  <c r="K193" i="2" s="1"/>
  <c r="AC172" i="2"/>
  <c r="AC174" i="2" s="1"/>
  <c r="AC193" i="2" s="1"/>
  <c r="V172" i="2"/>
  <c r="V174" i="2" s="1"/>
  <c r="V193" i="2" s="1"/>
  <c r="P172" i="2"/>
  <c r="P174" i="2" s="1"/>
  <c r="P193" i="2" s="1"/>
  <c r="E174" i="2"/>
  <c r="E193" i="2" s="1"/>
  <c r="L172" i="2"/>
  <c r="L174" i="2" s="1"/>
  <c r="L193" i="2" s="1"/>
  <c r="S172" i="2"/>
  <c r="S174" i="2" s="1"/>
  <c r="S193" i="2" s="1"/>
  <c r="X172" i="2"/>
  <c r="X174" i="2" s="1"/>
  <c r="X193" i="2" s="1"/>
  <c r="J172" i="2"/>
  <c r="J174" i="2" s="1"/>
  <c r="U172" i="2"/>
  <c r="U174" i="2" s="1"/>
  <c r="U193" i="2" s="1"/>
  <c r="N172" i="2"/>
  <c r="N174" i="2" s="1"/>
  <c r="N193" i="2" s="1"/>
  <c r="Z172" i="2"/>
  <c r="Z174" i="2" s="1"/>
  <c r="Z193" i="2" s="1"/>
  <c r="AD172" i="2"/>
  <c r="AD174" i="2" s="1"/>
  <c r="AD193" i="2" s="1"/>
  <c r="R172" i="2"/>
  <c r="R174" i="2" s="1"/>
  <c r="R193" i="2" s="1"/>
  <c r="G172" i="2"/>
  <c r="G174" i="2" s="1"/>
  <c r="G193" i="2" s="1"/>
  <c r="Y172" i="2"/>
  <c r="Y174" i="2" s="1"/>
  <c r="Y193" i="2" s="1"/>
  <c r="I172" i="2"/>
  <c r="I174" i="2" s="1"/>
  <c r="I193" i="2" s="1"/>
  <c r="AA172" i="2"/>
  <c r="AA174" i="2" s="1"/>
  <c r="AA193" i="2" s="1"/>
  <c r="AE172" i="2"/>
  <c r="AE174" i="2" s="1"/>
  <c r="AE193" i="2" s="1"/>
  <c r="M172" i="2"/>
  <c r="M174" i="2" s="1"/>
  <c r="M193" i="2" s="1"/>
  <c r="Q172" i="2"/>
  <c r="Q174" i="2" s="1"/>
  <c r="Q193" i="2" s="1"/>
  <c r="F172" i="2"/>
  <c r="H172" i="2"/>
  <c r="H174" i="2" s="1"/>
  <c r="H193" i="2" s="1"/>
  <c r="O172" i="2"/>
  <c r="O174" i="2" s="1"/>
  <c r="O193" i="2" s="1"/>
  <c r="AF172" i="2"/>
  <c r="AF174" i="2" s="1"/>
  <c r="AF193" i="2" s="1"/>
  <c r="T172" i="2"/>
  <c r="T174" i="2" s="1"/>
  <c r="T193" i="2" s="1"/>
  <c r="AB172" i="2"/>
  <c r="AB174" i="2" s="1"/>
  <c r="AB193" i="2" s="1"/>
  <c r="P136" i="2"/>
  <c r="P517" i="2"/>
  <c r="P546" i="2" s="1"/>
  <c r="Z136" i="2"/>
  <c r="Z508" i="2"/>
  <c r="AE518" i="2"/>
  <c r="AB518" i="2"/>
  <c r="V518" i="2"/>
  <c r="R518" i="2"/>
  <c r="R547" i="2" s="1"/>
  <c r="S518" i="2"/>
  <c r="S547" i="2" s="1"/>
  <c r="Y518" i="2"/>
  <c r="AD518" i="2"/>
  <c r="AF518" i="2"/>
  <c r="X518" i="2"/>
  <c r="W518" i="2"/>
  <c r="T518" i="2"/>
  <c r="AC518" i="2"/>
  <c r="AA518" i="2"/>
  <c r="Q518" i="2"/>
  <c r="Q547" i="2" s="1"/>
  <c r="P518" i="2"/>
  <c r="P547" i="2" s="1"/>
  <c r="U518" i="2"/>
  <c r="Z518" i="2"/>
  <c r="E510" i="2"/>
  <c r="AB508" i="2"/>
  <c r="AB136" i="2"/>
  <c r="Y508" i="2"/>
  <c r="Y136" i="2"/>
  <c r="AF508" i="2"/>
  <c r="AF517" i="2" s="1"/>
  <c r="AF136" i="2"/>
  <c r="AA136" i="2"/>
  <c r="AA508" i="2"/>
  <c r="AE136" i="2"/>
  <c r="AE508" i="2"/>
  <c r="AE517" i="2" s="1"/>
  <c r="AC136" i="2"/>
  <c r="AC508" i="2"/>
  <c r="L136" i="2"/>
  <c r="AH505" i="2"/>
  <c r="S320" i="2"/>
  <c r="S506" i="2"/>
  <c r="S125" i="2"/>
  <c r="Q506" i="2"/>
  <c r="Q125" i="2"/>
  <c r="R320" i="2"/>
  <c r="AE506" i="2"/>
  <c r="AE125" i="2"/>
  <c r="AF506" i="2"/>
  <c r="AF125" i="2"/>
  <c r="AB506" i="2"/>
  <c r="AB125" i="2"/>
  <c r="W320" i="2"/>
  <c r="AG93" i="2"/>
  <c r="AH93" i="2" s="1"/>
  <c r="T320" i="2"/>
  <c r="I125" i="2"/>
  <c r="I524" i="2"/>
  <c r="I87" i="2"/>
  <c r="N320" i="2"/>
  <c r="O125" i="2"/>
  <c r="O524" i="2"/>
  <c r="O87" i="2"/>
  <c r="S613" i="2"/>
  <c r="J79" i="2"/>
  <c r="J231" i="2"/>
  <c r="J363" i="2" s="1"/>
  <c r="P524" i="2"/>
  <c r="P87" i="2"/>
  <c r="Y506" i="2"/>
  <c r="Y125" i="2"/>
  <c r="H524" i="2"/>
  <c r="H87" i="2"/>
  <c r="V320" i="2"/>
  <c r="M524" i="2"/>
  <c r="M87" i="2"/>
  <c r="AA506" i="2"/>
  <c r="AA125" i="2"/>
  <c r="AF320" i="2"/>
  <c r="G524" i="2"/>
  <c r="G87" i="2"/>
  <c r="W506" i="2"/>
  <c r="W125" i="2"/>
  <c r="T506" i="2"/>
  <c r="T125" i="2"/>
  <c r="N125" i="2"/>
  <c r="J40" i="2"/>
  <c r="J125" i="2"/>
  <c r="P320" i="2"/>
  <c r="K320" i="2"/>
  <c r="H320" i="2"/>
  <c r="H125" i="2"/>
  <c r="E386" i="2"/>
  <c r="F543" i="2"/>
  <c r="F562" i="2" s="1"/>
  <c r="R524" i="2"/>
  <c r="R87" i="2"/>
  <c r="R506" i="2"/>
  <c r="R125" i="2"/>
  <c r="AD320" i="2"/>
  <c r="AD506" i="2"/>
  <c r="AD125" i="2"/>
  <c r="M320" i="2"/>
  <c r="AA320" i="2"/>
  <c r="AE320" i="2"/>
  <c r="G320" i="2"/>
  <c r="X506" i="2"/>
  <c r="X125" i="2"/>
  <c r="AC506" i="2"/>
  <c r="AC125" i="2"/>
  <c r="Z506" i="2"/>
  <c r="Z125" i="2"/>
  <c r="L524" i="2"/>
  <c r="L87" i="2"/>
  <c r="L320" i="2"/>
  <c r="O320" i="2"/>
  <c r="F48" i="2"/>
  <c r="F200" i="2"/>
  <c r="AG501" i="2"/>
  <c r="AH501" i="2" s="1"/>
  <c r="F276" i="2"/>
  <c r="F86" i="2"/>
  <c r="F238" i="2"/>
  <c r="F162" i="2"/>
  <c r="F9" i="2"/>
  <c r="F124" i="2"/>
  <c r="Q320" i="2"/>
  <c r="Q524" i="2"/>
  <c r="Q87" i="2"/>
  <c r="U320" i="2"/>
  <c r="U506" i="2"/>
  <c r="U125" i="2"/>
  <c r="M125" i="2"/>
  <c r="G125" i="2"/>
  <c r="AB320" i="2"/>
  <c r="X320" i="2"/>
  <c r="AC320" i="2"/>
  <c r="Z320" i="2"/>
  <c r="I320" i="2"/>
  <c r="N524" i="2"/>
  <c r="N87" i="2"/>
  <c r="L125" i="2"/>
  <c r="J245" i="2"/>
  <c r="AG245" i="2" s="1"/>
  <c r="AH245" i="2" s="1"/>
  <c r="J283" i="2"/>
  <c r="AG283" i="2" s="1"/>
  <c r="AH283" i="2" s="1"/>
  <c r="J131" i="2"/>
  <c r="J169" i="2"/>
  <c r="AG169" i="2" s="1"/>
  <c r="AH169" i="2" s="1"/>
  <c r="AG482" i="2"/>
  <c r="AH482" i="2" s="1"/>
  <c r="J524" i="2"/>
  <c r="J87" i="2"/>
  <c r="P125" i="2"/>
  <c r="Y320" i="2"/>
  <c r="K524" i="2"/>
  <c r="K87" i="2"/>
  <c r="K125" i="2"/>
  <c r="V506" i="2"/>
  <c r="V125" i="2"/>
  <c r="M553" i="2" l="1"/>
  <c r="M616" i="2"/>
  <c r="K616" i="2"/>
  <c r="K553" i="2"/>
  <c r="J616" i="2"/>
  <c r="J553" i="2"/>
  <c r="L553" i="2"/>
  <c r="L616" i="2"/>
  <c r="H553" i="2"/>
  <c r="H616" i="2"/>
  <c r="O616" i="2"/>
  <c r="J508" i="2"/>
  <c r="F506" i="2"/>
  <c r="O553" i="2"/>
  <c r="E519" i="2"/>
  <c r="AJ125" i="2"/>
  <c r="AJ136" i="2"/>
  <c r="G553" i="2"/>
  <c r="I553" i="2"/>
  <c r="AA155" i="2"/>
  <c r="AA319" i="2" s="1"/>
  <c r="AA324" i="2" s="1"/>
  <c r="N155" i="2"/>
  <c r="N319" i="2" s="1"/>
  <c r="N324" i="2" s="1"/>
  <c r="N356" i="2" s="1"/>
  <c r="W155" i="2"/>
  <c r="W319" i="2" s="1"/>
  <c r="W324" i="2" s="1"/>
  <c r="W326" i="2" s="1"/>
  <c r="G155" i="2"/>
  <c r="G319" i="2" s="1"/>
  <c r="G324" i="2" s="1"/>
  <c r="G326" i="2" s="1"/>
  <c r="U155" i="2"/>
  <c r="U319" i="2" s="1"/>
  <c r="U324" i="2" s="1"/>
  <c r="S155" i="2"/>
  <c r="S319" i="2" s="1"/>
  <c r="S324" i="2" s="1"/>
  <c r="S356" i="2" s="1"/>
  <c r="H155" i="2"/>
  <c r="I155" i="2"/>
  <c r="I319" i="2" s="1"/>
  <c r="I324" i="2" s="1"/>
  <c r="AC155" i="2"/>
  <c r="AC319" i="2" s="1"/>
  <c r="AC324" i="2" s="1"/>
  <c r="AD155" i="2"/>
  <c r="AD319" i="2" s="1"/>
  <c r="AD324" i="2" s="1"/>
  <c r="P155" i="2"/>
  <c r="P319" i="2" s="1"/>
  <c r="P324" i="2" s="1"/>
  <c r="P356" i="2" s="1"/>
  <c r="R155" i="2"/>
  <c r="R319" i="2" s="1"/>
  <c r="R324" i="2" s="1"/>
  <c r="R356" i="2" s="1"/>
  <c r="Z155" i="2"/>
  <c r="Z319" i="2" s="1"/>
  <c r="Z324" i="2" s="1"/>
  <c r="X155" i="2"/>
  <c r="X319" i="2" s="1"/>
  <c r="X324" i="2" s="1"/>
  <c r="T155" i="2"/>
  <c r="T319" i="2" s="1"/>
  <c r="T324" i="2" s="1"/>
  <c r="T356" i="2" s="1"/>
  <c r="Y155" i="2"/>
  <c r="Y319" i="2" s="1"/>
  <c r="Y324" i="2" s="1"/>
  <c r="AB155" i="2"/>
  <c r="AB319" i="2" s="1"/>
  <c r="AB324" i="2" s="1"/>
  <c r="O155" i="2"/>
  <c r="O319" i="2" s="1"/>
  <c r="O324" i="2" s="1"/>
  <c r="AF155" i="2"/>
  <c r="AF319" i="2" s="1"/>
  <c r="AF324" i="2" s="1"/>
  <c r="Q155" i="2"/>
  <c r="Q319" i="2" s="1"/>
  <c r="Q324" i="2" s="1"/>
  <c r="U517" i="2"/>
  <c r="U546" i="2"/>
  <c r="AD546" i="2"/>
  <c r="AD517" i="2"/>
  <c r="W517" i="2"/>
  <c r="W546" i="2"/>
  <c r="AC517" i="2"/>
  <c r="AC546" i="2"/>
  <c r="AA546" i="2"/>
  <c r="AA517" i="2"/>
  <c r="R603" i="2"/>
  <c r="R629" i="2" s="1"/>
  <c r="R578" i="2"/>
  <c r="T546" i="2"/>
  <c r="T517" i="2"/>
  <c r="X546" i="2"/>
  <c r="X517" i="2"/>
  <c r="E96" i="2"/>
  <c r="AB144" i="1"/>
  <c r="AC144" i="1" s="1"/>
  <c r="AC1" i="1" s="1"/>
  <c r="R573" i="2"/>
  <c r="R598" i="2"/>
  <c r="R624" i="2" s="1"/>
  <c r="AB546" i="2"/>
  <c r="AB517" i="2"/>
  <c r="V155" i="2"/>
  <c r="V319" i="2" s="1"/>
  <c r="V324" i="2" s="1"/>
  <c r="V356" i="2" s="1"/>
  <c r="Y517" i="2"/>
  <c r="Y546" i="2"/>
  <c r="Z517" i="2"/>
  <c r="Z546" i="2"/>
  <c r="S573" i="2"/>
  <c r="S598" i="2"/>
  <c r="S624" i="2" s="1"/>
  <c r="S578" i="2"/>
  <c r="S603" i="2"/>
  <c r="S629" i="2" s="1"/>
  <c r="AE155" i="2"/>
  <c r="AE319" i="2" s="1"/>
  <c r="AE324" i="2" s="1"/>
  <c r="Q578" i="2"/>
  <c r="Q603" i="2"/>
  <c r="Q629" i="2" s="1"/>
  <c r="AG172" i="2"/>
  <c r="AH172" i="2" s="1"/>
  <c r="F174" i="2"/>
  <c r="AG174" i="2" s="1"/>
  <c r="AH174" i="2" s="1"/>
  <c r="Q598" i="2"/>
  <c r="Q624" i="2" s="1"/>
  <c r="Q573" i="2"/>
  <c r="V546" i="2"/>
  <c r="V517" i="2"/>
  <c r="AG136" i="2"/>
  <c r="AH136" i="2" s="1"/>
  <c r="K155" i="2"/>
  <c r="K319" i="2" s="1"/>
  <c r="K324" i="2" s="1"/>
  <c r="K356" i="2" s="1"/>
  <c r="M155" i="2"/>
  <c r="M319" i="2" s="1"/>
  <c r="M324" i="2" s="1"/>
  <c r="M326" i="2" s="1"/>
  <c r="L155" i="2"/>
  <c r="L319" i="2" s="1"/>
  <c r="L324" i="2" s="1"/>
  <c r="L356" i="2" s="1"/>
  <c r="U515" i="2"/>
  <c r="U544" i="2"/>
  <c r="U588" i="2" s="1"/>
  <c r="U614" i="2" s="1"/>
  <c r="U510" i="2"/>
  <c r="AG238" i="2"/>
  <c r="AH238" i="2" s="1"/>
  <c r="F239" i="2"/>
  <c r="AG200" i="2"/>
  <c r="AH200" i="2" s="1"/>
  <c r="F201" i="2"/>
  <c r="X515" i="2"/>
  <c r="X544" i="2"/>
  <c r="X588" i="2" s="1"/>
  <c r="X614" i="2" s="1"/>
  <c r="X510" i="2"/>
  <c r="AD544" i="2"/>
  <c r="AD588" i="2" s="1"/>
  <c r="AD614" i="2" s="1"/>
  <c r="AD515" i="2"/>
  <c r="AD510" i="2"/>
  <c r="E388" i="2"/>
  <c r="W544" i="2"/>
  <c r="W588" i="2" s="1"/>
  <c r="W614" i="2" s="1"/>
  <c r="W515" i="2"/>
  <c r="W510" i="2"/>
  <c r="AA515" i="2"/>
  <c r="AA544" i="2"/>
  <c r="AA588" i="2" s="1"/>
  <c r="AA614" i="2" s="1"/>
  <c r="AA510" i="2"/>
  <c r="AG124" i="2"/>
  <c r="AH124" i="2" s="1"/>
  <c r="F125" i="2"/>
  <c r="AG86" i="2"/>
  <c r="AH86" i="2" s="1"/>
  <c r="F524" i="2"/>
  <c r="AG524" i="2" s="1"/>
  <c r="AH524" i="2" s="1"/>
  <c r="F87" i="2"/>
  <c r="AG48" i="2"/>
  <c r="AH48" i="2" s="1"/>
  <c r="F49" i="2"/>
  <c r="J307" i="2"/>
  <c r="J322" i="2" s="1"/>
  <c r="N510" i="2"/>
  <c r="P553" i="2"/>
  <c r="O510" i="2"/>
  <c r="I510" i="2"/>
  <c r="AB515" i="2"/>
  <c r="AB544" i="2"/>
  <c r="AB588" i="2" s="1"/>
  <c r="AB614" i="2" s="1"/>
  <c r="AB510" i="2"/>
  <c r="AE515" i="2"/>
  <c r="AE519" i="2" s="1"/>
  <c r="AE510" i="2"/>
  <c r="Q510" i="2"/>
  <c r="V544" i="2"/>
  <c r="V588" i="2" s="1"/>
  <c r="V614" i="2" s="1"/>
  <c r="V515" i="2"/>
  <c r="V510" i="2"/>
  <c r="P510" i="2"/>
  <c r="J193" i="2"/>
  <c r="M510" i="2"/>
  <c r="Q553" i="2"/>
  <c r="AG9" i="2"/>
  <c r="AH9" i="2" s="1"/>
  <c r="F10" i="2"/>
  <c r="AG276" i="2"/>
  <c r="AH276" i="2" s="1"/>
  <c r="F277" i="2"/>
  <c r="J269" i="2"/>
  <c r="J321" i="2" s="1"/>
  <c r="AC515" i="2"/>
  <c r="AC544" i="2"/>
  <c r="AC588" i="2" s="1"/>
  <c r="AC614" i="2" s="1"/>
  <c r="AC510" i="2"/>
  <c r="R510" i="2"/>
  <c r="R553" i="2"/>
  <c r="H510" i="2"/>
  <c r="T515" i="2"/>
  <c r="T544" i="2"/>
  <c r="T588" i="2" s="1"/>
  <c r="T614" i="2" s="1"/>
  <c r="T510" i="2"/>
  <c r="J320" i="2"/>
  <c r="K510" i="2"/>
  <c r="AG131" i="2"/>
  <c r="L510" i="2"/>
  <c r="G510" i="2"/>
  <c r="AG162" i="2"/>
  <c r="AH162" i="2" s="1"/>
  <c r="F163" i="2"/>
  <c r="Z515" i="2"/>
  <c r="Z544" i="2"/>
  <c r="Z588" i="2" s="1"/>
  <c r="Z614" i="2" s="1"/>
  <c r="Z510" i="2"/>
  <c r="F587" i="2"/>
  <c r="F613" i="2"/>
  <c r="J155" i="2"/>
  <c r="J319" i="2" s="1"/>
  <c r="Y515" i="2"/>
  <c r="Y544" i="2"/>
  <c r="Y588" i="2" s="1"/>
  <c r="Y614" i="2" s="1"/>
  <c r="Y510" i="2"/>
  <c r="AF515" i="2"/>
  <c r="AF519" i="2" s="1"/>
  <c r="AF510" i="2"/>
  <c r="S515" i="2"/>
  <c r="S510" i="2"/>
  <c r="AG506" i="2" l="1"/>
  <c r="F515" i="2"/>
  <c r="AG508" i="2"/>
  <c r="H319" i="2"/>
  <c r="H324" i="2" s="1"/>
  <c r="H326" i="2" s="1"/>
  <c r="AJ155" i="2"/>
  <c r="T519" i="2"/>
  <c r="AC519" i="2"/>
  <c r="Y519" i="2"/>
  <c r="AD519" i="2"/>
  <c r="AB519" i="2"/>
  <c r="AA519" i="2"/>
  <c r="V519" i="2"/>
  <c r="U519" i="2"/>
  <c r="W519" i="2"/>
  <c r="X519" i="2"/>
  <c r="Z519" i="2"/>
  <c r="H96" i="2"/>
  <c r="I96" i="2"/>
  <c r="AD96" i="2"/>
  <c r="Y96" i="2"/>
  <c r="W96" i="2"/>
  <c r="K96" i="2"/>
  <c r="R96" i="2"/>
  <c r="N96" i="2"/>
  <c r="AE96" i="2"/>
  <c r="S96" i="2"/>
  <c r="AB96" i="2"/>
  <c r="AC96" i="2"/>
  <c r="F96" i="2"/>
  <c r="U96" i="2"/>
  <c r="G96" i="2"/>
  <c r="AA96" i="2"/>
  <c r="X96" i="2"/>
  <c r="P96" i="2"/>
  <c r="E526" i="2"/>
  <c r="E528" i="2" s="1"/>
  <c r="J96" i="2"/>
  <c r="M96" i="2"/>
  <c r="V96" i="2"/>
  <c r="Q96" i="2"/>
  <c r="Z96" i="2"/>
  <c r="E98" i="2"/>
  <c r="E117" i="2" s="1"/>
  <c r="E118" i="2" s="1"/>
  <c r="L96" i="2"/>
  <c r="AF96" i="2"/>
  <c r="T96" i="2"/>
  <c r="O96" i="2"/>
  <c r="L326" i="2"/>
  <c r="T326" i="2"/>
  <c r="M356" i="2"/>
  <c r="J510" i="2"/>
  <c r="W356" i="2"/>
  <c r="V326" i="2"/>
  <c r="S326" i="2"/>
  <c r="N326" i="2"/>
  <c r="P326" i="2"/>
  <c r="G356" i="2"/>
  <c r="K326" i="2"/>
  <c r="R326" i="2"/>
  <c r="J324" i="2"/>
  <c r="J326" i="2" s="1"/>
  <c r="U356" i="2"/>
  <c r="U326" i="2"/>
  <c r="AF356" i="2"/>
  <c r="AF326" i="2"/>
  <c r="Z326" i="2"/>
  <c r="Z356" i="2"/>
  <c r="AG10" i="2"/>
  <c r="AH10" i="2" s="1"/>
  <c r="F40" i="2"/>
  <c r="AG40" i="2" s="1"/>
  <c r="AH40" i="2" s="1"/>
  <c r="AG87" i="2"/>
  <c r="AH87" i="2" s="1"/>
  <c r="I356" i="2"/>
  <c r="I326" i="2"/>
  <c r="S544" i="2"/>
  <c r="S533" i="2"/>
  <c r="S519" i="2"/>
  <c r="AD326" i="2"/>
  <c r="AD356" i="2"/>
  <c r="F553" i="2"/>
  <c r="F510" i="2"/>
  <c r="Q356" i="2"/>
  <c r="Q326" i="2"/>
  <c r="O356" i="2"/>
  <c r="O326" i="2"/>
  <c r="AG201" i="2"/>
  <c r="AH201" i="2" s="1"/>
  <c r="F231" i="2"/>
  <c r="F363" i="2" s="1"/>
  <c r="AA356" i="2"/>
  <c r="AA326" i="2"/>
  <c r="X356" i="2"/>
  <c r="X326" i="2"/>
  <c r="AG163" i="2"/>
  <c r="AH163" i="2" s="1"/>
  <c r="F193" i="2"/>
  <c r="AH508" i="2"/>
  <c r="AH131" i="2"/>
  <c r="F307" i="2"/>
  <c r="AG277" i="2"/>
  <c r="AH277" i="2" s="1"/>
  <c r="F79" i="2"/>
  <c r="AG49" i="2"/>
  <c r="AH49" i="2" s="1"/>
  <c r="AE326" i="2"/>
  <c r="AE356" i="2"/>
  <c r="Y356" i="2"/>
  <c r="Y326" i="2"/>
  <c r="AC356" i="2"/>
  <c r="AC326" i="2"/>
  <c r="AG125" i="2"/>
  <c r="AH125" i="2" s="1"/>
  <c r="F155" i="2"/>
  <c r="AB356" i="2"/>
  <c r="AB326" i="2"/>
  <c r="AG239" i="2"/>
  <c r="AH239" i="2" s="1"/>
  <c r="F269" i="2"/>
  <c r="AG363" i="2" l="1"/>
  <c r="AH363" i="2" s="1"/>
  <c r="H356" i="2"/>
  <c r="M526" i="2"/>
  <c r="M98" i="2"/>
  <c r="M117" i="2" s="1"/>
  <c r="W98" i="2"/>
  <c r="W117" i="2" s="1"/>
  <c r="W526" i="2"/>
  <c r="Z98" i="2"/>
  <c r="Z117" i="2" s="1"/>
  <c r="Z526" i="2"/>
  <c r="J98" i="2"/>
  <c r="J117" i="2" s="1"/>
  <c r="J526" i="2"/>
  <c r="AA98" i="2"/>
  <c r="AA117" i="2" s="1"/>
  <c r="AA526" i="2"/>
  <c r="AC526" i="2"/>
  <c r="AC98" i="2"/>
  <c r="AC117" i="2" s="1"/>
  <c r="N98" i="2"/>
  <c r="N117" i="2" s="1"/>
  <c r="N526" i="2"/>
  <c r="Y98" i="2"/>
  <c r="Y117" i="2" s="1"/>
  <c r="Y526" i="2"/>
  <c r="X98" i="2"/>
  <c r="X117" i="2" s="1"/>
  <c r="X526" i="2"/>
  <c r="H98" i="2"/>
  <c r="H117" i="2" s="1"/>
  <c r="H526" i="2"/>
  <c r="AF98" i="2"/>
  <c r="AF117" i="2" s="1"/>
  <c r="AF526" i="2"/>
  <c r="AF625" i="2" s="1"/>
  <c r="AF626" i="2" s="1"/>
  <c r="Q98" i="2"/>
  <c r="Q117" i="2" s="1"/>
  <c r="Q526" i="2"/>
  <c r="G98" i="2"/>
  <c r="G117" i="2" s="1"/>
  <c r="G118" i="2" s="1"/>
  <c r="G526" i="2"/>
  <c r="AB98" i="2"/>
  <c r="AB117" i="2" s="1"/>
  <c r="AB526" i="2"/>
  <c r="R98" i="2"/>
  <c r="R117" i="2" s="1"/>
  <c r="R526" i="2"/>
  <c r="AD98" i="2"/>
  <c r="AD117" i="2" s="1"/>
  <c r="AD526" i="2"/>
  <c r="O98" i="2"/>
  <c r="O117" i="2" s="1"/>
  <c r="O118" i="2" s="1"/>
  <c r="O526" i="2"/>
  <c r="E328" i="2"/>
  <c r="F526" i="2"/>
  <c r="AG96" i="2"/>
  <c r="AH96" i="2" s="1"/>
  <c r="F98" i="2"/>
  <c r="AE526" i="2"/>
  <c r="AE625" i="2" s="1"/>
  <c r="AE626" i="2" s="1"/>
  <c r="AE98" i="2"/>
  <c r="AE117" i="2" s="1"/>
  <c r="T98" i="2"/>
  <c r="T117" i="2" s="1"/>
  <c r="T526" i="2"/>
  <c r="L526" i="2"/>
  <c r="L98" i="2"/>
  <c r="L117" i="2" s="1"/>
  <c r="L118" i="2" s="1"/>
  <c r="V526" i="2"/>
  <c r="V98" i="2"/>
  <c r="V117" i="2" s="1"/>
  <c r="P98" i="2"/>
  <c r="P117" i="2" s="1"/>
  <c r="P118" i="2" s="1"/>
  <c r="P526" i="2"/>
  <c r="U98" i="2"/>
  <c r="U117" i="2" s="1"/>
  <c r="U526" i="2"/>
  <c r="S98" i="2"/>
  <c r="S117" i="2" s="1"/>
  <c r="S526" i="2"/>
  <c r="K98" i="2"/>
  <c r="K117" i="2" s="1"/>
  <c r="K526" i="2"/>
  <c r="I98" i="2"/>
  <c r="I117" i="2" s="1"/>
  <c r="I526" i="2"/>
  <c r="J356" i="2"/>
  <c r="F321" i="2"/>
  <c r="AG321" i="2" s="1"/>
  <c r="AH321" i="2" s="1"/>
  <c r="AG269" i="2"/>
  <c r="AH269" i="2" s="1"/>
  <c r="F80" i="2"/>
  <c r="AG79" i="2"/>
  <c r="AH79" i="2" s="1"/>
  <c r="AG307" i="2"/>
  <c r="AH307" i="2" s="1"/>
  <c r="F322" i="2"/>
  <c r="AG322" i="2" s="1"/>
  <c r="AH322" i="2" s="1"/>
  <c r="AH506" i="2"/>
  <c r="AG510" i="2"/>
  <c r="AH510" i="2" s="1"/>
  <c r="AG231" i="2"/>
  <c r="AH231" i="2" s="1"/>
  <c r="F320" i="2"/>
  <c r="AG320" i="2" s="1"/>
  <c r="AH320" i="2" s="1"/>
  <c r="AG155" i="2"/>
  <c r="AH155" i="2" s="1"/>
  <c r="F319" i="2"/>
  <c r="AG193" i="2"/>
  <c r="AH193" i="2" s="1"/>
  <c r="S588" i="2"/>
  <c r="S564" i="2"/>
  <c r="H555" i="2" l="1"/>
  <c r="H625" i="2"/>
  <c r="L555" i="2"/>
  <c r="L625" i="2"/>
  <c r="K625" i="2"/>
  <c r="K555" i="2"/>
  <c r="M555" i="2"/>
  <c r="M625" i="2"/>
  <c r="J625" i="2"/>
  <c r="J555" i="2"/>
  <c r="O625" i="2"/>
  <c r="G16" i="17"/>
  <c r="J362" i="2"/>
  <c r="J515" i="2" s="1"/>
  <c r="J118" i="2"/>
  <c r="I118" i="2"/>
  <c r="N328" i="2"/>
  <c r="N390" i="2" s="1"/>
  <c r="N118" i="2"/>
  <c r="H118" i="2"/>
  <c r="K362" i="2"/>
  <c r="K515" i="2" s="1"/>
  <c r="K118" i="2"/>
  <c r="M362" i="2"/>
  <c r="M515" i="2" s="1"/>
  <c r="M118" i="2"/>
  <c r="O555" i="2"/>
  <c r="L362" i="2"/>
  <c r="L515" i="2" s="1"/>
  <c r="AE372" i="2"/>
  <c r="AE361" i="2"/>
  <c r="P372" i="2"/>
  <c r="P361" i="2"/>
  <c r="L372" i="2"/>
  <c r="L361" i="2"/>
  <c r="AC372" i="2"/>
  <c r="AC361" i="2"/>
  <c r="I372" i="2"/>
  <c r="I361" i="2"/>
  <c r="S372" i="2"/>
  <c r="S361" i="2"/>
  <c r="AD372" i="2"/>
  <c r="AD361" i="2"/>
  <c r="AB372" i="2"/>
  <c r="AB361" i="2"/>
  <c r="Q372" i="2"/>
  <c r="Q361" i="2"/>
  <c r="H372" i="2"/>
  <c r="H361" i="2"/>
  <c r="Y372" i="2"/>
  <c r="Y361" i="2"/>
  <c r="J372" i="2"/>
  <c r="J361" i="2"/>
  <c r="W372" i="2"/>
  <c r="W361" i="2"/>
  <c r="V372" i="2"/>
  <c r="V361" i="2"/>
  <c r="M372" i="2"/>
  <c r="M361" i="2"/>
  <c r="K372" i="2"/>
  <c r="K361" i="2"/>
  <c r="U372" i="2"/>
  <c r="U361" i="2"/>
  <c r="T372" i="2"/>
  <c r="T361" i="2"/>
  <c r="O372" i="2"/>
  <c r="O361" i="2"/>
  <c r="O515" i="2" s="1"/>
  <c r="O544" i="2" s="1"/>
  <c r="O564" i="2" s="1"/>
  <c r="R372" i="2"/>
  <c r="R361" i="2"/>
  <c r="G372" i="2"/>
  <c r="G361" i="2"/>
  <c r="AF372" i="2"/>
  <c r="AF361" i="2"/>
  <c r="X372" i="2"/>
  <c r="X361" i="2"/>
  <c r="N372" i="2"/>
  <c r="N361" i="2"/>
  <c r="AA372" i="2"/>
  <c r="AA361" i="2"/>
  <c r="Z372" i="2"/>
  <c r="Z361" i="2"/>
  <c r="I555" i="2"/>
  <c r="G555" i="2"/>
  <c r="L365" i="2"/>
  <c r="L371" i="2"/>
  <c r="AE365" i="2"/>
  <c r="AE371" i="2"/>
  <c r="AC365" i="2"/>
  <c r="AC371" i="2"/>
  <c r="V365" i="2"/>
  <c r="V371" i="2"/>
  <c r="M365" i="2"/>
  <c r="M371" i="2"/>
  <c r="I365" i="2"/>
  <c r="I371" i="2"/>
  <c r="S365" i="2"/>
  <c r="S371" i="2"/>
  <c r="P365" i="2"/>
  <c r="P371" i="2"/>
  <c r="AD365" i="2"/>
  <c r="AD371" i="2"/>
  <c r="AB365" i="2"/>
  <c r="AB371" i="2"/>
  <c r="Q365" i="2"/>
  <c r="Q371" i="2"/>
  <c r="H365" i="2"/>
  <c r="H371" i="2"/>
  <c r="Y365" i="2"/>
  <c r="Y371" i="2"/>
  <c r="J365" i="2"/>
  <c r="J371" i="2"/>
  <c r="W365" i="2"/>
  <c r="W371" i="2"/>
  <c r="K365" i="2"/>
  <c r="K371" i="2"/>
  <c r="U365" i="2"/>
  <c r="U371" i="2"/>
  <c r="T365" i="2"/>
  <c r="T371" i="2"/>
  <c r="O365" i="2"/>
  <c r="O371" i="2"/>
  <c r="R365" i="2"/>
  <c r="R371" i="2"/>
  <c r="G365" i="2"/>
  <c r="G371" i="2"/>
  <c r="AF365" i="2"/>
  <c r="AF371" i="2"/>
  <c r="X365" i="2"/>
  <c r="X371" i="2"/>
  <c r="N365" i="2"/>
  <c r="N371" i="2"/>
  <c r="AA365" i="2"/>
  <c r="AA371" i="2"/>
  <c r="Z365" i="2"/>
  <c r="Z371" i="2"/>
  <c r="L374" i="2"/>
  <c r="AE328" i="2"/>
  <c r="AE390" i="2" s="1"/>
  <c r="AE374" i="2"/>
  <c r="AC328" i="2"/>
  <c r="AC390" i="2" s="1"/>
  <c r="AC374" i="2"/>
  <c r="V328" i="2"/>
  <c r="V390" i="2" s="1"/>
  <c r="V374" i="2"/>
  <c r="M374" i="2"/>
  <c r="I374" i="2"/>
  <c r="S379" i="2"/>
  <c r="S374" i="2"/>
  <c r="P366" i="2"/>
  <c r="P374" i="2"/>
  <c r="AD373" i="2"/>
  <c r="AD374" i="2"/>
  <c r="AB368" i="2"/>
  <c r="AB374" i="2"/>
  <c r="Q380" i="2"/>
  <c r="Q374" i="2"/>
  <c r="H374" i="2"/>
  <c r="Y328" i="2"/>
  <c r="Y390" i="2" s="1"/>
  <c r="Y374" i="2"/>
  <c r="J374" i="2"/>
  <c r="W328" i="2"/>
  <c r="W390" i="2" s="1"/>
  <c r="W374" i="2"/>
  <c r="K374" i="2"/>
  <c r="U328" i="2"/>
  <c r="U390" i="2" s="1"/>
  <c r="U374" i="2"/>
  <c r="T328" i="2"/>
  <c r="T390" i="2" s="1"/>
  <c r="T374" i="2"/>
  <c r="O374" i="2"/>
  <c r="R328" i="2"/>
  <c r="R390" i="2" s="1"/>
  <c r="R374" i="2"/>
  <c r="G374" i="2"/>
  <c r="AF328" i="2"/>
  <c r="AF390" i="2" s="1"/>
  <c r="AF374" i="2"/>
  <c r="X328" i="2"/>
  <c r="X390" i="2" s="1"/>
  <c r="X374" i="2"/>
  <c r="N374" i="2"/>
  <c r="AA378" i="2"/>
  <c r="AA374" i="2"/>
  <c r="Z377" i="2"/>
  <c r="Z374" i="2"/>
  <c r="L328" i="2"/>
  <c r="L390" i="2" s="1"/>
  <c r="J328" i="2"/>
  <c r="J390" i="2" s="1"/>
  <c r="M328" i="2"/>
  <c r="M330" i="2" s="1"/>
  <c r="M637" i="2" s="1"/>
  <c r="K328" i="2"/>
  <c r="K390" i="2" s="1"/>
  <c r="O328" i="2"/>
  <c r="O390" i="2" s="1"/>
  <c r="N373" i="2"/>
  <c r="I364" i="2"/>
  <c r="H328" i="2"/>
  <c r="H390" i="2" s="1"/>
  <c r="G328" i="2"/>
  <c r="G390" i="2" s="1"/>
  <c r="Y373" i="2"/>
  <c r="AF382" i="2"/>
  <c r="M378" i="2"/>
  <c r="X379" i="2"/>
  <c r="X383" i="2"/>
  <c r="X368" i="2"/>
  <c r="X392" i="2"/>
  <c r="X370" i="2"/>
  <c r="X381" i="2"/>
  <c r="N369" i="2"/>
  <c r="X378" i="2"/>
  <c r="X375" i="2"/>
  <c r="X380" i="2"/>
  <c r="X366" i="2"/>
  <c r="Z378" i="2"/>
  <c r="N368" i="2"/>
  <c r="X373" i="2"/>
  <c r="N364" i="2"/>
  <c r="AA373" i="2"/>
  <c r="AA379" i="2"/>
  <c r="X367" i="2"/>
  <c r="X382" i="2"/>
  <c r="X364" i="2"/>
  <c r="X377" i="2"/>
  <c r="J376" i="2"/>
  <c r="J368" i="2"/>
  <c r="W367" i="2"/>
  <c r="H376" i="2"/>
  <c r="J381" i="2"/>
  <c r="J370" i="2"/>
  <c r="J383" i="2"/>
  <c r="Y375" i="2"/>
  <c r="Y381" i="2"/>
  <c r="Y368" i="2"/>
  <c r="Y367" i="2"/>
  <c r="J382" i="2"/>
  <c r="H366" i="2"/>
  <c r="Y369" i="2"/>
  <c r="Y383" i="2"/>
  <c r="W373" i="2"/>
  <c r="M375" i="2"/>
  <c r="M377" i="2"/>
  <c r="G383" i="2"/>
  <c r="O370" i="2"/>
  <c r="R380" i="2"/>
  <c r="R367" i="2"/>
  <c r="M383" i="2"/>
  <c r="M366" i="2"/>
  <c r="J367" i="2"/>
  <c r="J377" i="2"/>
  <c r="W392" i="2"/>
  <c r="W370" i="2"/>
  <c r="W379" i="2"/>
  <c r="Y366" i="2"/>
  <c r="H382" i="2"/>
  <c r="J373" i="2"/>
  <c r="J369" i="2"/>
  <c r="Y382" i="2"/>
  <c r="Y377" i="2"/>
  <c r="M380" i="2"/>
  <c r="M376" i="2"/>
  <c r="M369" i="2"/>
  <c r="M373" i="2"/>
  <c r="G376" i="2"/>
  <c r="M370" i="2"/>
  <c r="AF379" i="2"/>
  <c r="J364" i="2"/>
  <c r="J375" i="2"/>
  <c r="J379" i="2"/>
  <c r="J366" i="2"/>
  <c r="J378" i="2"/>
  <c r="J392" i="2"/>
  <c r="W364" i="2"/>
  <c r="W380" i="2"/>
  <c r="W378" i="2"/>
  <c r="Y364" i="2"/>
  <c r="W368" i="2"/>
  <c r="J380" i="2"/>
  <c r="H380" i="2"/>
  <c r="Y378" i="2"/>
  <c r="W381" i="2"/>
  <c r="Y392" i="2"/>
  <c r="W366" i="2"/>
  <c r="W369" i="2"/>
  <c r="W382" i="2"/>
  <c r="Y376" i="2"/>
  <c r="Y370" i="2"/>
  <c r="Y380" i="2"/>
  <c r="Y379" i="2"/>
  <c r="M382" i="2"/>
  <c r="O381" i="2"/>
  <c r="R370" i="2"/>
  <c r="R366" i="2"/>
  <c r="M367" i="2"/>
  <c r="AF368" i="2"/>
  <c r="AF364" i="2"/>
  <c r="AB382" i="2"/>
  <c r="O392" i="2"/>
  <c r="M392" i="2"/>
  <c r="M379" i="2"/>
  <c r="M368" i="2"/>
  <c r="O367" i="2"/>
  <c r="M364" i="2"/>
  <c r="M381" i="2"/>
  <c r="AF370" i="2"/>
  <c r="AF377" i="2"/>
  <c r="AD364" i="2"/>
  <c r="AD383" i="2"/>
  <c r="Q378" i="2"/>
  <c r="AB380" i="2"/>
  <c r="AC392" i="2"/>
  <c r="AB375" i="2"/>
  <c r="AB367" i="2"/>
  <c r="AD380" i="2"/>
  <c r="AC377" i="2"/>
  <c r="Q366" i="2"/>
  <c r="K367" i="2"/>
  <c r="Q379" i="2"/>
  <c r="K380" i="2"/>
  <c r="AC369" i="2"/>
  <c r="AD378" i="2"/>
  <c r="AD382" i="2"/>
  <c r="L381" i="2"/>
  <c r="H392" i="2"/>
  <c r="H377" i="2"/>
  <c r="G380" i="2"/>
  <c r="L364" i="2"/>
  <c r="G367" i="2"/>
  <c r="G392" i="2"/>
  <c r="L382" i="2"/>
  <c r="O376" i="2"/>
  <c r="L377" i="2"/>
  <c r="O383" i="2"/>
  <c r="O369" i="2"/>
  <c r="R373" i="2"/>
  <c r="O366" i="2"/>
  <c r="L369" i="2"/>
  <c r="L370" i="2"/>
  <c r="H364" i="2"/>
  <c r="G378" i="2"/>
  <c r="AF373" i="2"/>
  <c r="AF366" i="2"/>
  <c r="AC368" i="2"/>
  <c r="AE381" i="2"/>
  <c r="AF376" i="2"/>
  <c r="AC383" i="2"/>
  <c r="AC366" i="2"/>
  <c r="AC364" i="2"/>
  <c r="AC382" i="2"/>
  <c r="AF381" i="2"/>
  <c r="T376" i="2"/>
  <c r="U376" i="2"/>
  <c r="AE370" i="2"/>
  <c r="AF392" i="2"/>
  <c r="AF375" i="2"/>
  <c r="AF378" i="2"/>
  <c r="AC379" i="2"/>
  <c r="L366" i="2"/>
  <c r="O373" i="2"/>
  <c r="R379" i="2"/>
  <c r="O364" i="2"/>
  <c r="H379" i="2"/>
  <c r="H368" i="2"/>
  <c r="H367" i="2"/>
  <c r="G381" i="2"/>
  <c r="O379" i="2"/>
  <c r="G379" i="2"/>
  <c r="O382" i="2"/>
  <c r="G370" i="2"/>
  <c r="G369" i="2"/>
  <c r="G375" i="2"/>
  <c r="L368" i="2"/>
  <c r="G368" i="2"/>
  <c r="L373" i="2"/>
  <c r="H370" i="2"/>
  <c r="G364" i="2"/>
  <c r="L378" i="2"/>
  <c r="T366" i="2"/>
  <c r="AF383" i="2"/>
  <c r="T369" i="2"/>
  <c r="AE367" i="2"/>
  <c r="AE377" i="2"/>
  <c r="T367" i="2"/>
  <c r="AE368" i="2"/>
  <c r="AE380" i="2"/>
  <c r="V392" i="2"/>
  <c r="AF380" i="2"/>
  <c r="U378" i="2"/>
  <c r="V379" i="2"/>
  <c r="H378" i="2"/>
  <c r="R392" i="2"/>
  <c r="O377" i="2"/>
  <c r="L380" i="2"/>
  <c r="R381" i="2"/>
  <c r="R368" i="2"/>
  <c r="O380" i="2"/>
  <c r="H383" i="2"/>
  <c r="H369" i="2"/>
  <c r="R376" i="2"/>
  <c r="O368" i="2"/>
  <c r="R369" i="2"/>
  <c r="H373" i="2"/>
  <c r="R377" i="2"/>
  <c r="R382" i="2"/>
  <c r="K375" i="2"/>
  <c r="O375" i="2"/>
  <c r="R383" i="2"/>
  <c r="H381" i="2"/>
  <c r="K377" i="2"/>
  <c r="L383" i="2"/>
  <c r="R378" i="2"/>
  <c r="R375" i="2"/>
  <c r="G373" i="2"/>
  <c r="H375" i="2"/>
  <c r="R364" i="2"/>
  <c r="R514" i="2" s="1"/>
  <c r="G366" i="2"/>
  <c r="G382" i="2"/>
  <c r="G377" i="2"/>
  <c r="O378" i="2"/>
  <c r="T378" i="2"/>
  <c r="AC367" i="2"/>
  <c r="AC370" i="2"/>
  <c r="AF369" i="2"/>
  <c r="T370" i="2"/>
  <c r="AC375" i="2"/>
  <c r="T373" i="2"/>
  <c r="U377" i="2"/>
  <c r="AC378" i="2"/>
  <c r="AC376" i="2"/>
  <c r="AF367" i="2"/>
  <c r="AC380" i="2"/>
  <c r="S367" i="2"/>
  <c r="P375" i="2"/>
  <c r="I383" i="2"/>
  <c r="S366" i="2"/>
  <c r="AD328" i="2"/>
  <c r="AD381" i="2"/>
  <c r="AD366" i="2"/>
  <c r="AD377" i="2"/>
  <c r="AD370" i="2"/>
  <c r="AD369" i="2"/>
  <c r="AD367" i="2"/>
  <c r="AD376" i="2"/>
  <c r="AD368" i="2"/>
  <c r="AD379" i="2"/>
  <c r="AD375" i="2"/>
  <c r="AD392" i="2"/>
  <c r="AB328" i="2"/>
  <c r="AB364" i="2"/>
  <c r="AB376" i="2"/>
  <c r="AB378" i="2"/>
  <c r="AB370" i="2"/>
  <c r="AB377" i="2"/>
  <c r="AB379" i="2"/>
  <c r="AB392" i="2"/>
  <c r="AB383" i="2"/>
  <c r="AB381" i="2"/>
  <c r="AB369" i="2"/>
  <c r="AB373" i="2"/>
  <c r="AB366" i="2"/>
  <c r="Q328" i="2"/>
  <c r="Q370" i="2"/>
  <c r="Q364" i="2"/>
  <c r="Q375" i="2"/>
  <c r="Q381" i="2"/>
  <c r="Q376" i="2"/>
  <c r="Q369" i="2"/>
  <c r="Q377" i="2"/>
  <c r="Q392" i="2"/>
  <c r="Q383" i="2"/>
  <c r="Q373" i="2"/>
  <c r="Q368" i="2"/>
  <c r="Q367" i="2"/>
  <c r="Q382" i="2"/>
  <c r="P382" i="2"/>
  <c r="E330" i="2"/>
  <c r="E390" i="2"/>
  <c r="E394" i="2" s="1"/>
  <c r="N382" i="2"/>
  <c r="N366" i="2"/>
  <c r="N377" i="2"/>
  <c r="N375" i="2"/>
  <c r="N376" i="2"/>
  <c r="N379" i="2"/>
  <c r="N381" i="2"/>
  <c r="N392" i="2"/>
  <c r="N367" i="2"/>
  <c r="N380" i="2"/>
  <c r="N370" i="2"/>
  <c r="N378" i="2"/>
  <c r="N383" i="2"/>
  <c r="AA328" i="2"/>
  <c r="AA370" i="2"/>
  <c r="AA382" i="2"/>
  <c r="AA369" i="2"/>
  <c r="AA383" i="2"/>
  <c r="AA366" i="2"/>
  <c r="AA377" i="2"/>
  <c r="AA380" i="2"/>
  <c r="AA375" i="2"/>
  <c r="AA367" i="2"/>
  <c r="AA376" i="2"/>
  <c r="AA368" i="2"/>
  <c r="AA381" i="2"/>
  <c r="AA364" i="2"/>
  <c r="AA392" i="2"/>
  <c r="Z328" i="2"/>
  <c r="Z376" i="2"/>
  <c r="Z364" i="2"/>
  <c r="Z392" i="2"/>
  <c r="Z379" i="2"/>
  <c r="Z373" i="2"/>
  <c r="Z375" i="2"/>
  <c r="Z369" i="2"/>
  <c r="Z380" i="2"/>
  <c r="Z370" i="2"/>
  <c r="Z366" i="2"/>
  <c r="Z367" i="2"/>
  <c r="Z368" i="2"/>
  <c r="Z383" i="2"/>
  <c r="Z381" i="2"/>
  <c r="Z382" i="2"/>
  <c r="I328" i="2"/>
  <c r="I379" i="2"/>
  <c r="I376" i="2"/>
  <c r="I392" i="2"/>
  <c r="I380" i="2"/>
  <c r="I366" i="2"/>
  <c r="I378" i="2"/>
  <c r="I369" i="2"/>
  <c r="I373" i="2"/>
  <c r="I370" i="2"/>
  <c r="I375" i="2"/>
  <c r="I377" i="2"/>
  <c r="I381" i="2"/>
  <c r="I368" i="2"/>
  <c r="S328" i="2"/>
  <c r="S378" i="2"/>
  <c r="S375" i="2"/>
  <c r="S364" i="2"/>
  <c r="S370" i="2"/>
  <c r="S369" i="2"/>
  <c r="S376" i="2"/>
  <c r="S373" i="2"/>
  <c r="S381" i="2"/>
  <c r="S380" i="2"/>
  <c r="S377" i="2"/>
  <c r="S392" i="2"/>
  <c r="S382" i="2"/>
  <c r="P328" i="2"/>
  <c r="P376" i="2"/>
  <c r="P377" i="2"/>
  <c r="P380" i="2"/>
  <c r="P364" i="2"/>
  <c r="P373" i="2"/>
  <c r="P392" i="2"/>
  <c r="P370" i="2"/>
  <c r="P378" i="2"/>
  <c r="P383" i="2"/>
  <c r="P381" i="2"/>
  <c r="L528" i="2"/>
  <c r="P369" i="2"/>
  <c r="X625" i="2"/>
  <c r="X626" i="2" s="1"/>
  <c r="X555" i="2"/>
  <c r="W555" i="2"/>
  <c r="W625" i="2"/>
  <c r="W626" i="2" s="1"/>
  <c r="P367" i="2"/>
  <c r="I382" i="2"/>
  <c r="I367" i="2"/>
  <c r="P368" i="2"/>
  <c r="P379" i="2"/>
  <c r="S368" i="2"/>
  <c r="S383" i="2"/>
  <c r="K528" i="2"/>
  <c r="U555" i="2"/>
  <c r="U625" i="2"/>
  <c r="U626" i="2" s="1"/>
  <c r="T625" i="2"/>
  <c r="T626" i="2" s="1"/>
  <c r="T555" i="2"/>
  <c r="AG98" i="2"/>
  <c r="AH98" i="2" s="1"/>
  <c r="F117" i="2"/>
  <c r="K368" i="2"/>
  <c r="K369" i="2"/>
  <c r="K382" i="2"/>
  <c r="K381" i="2"/>
  <c r="K379" i="2"/>
  <c r="V370" i="2"/>
  <c r="AE364" i="2"/>
  <c r="U366" i="2"/>
  <c r="U379" i="2"/>
  <c r="V375" i="2"/>
  <c r="U383" i="2"/>
  <c r="T383" i="2"/>
  <c r="V376" i="2"/>
  <c r="V366" i="2"/>
  <c r="U392" i="2"/>
  <c r="V367" i="2"/>
  <c r="T368" i="2"/>
  <c r="AE392" i="2"/>
  <c r="AE382" i="2"/>
  <c r="O528" i="2"/>
  <c r="R555" i="2"/>
  <c r="R528" i="2"/>
  <c r="G528" i="2"/>
  <c r="Y625" i="2"/>
  <c r="Y626" i="2" s="1"/>
  <c r="Y555" i="2"/>
  <c r="J528" i="2"/>
  <c r="K383" i="2"/>
  <c r="AE366" i="2"/>
  <c r="AE369" i="2"/>
  <c r="V380" i="2"/>
  <c r="V373" i="2"/>
  <c r="AE383" i="2"/>
  <c r="V369" i="2"/>
  <c r="T375" i="2"/>
  <c r="T380" i="2"/>
  <c r="U380" i="2"/>
  <c r="V378" i="2"/>
  <c r="AE378" i="2"/>
  <c r="U375" i="2"/>
  <c r="X369" i="2"/>
  <c r="AC373" i="2"/>
  <c r="U370" i="2"/>
  <c r="W375" i="2"/>
  <c r="U381" i="2"/>
  <c r="V381" i="2"/>
  <c r="AE379" i="2"/>
  <c r="X376" i="2"/>
  <c r="T377" i="2"/>
  <c r="H528" i="2"/>
  <c r="AC555" i="2"/>
  <c r="AC625" i="2"/>
  <c r="AC626" i="2" s="1"/>
  <c r="V555" i="2"/>
  <c r="V625" i="2"/>
  <c r="V626" i="2" s="1"/>
  <c r="K378" i="2"/>
  <c r="K364" i="2"/>
  <c r="K370" i="2"/>
  <c r="I528" i="2"/>
  <c r="S555" i="2"/>
  <c r="P555" i="2"/>
  <c r="P528" i="2"/>
  <c r="F555" i="2"/>
  <c r="AG526" i="2"/>
  <c r="AH526" i="2" s="1"/>
  <c r="F528" i="2"/>
  <c r="K373" i="2"/>
  <c r="K392" i="2"/>
  <c r="L379" i="2"/>
  <c r="L376" i="2"/>
  <c r="K366" i="2"/>
  <c r="L367" i="2"/>
  <c r="L392" i="2"/>
  <c r="L375" i="2"/>
  <c r="K376" i="2"/>
  <c r="T381" i="2"/>
  <c r="V377" i="2"/>
  <c r="T382" i="2"/>
  <c r="U373" i="2"/>
  <c r="U368" i="2"/>
  <c r="U367" i="2"/>
  <c r="U382" i="2"/>
  <c r="V383" i="2"/>
  <c r="U364" i="2"/>
  <c r="V364" i="2"/>
  <c r="AC381" i="2"/>
  <c r="W376" i="2"/>
  <c r="U369" i="2"/>
  <c r="V368" i="2"/>
  <c r="T364" i="2"/>
  <c r="AE375" i="2"/>
  <c r="T379" i="2"/>
  <c r="W383" i="2"/>
  <c r="AE373" i="2"/>
  <c r="T392" i="2"/>
  <c r="V382" i="2"/>
  <c r="AE376" i="2"/>
  <c r="W377" i="2"/>
  <c r="AD555" i="2"/>
  <c r="AD625" i="2"/>
  <c r="AD626" i="2" s="1"/>
  <c r="AB625" i="2"/>
  <c r="AB626" i="2" s="1"/>
  <c r="AB555" i="2"/>
  <c r="Q555" i="2"/>
  <c r="Q528" i="2"/>
  <c r="N528" i="2"/>
  <c r="AA625" i="2"/>
  <c r="AA626" i="2" s="1"/>
  <c r="AA555" i="2"/>
  <c r="Z555" i="2"/>
  <c r="Z625" i="2"/>
  <c r="Z626" i="2" s="1"/>
  <c r="M528" i="2"/>
  <c r="S614" i="2"/>
  <c r="AG319" i="2"/>
  <c r="AH319" i="2" s="1"/>
  <c r="F324" i="2"/>
  <c r="K517" i="2" l="1"/>
  <c r="K546" i="2" s="1"/>
  <c r="K518" i="2"/>
  <c r="K547" i="2" s="1"/>
  <c r="N517" i="2"/>
  <c r="N518" i="2"/>
  <c r="G518" i="2"/>
  <c r="G547" i="2" s="1"/>
  <c r="G517" i="2"/>
  <c r="L517" i="2"/>
  <c r="L546" i="2" s="1"/>
  <c r="L518" i="2"/>
  <c r="L547" i="2" s="1"/>
  <c r="I517" i="2"/>
  <c r="I546" i="2" s="1"/>
  <c r="I573" i="2" s="1"/>
  <c r="I518" i="2"/>
  <c r="I547" i="2" s="1"/>
  <c r="I578" i="2" s="1"/>
  <c r="M518" i="2"/>
  <c r="M547" i="2" s="1"/>
  <c r="M517" i="2"/>
  <c r="M546" i="2" s="1"/>
  <c r="H518" i="2"/>
  <c r="H547" i="2" s="1"/>
  <c r="H517" i="2"/>
  <c r="H546" i="2" s="1"/>
  <c r="J518" i="2"/>
  <c r="J547" i="2" s="1"/>
  <c r="J517" i="2"/>
  <c r="J546" i="2" s="1"/>
  <c r="O589" i="2"/>
  <c r="O615" i="2"/>
  <c r="K544" i="2"/>
  <c r="K564" i="2" s="1"/>
  <c r="J544" i="2"/>
  <c r="J564" i="2" s="1"/>
  <c r="H544" i="2"/>
  <c r="H564" i="2" s="1"/>
  <c r="G544" i="2"/>
  <c r="G564" i="2" s="1"/>
  <c r="M544" i="2"/>
  <c r="M564" i="2" s="1"/>
  <c r="I544" i="2"/>
  <c r="I564" i="2" s="1"/>
  <c r="L544" i="2"/>
  <c r="L564" i="2" s="1"/>
  <c r="F372" i="2"/>
  <c r="AG372" i="2" s="1"/>
  <c r="AH372" i="2" s="1"/>
  <c r="F361" i="2"/>
  <c r="Q515" i="2"/>
  <c r="Q544" i="2" s="1"/>
  <c r="Q564" i="2" s="1"/>
  <c r="Q615" i="2" s="1"/>
  <c r="L394" i="2"/>
  <c r="G16" i="4" s="1"/>
  <c r="U330" i="2"/>
  <c r="U574" i="2" s="1"/>
  <c r="U575" i="2" s="1"/>
  <c r="U394" i="2"/>
  <c r="P515" i="2"/>
  <c r="P544" i="2" s="1"/>
  <c r="AC330" i="2"/>
  <c r="AC574" i="2" s="1"/>
  <c r="AC575" i="2" s="1"/>
  <c r="W330" i="2"/>
  <c r="W331" i="2" s="1"/>
  <c r="Y330" i="2"/>
  <c r="Y579" i="2" s="1"/>
  <c r="Y580" i="2" s="1"/>
  <c r="T394" i="2"/>
  <c r="V330" i="2"/>
  <c r="V574" i="2" s="1"/>
  <c r="V575" i="2" s="1"/>
  <c r="X330" i="2"/>
  <c r="X579" i="2" s="1"/>
  <c r="X580" i="2" s="1"/>
  <c r="R515" i="2"/>
  <c r="R544" i="2" s="1"/>
  <c r="R564" i="2" s="1"/>
  <c r="R615" i="2" s="1"/>
  <c r="F365" i="2"/>
  <c r="AG365" i="2" s="1"/>
  <c r="AH365" i="2" s="1"/>
  <c r="F371" i="2"/>
  <c r="AG371" i="2" s="1"/>
  <c r="AH371" i="2" s="1"/>
  <c r="R394" i="2"/>
  <c r="G22" i="4" s="1"/>
  <c r="T330" i="2"/>
  <c r="T579" i="2" s="1"/>
  <c r="T580" i="2" s="1"/>
  <c r="F118" i="2"/>
  <c r="AG118" i="2" s="1"/>
  <c r="AH118" i="2" s="1"/>
  <c r="F374" i="2"/>
  <c r="AG374" i="2" s="1"/>
  <c r="AH374" i="2" s="1"/>
  <c r="AE330" i="2"/>
  <c r="AE574" i="2" s="1"/>
  <c r="AE575" i="2" s="1"/>
  <c r="AF330" i="2"/>
  <c r="AF331" i="2" s="1"/>
  <c r="R330" i="2"/>
  <c r="I22" i="4" s="1"/>
  <c r="K330" i="2"/>
  <c r="K637" i="2" s="1"/>
  <c r="L330" i="2"/>
  <c r="O394" i="2"/>
  <c r="G19" i="4" s="1"/>
  <c r="O330" i="2"/>
  <c r="O637" i="2" s="1"/>
  <c r="M390" i="2"/>
  <c r="M394" i="2" s="1"/>
  <c r="G17" i="4" s="1"/>
  <c r="H330" i="2"/>
  <c r="H637" i="2" s="1"/>
  <c r="G330" i="2"/>
  <c r="G637" i="2" s="1"/>
  <c r="J330" i="2"/>
  <c r="J637" i="2" s="1"/>
  <c r="J394" i="2"/>
  <c r="G14" i="4" s="1"/>
  <c r="K394" i="2"/>
  <c r="G15" i="4" s="1"/>
  <c r="Y386" i="2"/>
  <c r="Y388" i="2" s="1"/>
  <c r="Y396" i="2" s="1"/>
  <c r="J384" i="2"/>
  <c r="J386" i="2" s="1"/>
  <c r="J388" i="2" s="1"/>
  <c r="M384" i="2"/>
  <c r="M386" i="2" s="1"/>
  <c r="M388" i="2" s="1"/>
  <c r="X386" i="2"/>
  <c r="X388" i="2" s="1"/>
  <c r="X396" i="2" s="1"/>
  <c r="G394" i="2"/>
  <c r="G11" i="4" s="1"/>
  <c r="H394" i="2"/>
  <c r="G12" i="4" s="1"/>
  <c r="AF386" i="2"/>
  <c r="AF388" i="2" s="1"/>
  <c r="AF396" i="2" s="1"/>
  <c r="O517" i="2"/>
  <c r="O546" i="2" s="1"/>
  <c r="G384" i="2"/>
  <c r="G386" i="2" s="1"/>
  <c r="E11" i="4" s="1"/>
  <c r="F11" i="4" s="1"/>
  <c r="R384" i="2"/>
  <c r="R386" i="2" s="1"/>
  <c r="E22" i="4" s="1"/>
  <c r="F22" i="4" s="1"/>
  <c r="O384" i="2"/>
  <c r="O386" i="2" s="1"/>
  <c r="E19" i="4" s="1"/>
  <c r="F19" i="4" s="1"/>
  <c r="AD386" i="2"/>
  <c r="AD388" i="2" s="1"/>
  <c r="L384" i="2"/>
  <c r="L386" i="2" s="1"/>
  <c r="E16" i="4" s="1"/>
  <c r="F16" i="4" s="1"/>
  <c r="N384" i="2"/>
  <c r="N386" i="2" s="1"/>
  <c r="N388" i="2" s="1"/>
  <c r="H384" i="2"/>
  <c r="H386" i="2" s="1"/>
  <c r="I384" i="2"/>
  <c r="I386" i="2" s="1"/>
  <c r="E13" i="4" s="1"/>
  <c r="F13" i="4" s="1"/>
  <c r="I390" i="2"/>
  <c r="I394" i="2" s="1"/>
  <c r="G13" i="4" s="1"/>
  <c r="I330" i="2"/>
  <c r="T599" i="2"/>
  <c r="T600" i="2" s="1"/>
  <c r="V599" i="2"/>
  <c r="V600" i="2" s="1"/>
  <c r="X599" i="2"/>
  <c r="X600" i="2" s="1"/>
  <c r="AF599" i="2"/>
  <c r="AF600" i="2" s="1"/>
  <c r="E637" i="2"/>
  <c r="AB599" i="2"/>
  <c r="AB600" i="2" s="1"/>
  <c r="Y599" i="2"/>
  <c r="Y600" i="2" s="1"/>
  <c r="Z599" i="2"/>
  <c r="Z600" i="2" s="1"/>
  <c r="AD599" i="2"/>
  <c r="AD600" i="2" s="1"/>
  <c r="AC599" i="2"/>
  <c r="AC600" i="2" s="1"/>
  <c r="U599" i="2"/>
  <c r="U600" i="2" s="1"/>
  <c r="W599" i="2"/>
  <c r="W600" i="2" s="1"/>
  <c r="AE599" i="2"/>
  <c r="AE600" i="2" s="1"/>
  <c r="E331" i="2"/>
  <c r="AA599" i="2"/>
  <c r="AA600" i="2" s="1"/>
  <c r="R543" i="2"/>
  <c r="R562" i="2" s="1"/>
  <c r="M331" i="2"/>
  <c r="AC386" i="2"/>
  <c r="AC388" i="2" s="1"/>
  <c r="AC396" i="2" s="1"/>
  <c r="Z390" i="2"/>
  <c r="Z330" i="2"/>
  <c r="AA390" i="2"/>
  <c r="AA330" i="2"/>
  <c r="Q390" i="2"/>
  <c r="Q394" i="2" s="1"/>
  <c r="G21" i="4" s="1"/>
  <c r="Q330" i="2"/>
  <c r="AB386" i="2"/>
  <c r="AB388" i="2" s="1"/>
  <c r="T386" i="2"/>
  <c r="T388" i="2" s="1"/>
  <c r="T396" i="2" s="1"/>
  <c r="AE386" i="2"/>
  <c r="AE388" i="2" s="1"/>
  <c r="AE396" i="2" s="1"/>
  <c r="S390" i="2"/>
  <c r="S394" i="2" s="1"/>
  <c r="S330" i="2"/>
  <c r="S331" i="2" s="1"/>
  <c r="Z386" i="2"/>
  <c r="Z388" i="2" s="1"/>
  <c r="AB390" i="2"/>
  <c r="AB330" i="2"/>
  <c r="K384" i="2"/>
  <c r="K386" i="2" s="1"/>
  <c r="W386" i="2"/>
  <c r="W388" i="2" s="1"/>
  <c r="W396" i="2" s="1"/>
  <c r="P390" i="2"/>
  <c r="P394" i="2" s="1"/>
  <c r="G20" i="4" s="1"/>
  <c r="P330" i="2"/>
  <c r="P331" i="2" s="1"/>
  <c r="N394" i="2"/>
  <c r="G18" i="4" s="1"/>
  <c r="N330" i="2"/>
  <c r="V386" i="2"/>
  <c r="V388" i="2" s="1"/>
  <c r="V396" i="2" s="1"/>
  <c r="U386" i="2"/>
  <c r="U388" i="2" s="1"/>
  <c r="U396" i="2" s="1"/>
  <c r="AG528" i="2"/>
  <c r="AH528" i="2" s="1"/>
  <c r="F376" i="2"/>
  <c r="AG376" i="2" s="1"/>
  <c r="AH376" i="2" s="1"/>
  <c r="F366" i="2"/>
  <c r="AG366" i="2" s="1"/>
  <c r="AH366" i="2" s="1"/>
  <c r="F368" i="2"/>
  <c r="AG368" i="2" s="1"/>
  <c r="AH368" i="2" s="1"/>
  <c r="F369" i="2"/>
  <c r="AG369" i="2" s="1"/>
  <c r="AH369" i="2" s="1"/>
  <c r="F379" i="2"/>
  <c r="AG379" i="2" s="1"/>
  <c r="AH379" i="2" s="1"/>
  <c r="F328" i="2"/>
  <c r="F370" i="2"/>
  <c r="AG370" i="2" s="1"/>
  <c r="AH370" i="2" s="1"/>
  <c r="F364" i="2"/>
  <c r="F380" i="2"/>
  <c r="AG380" i="2" s="1"/>
  <c r="AH380" i="2" s="1"/>
  <c r="F382" i="2"/>
  <c r="AG382" i="2" s="1"/>
  <c r="AH382" i="2" s="1"/>
  <c r="F392" i="2"/>
  <c r="AG392" i="2" s="1"/>
  <c r="AH392" i="2" s="1"/>
  <c r="F378" i="2"/>
  <c r="AG378" i="2" s="1"/>
  <c r="AH378" i="2" s="1"/>
  <c r="AG117" i="2"/>
  <c r="AH117" i="2" s="1"/>
  <c r="F375" i="2"/>
  <c r="AG375" i="2" s="1"/>
  <c r="AH375" i="2" s="1"/>
  <c r="F373" i="2"/>
  <c r="F377" i="2"/>
  <c r="AG377" i="2" s="1"/>
  <c r="AH377" i="2" s="1"/>
  <c r="F381" i="2"/>
  <c r="AG381" i="2" s="1"/>
  <c r="AH381" i="2" s="1"/>
  <c r="F367" i="2"/>
  <c r="AG367" i="2" s="1"/>
  <c r="AH367" i="2" s="1"/>
  <c r="F383" i="2"/>
  <c r="AG383" i="2" s="1"/>
  <c r="AH383" i="2" s="1"/>
  <c r="P384" i="2"/>
  <c r="P386" i="2" s="1"/>
  <c r="P514" i="2"/>
  <c r="S386" i="2"/>
  <c r="S388" i="2" s="1"/>
  <c r="AA386" i="2"/>
  <c r="AA388" i="2" s="1"/>
  <c r="S643" i="2"/>
  <c r="E396" i="2"/>
  <c r="Q514" i="2"/>
  <c r="Q384" i="2"/>
  <c r="Q386" i="2" s="1"/>
  <c r="AD390" i="2"/>
  <c r="AD330" i="2"/>
  <c r="F356" i="2"/>
  <c r="AG324" i="2"/>
  <c r="AH324" i="2" s="1"/>
  <c r="F326" i="2"/>
  <c r="F518" i="2" l="1"/>
  <c r="F517" i="2"/>
  <c r="H594" i="2"/>
  <c r="H595" i="2" s="1"/>
  <c r="K594" i="2"/>
  <c r="K595" i="2" s="1"/>
  <c r="M594" i="2"/>
  <c r="M595" i="2" s="1"/>
  <c r="J594" i="2"/>
  <c r="J595" i="2" s="1"/>
  <c r="L594" i="2"/>
  <c r="L595" i="2" s="1"/>
  <c r="H604" i="2"/>
  <c r="M604" i="2"/>
  <c r="K604" i="2"/>
  <c r="L604" i="2"/>
  <c r="J604" i="2"/>
  <c r="K588" i="2"/>
  <c r="H588" i="2"/>
  <c r="M588" i="2"/>
  <c r="L588" i="2"/>
  <c r="J588" i="2"/>
  <c r="M590" i="2"/>
  <c r="J590" i="2"/>
  <c r="L590" i="2"/>
  <c r="K590" i="2"/>
  <c r="H590" i="2"/>
  <c r="H599" i="2"/>
  <c r="M599" i="2"/>
  <c r="L599" i="2"/>
  <c r="J599" i="2"/>
  <c r="K599" i="2"/>
  <c r="L589" i="2"/>
  <c r="L615" i="2"/>
  <c r="M573" i="2"/>
  <c r="M598" i="2"/>
  <c r="M603" i="2"/>
  <c r="M578" i="2"/>
  <c r="K598" i="2"/>
  <c r="K573" i="2"/>
  <c r="H598" i="2"/>
  <c r="H573" i="2"/>
  <c r="M589" i="2"/>
  <c r="M615" i="2"/>
  <c r="H578" i="2"/>
  <c r="H603" i="2"/>
  <c r="J573" i="2"/>
  <c r="J598" i="2"/>
  <c r="J578" i="2"/>
  <c r="J603" i="2"/>
  <c r="L331" i="2"/>
  <c r="L637" i="2"/>
  <c r="H615" i="2"/>
  <c r="H652" i="2" s="1"/>
  <c r="H589" i="2"/>
  <c r="L573" i="2"/>
  <c r="L598" i="2"/>
  <c r="K603" i="2"/>
  <c r="K578" i="2"/>
  <c r="J589" i="2"/>
  <c r="J615" i="2"/>
  <c r="J652" i="2" s="1"/>
  <c r="L603" i="2"/>
  <c r="L578" i="2"/>
  <c r="K589" i="2"/>
  <c r="K615" i="2"/>
  <c r="K652" i="2" s="1"/>
  <c r="O594" i="2"/>
  <c r="O595" i="2" s="1"/>
  <c r="O604" i="2"/>
  <c r="O605" i="2" s="1"/>
  <c r="O645" i="2" s="1"/>
  <c r="O588" i="2"/>
  <c r="O590" i="2"/>
  <c r="O599" i="2"/>
  <c r="O598" i="2"/>
  <c r="O573" i="2"/>
  <c r="J331" i="2"/>
  <c r="I603" i="2"/>
  <c r="I629" i="2" s="1"/>
  <c r="R519" i="2"/>
  <c r="G615" i="2"/>
  <c r="G589" i="2"/>
  <c r="I615" i="2"/>
  <c r="I589" i="2"/>
  <c r="AG362" i="2"/>
  <c r="AH362" i="2" s="1"/>
  <c r="G603" i="2"/>
  <c r="G629" i="2" s="1"/>
  <c r="G578" i="2"/>
  <c r="AG361" i="2"/>
  <c r="AH361" i="2" s="1"/>
  <c r="I594" i="2"/>
  <c r="I595" i="2" s="1"/>
  <c r="G594" i="2"/>
  <c r="G595" i="2" s="1"/>
  <c r="G604" i="2"/>
  <c r="I604" i="2"/>
  <c r="I588" i="2"/>
  <c r="G588" i="2"/>
  <c r="G590" i="2"/>
  <c r="I590" i="2"/>
  <c r="I599" i="2"/>
  <c r="G599" i="2"/>
  <c r="I598" i="2"/>
  <c r="G519" i="2"/>
  <c r="G546" i="2"/>
  <c r="T574" i="2"/>
  <c r="T575" i="2" s="1"/>
  <c r="W579" i="2"/>
  <c r="W580" i="2" s="1"/>
  <c r="Q589" i="2"/>
  <c r="R589" i="2"/>
  <c r="H16" i="4"/>
  <c r="U579" i="2"/>
  <c r="U580" i="2" s="1"/>
  <c r="V579" i="2"/>
  <c r="V580" i="2" s="1"/>
  <c r="U331" i="2"/>
  <c r="W574" i="2"/>
  <c r="W575" i="2" s="1"/>
  <c r="AC331" i="2"/>
  <c r="AC579" i="2"/>
  <c r="AC580" i="2" s="1"/>
  <c r="V331" i="2"/>
  <c r="Y574" i="2"/>
  <c r="Y575" i="2" s="1"/>
  <c r="T331" i="2"/>
  <c r="Y331" i="2"/>
  <c r="X331" i="2"/>
  <c r="X574" i="2"/>
  <c r="X575" i="2" s="1"/>
  <c r="O331" i="2"/>
  <c r="R331" i="2"/>
  <c r="AE331" i="2"/>
  <c r="AE579" i="2"/>
  <c r="AE580" i="2" s="1"/>
  <c r="K331" i="2"/>
  <c r="H331" i="2"/>
  <c r="G331" i="2"/>
  <c r="J396" i="2"/>
  <c r="L519" i="2"/>
  <c r="J519" i="2"/>
  <c r="E17" i="4"/>
  <c r="F17" i="4" s="1"/>
  <c r="H17" i="4" s="1"/>
  <c r="H22" i="4"/>
  <c r="M396" i="2"/>
  <c r="E14" i="4"/>
  <c r="F14" i="4" s="1"/>
  <c r="H14" i="4" s="1"/>
  <c r="M519" i="2"/>
  <c r="L388" i="2"/>
  <c r="L396" i="2" s="1"/>
  <c r="N519" i="2"/>
  <c r="G388" i="2"/>
  <c r="G396" i="2" s="1"/>
  <c r="AA396" i="2"/>
  <c r="AA397" i="2" s="1"/>
  <c r="H519" i="2"/>
  <c r="S396" i="2"/>
  <c r="S574" i="2" s="1"/>
  <c r="E18" i="4"/>
  <c r="F18" i="4" s="1"/>
  <c r="H18" i="4" s="1"/>
  <c r="O519" i="2"/>
  <c r="H11" i="4"/>
  <c r="O388" i="2"/>
  <c r="O396" i="2" s="1"/>
  <c r="H13" i="4"/>
  <c r="I388" i="2"/>
  <c r="I396" i="2" s="1"/>
  <c r="AD396" i="2"/>
  <c r="AD397" i="2" s="1"/>
  <c r="R388" i="2"/>
  <c r="R396" i="2" s="1"/>
  <c r="R579" i="2" s="1"/>
  <c r="R580" i="2" s="1"/>
  <c r="R639" i="2" s="1"/>
  <c r="N396" i="2"/>
  <c r="AB396" i="2"/>
  <c r="AB397" i="2" s="1"/>
  <c r="H388" i="2"/>
  <c r="H396" i="2" s="1"/>
  <c r="E12" i="4"/>
  <c r="W397" i="2"/>
  <c r="AG373" i="2"/>
  <c r="AH373" i="2" s="1"/>
  <c r="AG364" i="2"/>
  <c r="AH364" i="2" s="1"/>
  <c r="F384" i="2"/>
  <c r="AG384" i="2" s="1"/>
  <c r="AH384" i="2" s="1"/>
  <c r="AB574" i="2"/>
  <c r="AB575" i="2" s="1"/>
  <c r="AB331" i="2"/>
  <c r="AB579" i="2"/>
  <c r="AB580" i="2" s="1"/>
  <c r="T397" i="2"/>
  <c r="I519" i="2"/>
  <c r="I21" i="4"/>
  <c r="Q331" i="2"/>
  <c r="AA331" i="2"/>
  <c r="AA574" i="2"/>
  <c r="AA575" i="2" s="1"/>
  <c r="AA579" i="2"/>
  <c r="AA580" i="2" s="1"/>
  <c r="I637" i="2"/>
  <c r="I331" i="2"/>
  <c r="AD331" i="2"/>
  <c r="AD579" i="2"/>
  <c r="AD580" i="2" s="1"/>
  <c r="AD574" i="2"/>
  <c r="AD575" i="2" s="1"/>
  <c r="Y397" i="2"/>
  <c r="C584" i="2"/>
  <c r="R594" i="2"/>
  <c r="R595" i="2" s="1"/>
  <c r="F594" i="2"/>
  <c r="F595" i="2" s="1"/>
  <c r="Z604" i="2"/>
  <c r="Z605" i="2" s="1"/>
  <c r="AF604" i="2"/>
  <c r="AF605" i="2" s="1"/>
  <c r="AD604" i="2"/>
  <c r="AD605" i="2" s="1"/>
  <c r="W604" i="2"/>
  <c r="W605" i="2" s="1"/>
  <c r="R599" i="2"/>
  <c r="R600" i="2" s="1"/>
  <c r="Q588" i="2"/>
  <c r="F588" i="2"/>
  <c r="E643" i="2"/>
  <c r="F604" i="2"/>
  <c r="Y604" i="2"/>
  <c r="Y605" i="2" s="1"/>
  <c r="S604" i="2"/>
  <c r="S605" i="2" s="1"/>
  <c r="S645" i="2" s="1"/>
  <c r="R604" i="2"/>
  <c r="R605" i="2" s="1"/>
  <c r="R645" i="2" s="1"/>
  <c r="Q604" i="2"/>
  <c r="Q605" i="2" s="1"/>
  <c r="Q645" i="2" s="1"/>
  <c r="S599" i="2"/>
  <c r="Q590" i="2"/>
  <c r="F590" i="2"/>
  <c r="E397" i="2"/>
  <c r="Q594" i="2"/>
  <c r="Q595" i="2" s="1"/>
  <c r="V604" i="2"/>
  <c r="V605" i="2" s="1"/>
  <c r="U604" i="2"/>
  <c r="U605" i="2" s="1"/>
  <c r="X604" i="2"/>
  <c r="X605" i="2" s="1"/>
  <c r="Q599" i="2"/>
  <c r="Q600" i="2" s="1"/>
  <c r="R588" i="2"/>
  <c r="AE604" i="2"/>
  <c r="AE605" i="2" s="1"/>
  <c r="AB604" i="2"/>
  <c r="AB605" i="2" s="1"/>
  <c r="T604" i="2"/>
  <c r="T605" i="2" s="1"/>
  <c r="AA604" i="2"/>
  <c r="AA605" i="2" s="1"/>
  <c r="F599" i="2"/>
  <c r="R590" i="2"/>
  <c r="AC604" i="2"/>
  <c r="AC605" i="2" s="1"/>
  <c r="X397" i="2"/>
  <c r="U397" i="2"/>
  <c r="N331" i="2"/>
  <c r="E15" i="4"/>
  <c r="F15" i="4" s="1"/>
  <c r="H15" i="4" s="1"/>
  <c r="K388" i="2"/>
  <c r="K396" i="2" s="1"/>
  <c r="AE397" i="2"/>
  <c r="K519" i="2"/>
  <c r="AF397" i="2"/>
  <c r="E21" i="4"/>
  <c r="F21" i="4" s="1"/>
  <c r="Q388" i="2"/>
  <c r="Q396" i="2" s="1"/>
  <c r="P543" i="2"/>
  <c r="P519" i="2"/>
  <c r="AG514" i="2"/>
  <c r="AH514" i="2" s="1"/>
  <c r="Q519" i="2"/>
  <c r="Q543" i="2"/>
  <c r="Q562" i="2" s="1"/>
  <c r="P388" i="2"/>
  <c r="P396" i="2" s="1"/>
  <c r="E20" i="4"/>
  <c r="F20" i="4" s="1"/>
  <c r="AG328" i="2"/>
  <c r="AH328" i="2" s="1"/>
  <c r="F390" i="2"/>
  <c r="V397" i="2"/>
  <c r="Z396" i="2"/>
  <c r="Z397" i="2" s="1"/>
  <c r="Z331" i="2"/>
  <c r="Z574" i="2"/>
  <c r="Z575" i="2" s="1"/>
  <c r="Z579" i="2"/>
  <c r="Z580" i="2" s="1"/>
  <c r="AC397" i="2"/>
  <c r="R587" i="2"/>
  <c r="R613" i="2"/>
  <c r="AG356" i="2"/>
  <c r="AH356" i="2" s="1"/>
  <c r="F330" i="2"/>
  <c r="AG326" i="2"/>
  <c r="H646" i="2" l="1"/>
  <c r="J646" i="2"/>
  <c r="K646" i="2"/>
  <c r="L584" i="2"/>
  <c r="K584" i="2"/>
  <c r="H584" i="2"/>
  <c r="M584" i="2"/>
  <c r="J584" i="2"/>
  <c r="M600" i="2"/>
  <c r="M646" i="2" s="1"/>
  <c r="H643" i="2"/>
  <c r="M643" i="2"/>
  <c r="K643" i="2"/>
  <c r="L643" i="2"/>
  <c r="J643" i="2"/>
  <c r="L600" i="2"/>
  <c r="L646" i="2" s="1"/>
  <c r="L624" i="2"/>
  <c r="L626" i="2" s="1"/>
  <c r="L652" i="2" s="1"/>
  <c r="J600" i="2"/>
  <c r="J624" i="2"/>
  <c r="J626" i="2" s="1"/>
  <c r="J653" i="2" s="1"/>
  <c r="G13" i="17" s="1"/>
  <c r="L629" i="2"/>
  <c r="L631" i="2" s="1"/>
  <c r="L651" i="2" s="1"/>
  <c r="L605" i="2"/>
  <c r="L645" i="2" s="1"/>
  <c r="K624" i="2"/>
  <c r="K626" i="2" s="1"/>
  <c r="K653" i="2" s="1"/>
  <c r="G14" i="17" s="1"/>
  <c r="K600" i="2"/>
  <c r="M559" i="2"/>
  <c r="M569" i="2"/>
  <c r="M570" i="2" s="1"/>
  <c r="M579" i="2"/>
  <c r="M580" i="2" s="1"/>
  <c r="M639" i="2" s="1"/>
  <c r="M563" i="2"/>
  <c r="M565" i="2"/>
  <c r="M574" i="2"/>
  <c r="M575" i="2" s="1"/>
  <c r="H605" i="2"/>
  <c r="H645" i="2" s="1"/>
  <c r="H629" i="2"/>
  <c r="H631" i="2" s="1"/>
  <c r="H651" i="2" s="1"/>
  <c r="M629" i="2"/>
  <c r="M631" i="2" s="1"/>
  <c r="M651" i="2" s="1"/>
  <c r="E16" i="17" s="1"/>
  <c r="M605" i="2"/>
  <c r="M645" i="2" s="1"/>
  <c r="M624" i="2"/>
  <c r="M626" i="2" s="1"/>
  <c r="M652" i="2" s="1"/>
  <c r="F16" i="17" s="1"/>
  <c r="K629" i="2"/>
  <c r="K631" i="2" s="1"/>
  <c r="K651" i="2" s="1"/>
  <c r="K605" i="2"/>
  <c r="K645" i="2" s="1"/>
  <c r="J629" i="2"/>
  <c r="J631" i="2" s="1"/>
  <c r="J651" i="2" s="1"/>
  <c r="J605" i="2"/>
  <c r="J645" i="2" s="1"/>
  <c r="K559" i="2"/>
  <c r="K569" i="2"/>
  <c r="K570" i="2" s="1"/>
  <c r="K579" i="2"/>
  <c r="K580" i="2" s="1"/>
  <c r="K639" i="2" s="1"/>
  <c r="K563" i="2"/>
  <c r="K565" i="2"/>
  <c r="K640" i="2" s="1"/>
  <c r="K574" i="2"/>
  <c r="K575" i="2" s="1"/>
  <c r="H559" i="2"/>
  <c r="H569" i="2"/>
  <c r="H570" i="2" s="1"/>
  <c r="H579" i="2"/>
  <c r="H580" i="2" s="1"/>
  <c r="H639" i="2" s="1"/>
  <c r="H563" i="2"/>
  <c r="H565" i="2"/>
  <c r="H640" i="2" s="1"/>
  <c r="H574" i="2"/>
  <c r="H575" i="2" s="1"/>
  <c r="L559" i="2"/>
  <c r="L569" i="2"/>
  <c r="L570" i="2" s="1"/>
  <c r="L579" i="2"/>
  <c r="L580" i="2" s="1"/>
  <c r="L639" i="2" s="1"/>
  <c r="L563" i="2"/>
  <c r="L565" i="2"/>
  <c r="L574" i="2"/>
  <c r="L575" i="2" s="1"/>
  <c r="J559" i="2"/>
  <c r="J569" i="2"/>
  <c r="J570" i="2" s="1"/>
  <c r="J579" i="2"/>
  <c r="J580" i="2" s="1"/>
  <c r="J639" i="2" s="1"/>
  <c r="J563" i="2"/>
  <c r="J565" i="2"/>
  <c r="J640" i="2" s="1"/>
  <c r="J574" i="2"/>
  <c r="J575" i="2" s="1"/>
  <c r="H600" i="2"/>
  <c r="H624" i="2"/>
  <c r="H626" i="2" s="1"/>
  <c r="H653" i="2" s="1"/>
  <c r="G11" i="17" s="1"/>
  <c r="O643" i="2"/>
  <c r="O600" i="2"/>
  <c r="O646" i="2" s="1"/>
  <c r="O584" i="2"/>
  <c r="M397" i="2"/>
  <c r="I559" i="2"/>
  <c r="I569" i="2"/>
  <c r="I570" i="2" s="1"/>
  <c r="I579" i="2"/>
  <c r="I580" i="2" s="1"/>
  <c r="I639" i="2" s="1"/>
  <c r="I563" i="2"/>
  <c r="I565" i="2"/>
  <c r="I640" i="2" s="1"/>
  <c r="I574" i="2"/>
  <c r="I575" i="2" s="1"/>
  <c r="O624" i="2"/>
  <c r="O626" i="2" s="1"/>
  <c r="O652" i="2" s="1"/>
  <c r="O559" i="2"/>
  <c r="O569" i="2"/>
  <c r="O570" i="2" s="1"/>
  <c r="O579" i="2"/>
  <c r="O580" i="2" s="1"/>
  <c r="O639" i="2" s="1"/>
  <c r="O563" i="2"/>
  <c r="O565" i="2"/>
  <c r="O574" i="2"/>
  <c r="O575" i="2" s="1"/>
  <c r="F544" i="2"/>
  <c r="F564" i="2" s="1"/>
  <c r="F615" i="2" s="1"/>
  <c r="I605" i="2"/>
  <c r="I645" i="2" s="1"/>
  <c r="I646" i="2"/>
  <c r="AG515" i="2"/>
  <c r="AH515" i="2" s="1"/>
  <c r="G605" i="2"/>
  <c r="G645" i="2" s="1"/>
  <c r="F547" i="2"/>
  <c r="AG518" i="2"/>
  <c r="AH518" i="2" s="1"/>
  <c r="I620" i="2"/>
  <c r="I621" i="2" s="1"/>
  <c r="G620" i="2"/>
  <c r="G621" i="2" s="1"/>
  <c r="G614" i="2"/>
  <c r="I614" i="2"/>
  <c r="G616" i="2"/>
  <c r="I616" i="2"/>
  <c r="I652" i="2" s="1"/>
  <c r="G573" i="2"/>
  <c r="G624" i="2" s="1"/>
  <c r="G598" i="2"/>
  <c r="G600" i="2" s="1"/>
  <c r="G646" i="2" s="1"/>
  <c r="I624" i="2"/>
  <c r="I600" i="2"/>
  <c r="G569" i="2"/>
  <c r="G570" i="2" s="1"/>
  <c r="G579" i="2"/>
  <c r="G580" i="2" s="1"/>
  <c r="G639" i="2" s="1"/>
  <c r="G563" i="2"/>
  <c r="G565" i="2"/>
  <c r="G574" i="2"/>
  <c r="F12" i="4"/>
  <c r="R646" i="2"/>
  <c r="J397" i="2"/>
  <c r="H20" i="4"/>
  <c r="H21" i="4"/>
  <c r="R397" i="2"/>
  <c r="R637" i="2"/>
  <c r="S397" i="2"/>
  <c r="L397" i="2"/>
  <c r="R559" i="2"/>
  <c r="R563" i="2"/>
  <c r="G559" i="2"/>
  <c r="S579" i="2"/>
  <c r="S580" i="2" s="1"/>
  <c r="R569" i="2"/>
  <c r="R570" i="2" s="1"/>
  <c r="R574" i="2"/>
  <c r="R575" i="2" s="1"/>
  <c r="R565" i="2"/>
  <c r="R640" i="2" s="1"/>
  <c r="G397" i="2"/>
  <c r="H397" i="2"/>
  <c r="O397" i="2"/>
  <c r="N397" i="2"/>
  <c r="F386" i="2"/>
  <c r="E10" i="4" s="1"/>
  <c r="R647" i="2"/>
  <c r="S600" i="2"/>
  <c r="S646" i="2"/>
  <c r="R584" i="2"/>
  <c r="I584" i="2"/>
  <c r="G584" i="2"/>
  <c r="Q584" i="2"/>
  <c r="F584" i="2"/>
  <c r="C610" i="2"/>
  <c r="G610" i="2"/>
  <c r="L534" i="2"/>
  <c r="P534" i="2"/>
  <c r="F534" i="2"/>
  <c r="G534" i="2"/>
  <c r="E536" i="2"/>
  <c r="Q536" i="2"/>
  <c r="S535" i="2"/>
  <c r="R614" i="2"/>
  <c r="G532" i="2"/>
  <c r="F532" i="2"/>
  <c r="K533" i="2"/>
  <c r="R533" i="2"/>
  <c r="H533" i="2"/>
  <c r="Q533" i="2"/>
  <c r="H535" i="2"/>
  <c r="O532" i="2"/>
  <c r="L535" i="2"/>
  <c r="O536" i="2"/>
  <c r="I536" i="2"/>
  <c r="I610" i="2"/>
  <c r="Q620" i="2"/>
  <c r="Q621" i="2" s="1"/>
  <c r="J534" i="2"/>
  <c r="N534" i="2"/>
  <c r="E534" i="2"/>
  <c r="S536" i="2"/>
  <c r="H532" i="2"/>
  <c r="I533" i="2"/>
  <c r="G533" i="2"/>
  <c r="F616" i="2"/>
  <c r="I535" i="2"/>
  <c r="J535" i="2"/>
  <c r="P532" i="2"/>
  <c r="G535" i="2"/>
  <c r="K536" i="2"/>
  <c r="H534" i="2"/>
  <c r="P535" i="2"/>
  <c r="J532" i="2"/>
  <c r="M535" i="2"/>
  <c r="M536" i="2"/>
  <c r="N536" i="2"/>
  <c r="F610" i="2"/>
  <c r="R610" i="2"/>
  <c r="F620" i="2"/>
  <c r="F621" i="2" s="1"/>
  <c r="R534" i="2"/>
  <c r="E532" i="2"/>
  <c r="R535" i="2"/>
  <c r="I532" i="2"/>
  <c r="J533" i="2"/>
  <c r="N535" i="2"/>
  <c r="Q532" i="2"/>
  <c r="J536" i="2"/>
  <c r="K535" i="2"/>
  <c r="Q610" i="2"/>
  <c r="Q534" i="2"/>
  <c r="M534" i="2"/>
  <c r="P536" i="2"/>
  <c r="F614" i="2"/>
  <c r="R616" i="2"/>
  <c r="R652" i="2" s="1"/>
  <c r="L533" i="2"/>
  <c r="O533" i="2"/>
  <c r="G536" i="2"/>
  <c r="R532" i="2"/>
  <c r="L532" i="2"/>
  <c r="F536" i="2"/>
  <c r="S610" i="2"/>
  <c r="K534" i="2"/>
  <c r="O534" i="2"/>
  <c r="Q535" i="2"/>
  <c r="Q614" i="2"/>
  <c r="E533" i="2"/>
  <c r="Q616" i="2"/>
  <c r="M533" i="2"/>
  <c r="O535" i="2"/>
  <c r="L536" i="2"/>
  <c r="H536" i="2"/>
  <c r="F533" i="2"/>
  <c r="E649" i="2"/>
  <c r="F649" i="2" s="1"/>
  <c r="G649" i="2" s="1"/>
  <c r="R620" i="2"/>
  <c r="R621" i="2" s="1"/>
  <c r="I534" i="2"/>
  <c r="E535" i="2"/>
  <c r="R536" i="2"/>
  <c r="K532" i="2"/>
  <c r="N533" i="2"/>
  <c r="P533" i="2"/>
  <c r="N532" i="2"/>
  <c r="M532" i="2"/>
  <c r="Q637" i="2"/>
  <c r="Q563" i="2"/>
  <c r="Q569" i="2"/>
  <c r="Q570" i="2" s="1"/>
  <c r="Q565" i="2"/>
  <c r="Q574" i="2"/>
  <c r="Q575" i="2" s="1"/>
  <c r="Q397" i="2"/>
  <c r="Q559" i="2"/>
  <c r="Q579" i="2"/>
  <c r="Q580" i="2" s="1"/>
  <c r="Q639" i="2" s="1"/>
  <c r="F519" i="2"/>
  <c r="F535" i="2"/>
  <c r="F546" i="2"/>
  <c r="AG517" i="2"/>
  <c r="AH517" i="2" s="1"/>
  <c r="S575" i="2"/>
  <c r="S640" i="2" s="1"/>
  <c r="P397" i="2"/>
  <c r="K397" i="2"/>
  <c r="Q613" i="2"/>
  <c r="Q587" i="2"/>
  <c r="Q646" i="2" s="1"/>
  <c r="I397" i="2"/>
  <c r="AG390" i="2"/>
  <c r="AH390" i="2" s="1"/>
  <c r="F394" i="2"/>
  <c r="F643" i="2"/>
  <c r="I643" i="2"/>
  <c r="G643" i="2"/>
  <c r="F331" i="2"/>
  <c r="F637" i="2"/>
  <c r="AG330" i="2"/>
  <c r="AH330" i="2" s="1"/>
  <c r="AH326" i="2"/>
  <c r="H649" i="2" l="1"/>
  <c r="I649" i="2" s="1"/>
  <c r="J649" i="2" s="1"/>
  <c r="K649" i="2" s="1"/>
  <c r="L649" i="2" s="1"/>
  <c r="M649" i="2" s="1"/>
  <c r="M640" i="2"/>
  <c r="L640" i="2"/>
  <c r="O640" i="2"/>
  <c r="F15" i="17"/>
  <c r="F589" i="2"/>
  <c r="AG519" i="2"/>
  <c r="AH519" i="2" s="1"/>
  <c r="F578" i="2"/>
  <c r="F603" i="2"/>
  <c r="E13" i="17"/>
  <c r="F13" i="17"/>
  <c r="E14" i="17"/>
  <c r="F14" i="17"/>
  <c r="E11" i="17"/>
  <c r="F11" i="17"/>
  <c r="G630" i="2"/>
  <c r="G631" i="2" s="1"/>
  <c r="G651" i="2" s="1"/>
  <c r="E10" i="17" s="1"/>
  <c r="G625" i="2"/>
  <c r="G626" i="2" s="1"/>
  <c r="G652" i="2" s="1"/>
  <c r="F10" i="17" s="1"/>
  <c r="I630" i="2"/>
  <c r="I631" i="2" s="1"/>
  <c r="I651" i="2" s="1"/>
  <c r="E12" i="17" s="1"/>
  <c r="I625" i="2"/>
  <c r="I626" i="2" s="1"/>
  <c r="I653" i="2" s="1"/>
  <c r="G12" i="17" s="1"/>
  <c r="G575" i="2"/>
  <c r="G640" i="2" s="1"/>
  <c r="H12" i="4"/>
  <c r="G15" i="17"/>
  <c r="R641" i="2"/>
  <c r="AG386" i="2"/>
  <c r="AH386" i="2" s="1"/>
  <c r="K537" i="2"/>
  <c r="J537" i="2"/>
  <c r="M537" i="2"/>
  <c r="O537" i="2"/>
  <c r="F598" i="2"/>
  <c r="F600" i="2" s="1"/>
  <c r="F573" i="2"/>
  <c r="F624" i="2" s="1"/>
  <c r="L537" i="2"/>
  <c r="F537" i="2"/>
  <c r="F630" i="2"/>
  <c r="F625" i="2"/>
  <c r="Q640" i="2"/>
  <c r="S625" i="2"/>
  <c r="S630" i="2"/>
  <c r="S631" i="2" s="1"/>
  <c r="S651" i="2" s="1"/>
  <c r="R537" i="2"/>
  <c r="P537" i="2"/>
  <c r="G537" i="2"/>
  <c r="S537" i="2"/>
  <c r="I537" i="2"/>
  <c r="G10" i="4"/>
  <c r="AG394" i="2"/>
  <c r="AH394" i="2" s="1"/>
  <c r="N537" i="2"/>
  <c r="Q625" i="2"/>
  <c r="Q626" i="2" s="1"/>
  <c r="Q652" i="2" s="1"/>
  <c r="Q630" i="2"/>
  <c r="Q631" i="2" s="1"/>
  <c r="Q651" i="2" s="1"/>
  <c r="Q537" i="2"/>
  <c r="E537" i="2"/>
  <c r="E539" i="2" s="1"/>
  <c r="R630" i="2"/>
  <c r="R631" i="2" s="1"/>
  <c r="R651" i="2" s="1"/>
  <c r="R625" i="2"/>
  <c r="R626" i="2" s="1"/>
  <c r="R653" i="2" s="1"/>
  <c r="H537" i="2"/>
  <c r="F12" i="17"/>
  <c r="E26" i="4"/>
  <c r="Q649" i="2" l="1"/>
  <c r="R649" i="2" s="1"/>
  <c r="O649" i="2"/>
  <c r="G26" i="4"/>
  <c r="F646" i="2"/>
  <c r="F605" i="2"/>
  <c r="F645" i="2" s="1"/>
  <c r="F629" i="2"/>
  <c r="F631" i="2" s="1"/>
  <c r="F651" i="2" s="1"/>
  <c r="E9" i="17" s="1"/>
  <c r="E15" i="17"/>
  <c r="S652" i="2"/>
  <c r="S626" i="2"/>
  <c r="F626" i="2"/>
  <c r="F652" i="2" s="1"/>
  <c r="F9" i="17" s="1"/>
  <c r="Q643" i="2" l="1"/>
  <c r="R643" i="2" s="1"/>
  <c r="AG349" i="2"/>
  <c r="AH349" i="2" s="1"/>
  <c r="F350" i="2"/>
  <c r="F352" i="2" s="1"/>
  <c r="F388" i="2" s="1"/>
  <c r="AG350" i="2" l="1"/>
  <c r="AH350" i="2" s="1"/>
  <c r="F396" i="2"/>
  <c r="AG388" i="2"/>
  <c r="AH388" i="2" s="1"/>
  <c r="D10" i="4"/>
  <c r="AG352" i="2" l="1"/>
  <c r="AH352" i="2" s="1"/>
  <c r="AH1" i="2" s="1"/>
  <c r="D26" i="4"/>
  <c r="D33" i="4" s="1"/>
  <c r="F10" i="4"/>
  <c r="F574" i="2"/>
  <c r="F575" i="2" s="1"/>
  <c r="F563" i="2"/>
  <c r="F559" i="2"/>
  <c r="F397" i="2"/>
  <c r="F579" i="2"/>
  <c r="F580" i="2" s="1"/>
  <c r="F639" i="2" s="1"/>
  <c r="F565" i="2"/>
  <c r="F569" i="2"/>
  <c r="F570" i="2" s="1"/>
  <c r="F640" i="2" l="1"/>
  <c r="M10" i="4"/>
  <c r="H10" i="4"/>
  <c r="F26" i="4"/>
  <c r="H26" i="4" s="1"/>
  <c r="D49" i="4"/>
  <c r="D39" i="4"/>
  <c r="D38" i="4"/>
  <c r="D45" i="4"/>
  <c r="D41" i="4"/>
  <c r="D43" i="4"/>
  <c r="D47" i="4"/>
  <c r="D40" i="4"/>
  <c r="D34" i="4"/>
  <c r="D48" i="4"/>
  <c r="D44" i="4"/>
  <c r="D46" i="4"/>
  <c r="D37" i="4"/>
  <c r="D36" i="4"/>
  <c r="D35" i="4"/>
  <c r="D42" i="4"/>
  <c r="I14" i="4" l="1"/>
  <c r="I20" i="4"/>
  <c r="I17" i="4"/>
  <c r="I18" i="4"/>
  <c r="I13" i="4"/>
  <c r="I15" i="4"/>
  <c r="I12" i="4"/>
  <c r="I16" i="4"/>
  <c r="I11" i="4"/>
  <c r="I26" i="4"/>
  <c r="M26" i="4"/>
  <c r="M27" i="4" s="1"/>
  <c r="M9" i="4"/>
  <c r="I10" i="4"/>
</calcChain>
</file>

<file path=xl/sharedStrings.xml><?xml version="1.0" encoding="utf-8"?>
<sst xmlns="http://schemas.openxmlformats.org/spreadsheetml/2006/main" count="2594" uniqueCount="1252">
  <si>
    <t>Total</t>
  </si>
  <si>
    <t>Station Equipment</t>
  </si>
  <si>
    <t>Primary Distribution Plant</t>
  </si>
  <si>
    <t>Customer Services</t>
  </si>
  <si>
    <t>Meters</t>
  </si>
  <si>
    <t>Lighting Systems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</si>
  <si>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</si>
  <si>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</si>
  <si>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</si>
  <si>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</si>
  <si>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</si>
  <si>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</si>
  <si>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</si>
  <si>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</si>
  <si>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</si>
  <si>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</si>
  <si>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</si>
  <si>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LAND AND LAND RIGHTS</t>
  </si>
  <si>
    <t>P360</t>
  </si>
  <si>
    <t>Total Intangible Plant</t>
  </si>
  <si>
    <t>PINT</t>
  </si>
  <si>
    <t>Distribution</t>
  </si>
  <si>
    <t>STATION EQUIPMENT</t>
  </si>
  <si>
    <t>P362</t>
  </si>
  <si>
    <t>F001</t>
  </si>
  <si>
    <t>POLES, TOWERS AND FIXTURES</t>
  </si>
  <si>
    <t>P364</t>
  </si>
  <si>
    <t>F002</t>
  </si>
  <si>
    <t>OVERHEAD CONDUCTORS AND DEVICE</t>
  </si>
  <si>
    <t>P365</t>
  </si>
  <si>
    <t>F003</t>
  </si>
  <si>
    <t>UNDERGROUND CONDUIT</t>
  </si>
  <si>
    <t>P366</t>
  </si>
  <si>
    <t>F004</t>
  </si>
  <si>
    <t>UNDERGROUND CONDUCTORS AND DEV</t>
  </si>
  <si>
    <t>P367</t>
  </si>
  <si>
    <t>LINE TRANSFORMERS</t>
  </si>
  <si>
    <t>P368</t>
  </si>
  <si>
    <t>F005</t>
  </si>
  <si>
    <t>SERVICES</t>
  </si>
  <si>
    <t>P369</t>
  </si>
  <si>
    <t>F006</t>
  </si>
  <si>
    <t>METERS</t>
  </si>
  <si>
    <t>P370</t>
  </si>
  <si>
    <t>F007</t>
  </si>
  <si>
    <t>INSTALLATIONS ON CONSUMERS PRE</t>
  </si>
  <si>
    <t>P371</t>
  </si>
  <si>
    <t>STREET LIGHTING AND SIGNAL SYS</t>
  </si>
  <si>
    <t>P373</t>
  </si>
  <si>
    <t>F008</t>
  </si>
  <si>
    <t>Total Distribution Plant</t>
  </si>
  <si>
    <t>General Plant</t>
  </si>
  <si>
    <t>P389</t>
  </si>
  <si>
    <t>STRUCTURES AND IMPROVEMENTS</t>
  </si>
  <si>
    <t>P390</t>
  </si>
  <si>
    <t>OFFICE FURNITURE AND EQUIPMENT</t>
  </si>
  <si>
    <t>P391</t>
  </si>
  <si>
    <t>TRANSPORTATION EQUIPMENT</t>
  </si>
  <si>
    <t>P392</t>
  </si>
  <si>
    <t>STORES EQUIPMENT</t>
  </si>
  <si>
    <t>P393</t>
  </si>
  <si>
    <t>TOOLS, SHOP &amp; GARAGE EQUIPMENT</t>
  </si>
  <si>
    <t>P394</t>
  </si>
  <si>
    <t>LABORATORY EQUIPMENT</t>
  </si>
  <si>
    <t>P395</t>
  </si>
  <si>
    <t>POWER OPERATED EQUIPMENT</t>
  </si>
  <si>
    <t>P396</t>
  </si>
  <si>
    <t>COMMUNICATION EQUIPMENT</t>
  </si>
  <si>
    <t>P397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</si>
  <si>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</si>
  <si>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</si>
  <si>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</si>
  <si>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</si>
  <si>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</si>
  <si>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</si>
  <si>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</si>
  <si>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Rate Base</t>
  </si>
  <si>
    <t>Utility Plant</t>
  </si>
  <si>
    <t xml:space="preserve">    Total Utility Plant</t>
  </si>
  <si>
    <t>TUP</t>
  </si>
  <si>
    <t>Less: Acummulated Provision for Depreciation</t>
  </si>
  <si>
    <t xml:space="preserve">  General Plant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</si>
  <si>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</si>
  <si>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</si>
  <si>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</si>
  <si>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</si>
  <si>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</si>
  <si>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</si>
  <si>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</si>
  <si>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</t>
  </si>
  <si>
    <t xml:space="preserve">  Total Working Capital</t>
  </si>
  <si>
    <t>TWC</t>
  </si>
  <si>
    <t>Less: Customer Deposits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</si>
  <si>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</si>
  <si>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</si>
  <si>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</si>
  <si>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</si>
  <si>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</si>
  <si>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</si>
  <si>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</si>
  <si>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</si>
  <si>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</si>
  <si>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</si>
  <si>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</si>
  <si>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</si>
  <si>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</si>
  <si>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</si>
  <si>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</si>
  <si>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</si>
  <si>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</si>
  <si>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</si>
  <si>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</si>
  <si>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</si>
  <si>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</si>
  <si>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</si>
  <si>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</si>
  <si>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</si>
  <si>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</si>
  <si>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</si>
  <si>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</si>
  <si>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</si>
  <si>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</si>
  <si>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</si>
  <si>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</si>
  <si>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</si>
  <si>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</si>
  <si>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</si>
  <si>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</si>
  <si>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</si>
  <si>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</si>
  <si>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</si>
  <si>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</si>
  <si>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OM598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</si>
  <si>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</si>
  <si>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</si>
  <si>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</si>
  <si>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</si>
  <si>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</si>
  <si>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</si>
  <si>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</si>
  <si>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</si>
  <si>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</si>
  <si>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</si>
  <si>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</si>
  <si>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</si>
  <si>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</si>
  <si>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</si>
  <si>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</si>
  <si>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</si>
  <si>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</si>
  <si>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</si>
  <si>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</si>
  <si>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</si>
  <si>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</si>
  <si>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</si>
  <si>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</si>
  <si>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</si>
  <si>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</si>
  <si>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</si>
  <si>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</si>
  <si>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</si>
  <si>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</si>
  <si>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</si>
  <si>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</si>
  <si>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</si>
  <si>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</si>
  <si>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</si>
  <si>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</si>
  <si>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INJURIES AND DAMAGES - INSURAN</t>
  </si>
  <si>
    <t>OM925</t>
  </si>
  <si>
    <t>EMPLOYEE BENEFITS</t>
  </si>
  <si>
    <t>OM926</t>
  </si>
  <si>
    <t>REGULATORY COMMISSION EXPENSES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</si>
  <si>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</si>
  <si>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</si>
  <si>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</si>
  <si>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</si>
  <si>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</si>
  <si>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</si>
  <si>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</si>
  <si>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</si>
  <si>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</si>
  <si>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</si>
  <si>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</si>
  <si>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</si>
  <si>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</si>
  <si>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</si>
  <si>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</si>
  <si>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Property Taxes</t>
  </si>
  <si>
    <t>PTAX</t>
  </si>
  <si>
    <t>OT</t>
  </si>
  <si>
    <t>Interest -- LTD</t>
  </si>
  <si>
    <t>INTLTD</t>
  </si>
  <si>
    <t>Interest -- Other</t>
  </si>
  <si>
    <t>INTOTH</t>
  </si>
  <si>
    <t>Other Deductions</t>
  </si>
  <si>
    <t>DEDUCT</t>
  </si>
  <si>
    <t>Total Other Expenses</t>
  </si>
  <si>
    <t>TOE</t>
  </si>
  <si>
    <t>Functional Vectors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</si>
  <si>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</si>
  <si>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</si>
  <si>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</si>
  <si>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</si>
  <si>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</si>
  <si>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</si>
  <si>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</si>
  <si>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</si>
  <si>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</si>
  <si>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</si>
  <si>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PLPPD</t>
  </si>
  <si>
    <t>D01</t>
  </si>
  <si>
    <t xml:space="preserve">  Energy</t>
  </si>
  <si>
    <t>PLPPE</t>
  </si>
  <si>
    <t>E01</t>
  </si>
  <si>
    <t>Total Purchase Power</t>
  </si>
  <si>
    <t>PLPPT</t>
  </si>
  <si>
    <t>PLSED</t>
  </si>
  <si>
    <t>D02</t>
  </si>
  <si>
    <t>PLDPD</t>
  </si>
  <si>
    <t>D03</t>
  </si>
  <si>
    <t xml:space="preserve">  Customer</t>
  </si>
  <si>
    <t>PLDPC</t>
  </si>
  <si>
    <t>C01</t>
  </si>
  <si>
    <t>Total Primary Distribution Plant</t>
  </si>
  <si>
    <t>PLCSD</t>
  </si>
  <si>
    <t>PLCSC</t>
  </si>
  <si>
    <t>C02</t>
  </si>
  <si>
    <t>Total Customer Services</t>
  </si>
  <si>
    <t>PLMC</t>
  </si>
  <si>
    <t>C03</t>
  </si>
  <si>
    <t>PLLSC</t>
  </si>
  <si>
    <t>C04</t>
  </si>
  <si>
    <t>PLMRBC</t>
  </si>
  <si>
    <t>C05</t>
  </si>
  <si>
    <t>C06</t>
  </si>
  <si>
    <t>PLT</t>
  </si>
  <si>
    <t>NPPPD</t>
  </si>
  <si>
    <t>NPPPE</t>
  </si>
  <si>
    <t>NPPPT</t>
  </si>
  <si>
    <t>NPSED</t>
  </si>
  <si>
    <t>NPDPD</t>
  </si>
  <si>
    <t>NPDPC</t>
  </si>
  <si>
    <t>NPCSD</t>
  </si>
  <si>
    <t>NPCSC</t>
  </si>
  <si>
    <t>NPMC</t>
  </si>
  <si>
    <t>NPLSC</t>
  </si>
  <si>
    <t>NPMRBC</t>
  </si>
  <si>
    <t>NPT</t>
  </si>
  <si>
    <t>Net Cost Rate Base</t>
  </si>
  <si>
    <t>RBPPD</t>
  </si>
  <si>
    <t>RBPPE</t>
  </si>
  <si>
    <t>RBPPT</t>
  </si>
  <si>
    <t>RBSED</t>
  </si>
  <si>
    <t>RBDPD</t>
  </si>
  <si>
    <t>RBDPC</t>
  </si>
  <si>
    <t>RBCSD</t>
  </si>
  <si>
    <t>RBCSC</t>
  </si>
  <si>
    <t>RBMC</t>
  </si>
  <si>
    <t>RBLSC</t>
  </si>
  <si>
    <t>RBMRBC</t>
  </si>
  <si>
    <t>RBT</t>
  </si>
  <si>
    <t>OMPPD</t>
  </si>
  <si>
    <t>OMPPE</t>
  </si>
  <si>
    <t>OMPPT</t>
  </si>
  <si>
    <t>OMSED</t>
  </si>
  <si>
    <t>OMDPD</t>
  </si>
  <si>
    <t>OMDPC</t>
  </si>
  <si>
    <t>OMCSD</t>
  </si>
  <si>
    <t>OMCSC</t>
  </si>
  <si>
    <t>OMMC</t>
  </si>
  <si>
    <t>OMLSC</t>
  </si>
  <si>
    <t>OMMRBC</t>
  </si>
  <si>
    <t>OMT</t>
  </si>
  <si>
    <t>LBPPD</t>
  </si>
  <si>
    <t>LBPPE</t>
  </si>
  <si>
    <t>LBPPT</t>
  </si>
  <si>
    <t>LBSED</t>
  </si>
  <si>
    <t>LBDPD</t>
  </si>
  <si>
    <t>LBDPC</t>
  </si>
  <si>
    <t>LBCSD</t>
  </si>
  <si>
    <t>LBCSC</t>
  </si>
  <si>
    <t>LBMC</t>
  </si>
  <si>
    <t>LBLSC</t>
  </si>
  <si>
    <t>LBMRBC</t>
  </si>
  <si>
    <t>LBT</t>
  </si>
  <si>
    <t>DPPPD</t>
  </si>
  <si>
    <t>DPPPE</t>
  </si>
  <si>
    <t>DPPPT</t>
  </si>
  <si>
    <t>DPSED</t>
  </si>
  <si>
    <t>DPDPD</t>
  </si>
  <si>
    <t>DPDPC</t>
  </si>
  <si>
    <t>DPCSD</t>
  </si>
  <si>
    <t>DPCSC</t>
  </si>
  <si>
    <t>DPMC</t>
  </si>
  <si>
    <t>DPLSC</t>
  </si>
  <si>
    <t>DPMRBC</t>
  </si>
  <si>
    <t>DPT</t>
  </si>
  <si>
    <t>PTPPD</t>
  </si>
  <si>
    <t>PTPPE</t>
  </si>
  <si>
    <t>PTPPT</t>
  </si>
  <si>
    <t>PTSED</t>
  </si>
  <si>
    <t>PTDPD</t>
  </si>
  <si>
    <t>PTDPC</t>
  </si>
  <si>
    <t>PTCSD</t>
  </si>
  <si>
    <t>PTCSC</t>
  </si>
  <si>
    <t>PTMC</t>
  </si>
  <si>
    <t>PTLSC</t>
  </si>
  <si>
    <t>PTMRBC</t>
  </si>
  <si>
    <t>PTT</t>
  </si>
  <si>
    <t>Other Taxes</t>
  </si>
  <si>
    <t>OTPPD</t>
  </si>
  <si>
    <t>OTPPE</t>
  </si>
  <si>
    <t>OTPPT</t>
  </si>
  <si>
    <t>OTSED</t>
  </si>
  <si>
    <t>OTDPD</t>
  </si>
  <si>
    <t>OTDPC</t>
  </si>
  <si>
    <t>OTCSD</t>
  </si>
  <si>
    <t>OTCSC</t>
  </si>
  <si>
    <t>OTMC</t>
  </si>
  <si>
    <t>OTLSC</t>
  </si>
  <si>
    <t>OTMRBC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</si>
  <si>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</si>
  <si>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</si>
  <si>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</si>
  <si>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</si>
  <si>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</si>
  <si>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</si>
  <si>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</si>
  <si>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</si>
  <si>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 xml:space="preserve">   Property Taxes</t>
  </si>
  <si>
    <t xml:space="preserve">   Other Taxes</t>
  </si>
  <si>
    <t>Total Operating Expenses</t>
  </si>
  <si>
    <t>Utility Operating Margin</t>
  </si>
  <si>
    <t>Rate of Return</t>
  </si>
  <si>
    <t>Energy Allocation Factors</t>
  </si>
  <si>
    <t>Energy Usage by Class</t>
  </si>
  <si>
    <t>Demand Allocation Factors</t>
  </si>
  <si>
    <t>Purchase Power -- Average 12 CP</t>
  </si>
  <si>
    <t>Station Equipment -- Maximum Class Demand</t>
  </si>
  <si>
    <t>Primary Distribution Plant -- Maximum Class Demand</t>
  </si>
  <si>
    <t>Customer Allocation Factors</t>
  </si>
  <si>
    <t>Primary Distribution Plant -- Average Number of Customers</t>
  </si>
  <si>
    <t>Customer Services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</si>
  <si>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</si>
  <si>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</si>
  <si>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</si>
  <si>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</si>
  <si>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</si>
  <si>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Rev</t>
  </si>
  <si>
    <t>Transmission</t>
  </si>
  <si>
    <t>CONDUCTORS AND DEVICES</t>
  </si>
  <si>
    <t>P350</t>
  </si>
  <si>
    <t>P353</t>
  </si>
  <si>
    <t>P355</t>
  </si>
  <si>
    <t>P356</t>
  </si>
  <si>
    <t>Pri &amp; Sec. Distr Plant</t>
  </si>
  <si>
    <t>Primary &amp; Secondary Distribution Plant</t>
  </si>
  <si>
    <t>Intangible Plant</t>
  </si>
  <si>
    <t>Total Transmission Plant</t>
  </si>
  <si>
    <t>ORGANIZATION</t>
  </si>
  <si>
    <t>P301</t>
  </si>
  <si>
    <t>MISCELLANEOUS EQUIPMENT</t>
  </si>
  <si>
    <t>P398</t>
  </si>
  <si>
    <t>COMPLETED CONSTR NOT CLASSIFIED</t>
  </si>
  <si>
    <t>P106</t>
  </si>
  <si>
    <t>Plant in Service (Continued)</t>
  </si>
  <si>
    <t xml:space="preserve">  Total Utility Plant</t>
  </si>
  <si>
    <t xml:space="preserve">  Transmission</t>
  </si>
  <si>
    <t xml:space="preserve">  Electric Plant Amortization</t>
  </si>
  <si>
    <t xml:space="preserve">  Retirement Work in Progress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</si>
  <si>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</si>
  <si>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</si>
  <si>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</si>
  <si>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</si>
  <si>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</si>
  <si>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</si>
  <si>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</si>
  <si>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</si>
  <si>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</si>
  <si>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</si>
  <si>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</si>
  <si>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</si>
  <si>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</si>
  <si>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</si>
  <si>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</si>
  <si>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</si>
  <si>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</si>
  <si>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AMORT ELECT PLANT ACQUISIT ADJ</t>
  </si>
  <si>
    <t>Total Cost of Service (O&amp;M + Other Expenses)</t>
  </si>
  <si>
    <t>PTRAN</t>
  </si>
  <si>
    <t>F011</t>
  </si>
  <si>
    <t>PT&amp;D</t>
  </si>
  <si>
    <t>ADEPREPA</t>
  </si>
  <si>
    <t>RWIP</t>
  </si>
  <si>
    <t>ADEPRTP</t>
  </si>
  <si>
    <t>M&amp;S</t>
  </si>
  <si>
    <t>OM555</t>
  </si>
  <si>
    <t>OTHER EXPENSES</t>
  </si>
  <si>
    <t>Total Purchased Power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</si>
  <si>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</si>
  <si>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</si>
  <si>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</si>
  <si>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</si>
  <si>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</si>
  <si>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</si>
  <si>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</si>
  <si>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</si>
  <si>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</si>
  <si>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</si>
  <si>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Sub-Total Transmission, Distribution, Cust Acct and Cust Service</t>
  </si>
  <si>
    <t>OMSUB2</t>
  </si>
  <si>
    <t>Operation and Maintenance Expenses Less Purchase Power</t>
  </si>
  <si>
    <t>Cash Working Capital - Operation and Maintenance Expenses</t>
  </si>
  <si>
    <t>DEPRTP</t>
  </si>
  <si>
    <t>DEPRGP</t>
  </si>
  <si>
    <t>DEPRLTEP</t>
  </si>
  <si>
    <t>DEPRAADJ</t>
  </si>
  <si>
    <t>P352</t>
  </si>
  <si>
    <t>TOWERS AND FIXTURES</t>
  </si>
  <si>
    <t>POLES AND FIXTURES</t>
  </si>
  <si>
    <t>P354</t>
  </si>
  <si>
    <t>ROADS AND TRAILS</t>
  </si>
  <si>
    <t>P359</t>
  </si>
  <si>
    <t>P361</t>
  </si>
  <si>
    <t xml:space="preserve">  CWIP Transmission</t>
  </si>
  <si>
    <t xml:space="preserve">  Dist-Structures</t>
  </si>
  <si>
    <t xml:space="preserve">  Dist-Station</t>
  </si>
  <si>
    <t xml:space="preserve">  Dist-Poles and Fixtures</t>
  </si>
  <si>
    <t xml:space="preserve">  Dist-OH Conductor</t>
  </si>
  <si>
    <t xml:space="preserve">  Dist-UG Conductor</t>
  </si>
  <si>
    <t xml:space="preserve">  Dist-Line Transformers</t>
  </si>
  <si>
    <t xml:space="preserve">  Dist-Services</t>
  </si>
  <si>
    <t xml:space="preserve">  Dist-Meters</t>
  </si>
  <si>
    <t xml:space="preserve">  Dist-Installations on Customer Premises</t>
  </si>
  <si>
    <t xml:space="preserve">  Dist-Lighting &amp; Signal Systems</t>
  </si>
  <si>
    <t>ADEPRD1</t>
  </si>
  <si>
    <t>ADEPRD2</t>
  </si>
  <si>
    <t>ADEPRD3</t>
  </si>
  <si>
    <t>ADEPRD4</t>
  </si>
  <si>
    <t>ADEPRD5</t>
  </si>
  <si>
    <t>ADEPRD6</t>
  </si>
  <si>
    <t>ADEPRD7</t>
  </si>
  <si>
    <t>ADEPRD8</t>
  </si>
  <si>
    <t>ADEPRD9</t>
  </si>
  <si>
    <t>ADEPRD10</t>
  </si>
  <si>
    <t>ADEPRD11</t>
  </si>
  <si>
    <t xml:space="preserve">  Dist-UG Conduit</t>
  </si>
  <si>
    <t>ADEPRD12</t>
  </si>
  <si>
    <t xml:space="preserve">  CWIP General Plant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</si>
  <si>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</si>
  <si>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</si>
  <si>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</si>
  <si>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</si>
  <si>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</si>
  <si>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</si>
  <si>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</si>
  <si>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</si>
  <si>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</si>
  <si>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</si>
  <si>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</si>
  <si>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</si>
  <si>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</si>
  <si>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</si>
  <si>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DEPRDP7</t>
  </si>
  <si>
    <t>DEPRDP8</t>
  </si>
  <si>
    <t>DEPRDP9</t>
  </si>
  <si>
    <t>DEPRDP10</t>
  </si>
  <si>
    <t>DEPRDP11</t>
  </si>
  <si>
    <t>DEPRDP12</t>
  </si>
  <si>
    <t>Load Management</t>
  </si>
  <si>
    <t>F012</t>
  </si>
  <si>
    <t>PLD</t>
  </si>
  <si>
    <t>Labor Expenses (Continued)</t>
  </si>
  <si>
    <t>LBPP</t>
  </si>
  <si>
    <t>LB557</t>
  </si>
  <si>
    <t>LB561</t>
  </si>
  <si>
    <t>LB562</t>
  </si>
  <si>
    <t>LB563</t>
  </si>
  <si>
    <t>LB568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</si>
  <si>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</si>
  <si>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</si>
  <si>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</si>
  <si>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</si>
  <si>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</si>
  <si>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</si>
  <si>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</si>
  <si>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</si>
  <si>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</si>
  <si>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</si>
  <si>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</si>
  <si>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</si>
  <si>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</si>
  <si>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</si>
  <si>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</si>
  <si>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</si>
  <si>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</si>
  <si>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</si>
  <si>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</si>
  <si>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</si>
  <si>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</si>
  <si>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</si>
  <si>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</si>
  <si>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</si>
  <si>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</si>
  <si>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</si>
  <si>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</si>
  <si>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</si>
  <si>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</si>
  <si>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</si>
  <si>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</si>
  <si>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</si>
  <si>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</si>
  <si>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</si>
  <si>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</si>
  <si>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</si>
  <si>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</si>
  <si>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</si>
  <si>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LB921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</si>
  <si>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</si>
  <si>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</si>
  <si>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</si>
  <si>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</si>
  <si>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</si>
  <si>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</si>
  <si>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</si>
  <si>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</si>
  <si>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</si>
  <si>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</si>
  <si>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</si>
  <si>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</si>
  <si>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</si>
  <si>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</si>
  <si>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</si>
  <si>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</si>
  <si>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</si>
  <si>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</si>
  <si>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</si>
  <si>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</si>
  <si>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</si>
  <si>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</si>
  <si>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Purchased Power, Transmission and Distribution Labor Expenses</t>
  </si>
  <si>
    <t>Total Customer Accounts Labor Expense</t>
  </si>
  <si>
    <t>Total Customer Service Labor Expense</t>
  </si>
  <si>
    <t>Sub-Total Trans, Distr, Cust Acct and Cust Service Labor Exp</t>
  </si>
  <si>
    <t>Meter Reading, Billing and Customer Service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</si>
  <si>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</si>
  <si>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</si>
  <si>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</si>
  <si>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</si>
  <si>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</si>
  <si>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</si>
  <si>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</si>
  <si>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CWIP1</t>
  </si>
  <si>
    <t>CWIP2</t>
  </si>
  <si>
    <t>CWIP3</t>
  </si>
  <si>
    <t>CWIP4</t>
  </si>
  <si>
    <t>CWIP5</t>
  </si>
  <si>
    <t>Customers (Monthly Bills)</t>
  </si>
  <si>
    <t>Average Customers (Bills/12)</t>
  </si>
  <si>
    <t>Average Customers (Lighting = Lights)</t>
  </si>
  <si>
    <t>R01</t>
  </si>
  <si>
    <t>Cust01</t>
  </si>
  <si>
    <t>Cust02</t>
  </si>
  <si>
    <t>Cust03</t>
  </si>
  <si>
    <t>Cust04</t>
  </si>
  <si>
    <t>NCP</t>
  </si>
  <si>
    <t>Allocation Factors</t>
  </si>
  <si>
    <t>Total Operating Revenue -- Actual</t>
  </si>
  <si>
    <t>Pro-Forma Adjustments:</t>
  </si>
  <si>
    <t>Total Pro-Forma Operating Revenue</t>
  </si>
  <si>
    <t>Total Operating Expenses -- Actual</t>
  </si>
  <si>
    <t>Total Pro-forma Operating Expenses</t>
  </si>
  <si>
    <t>Utility Operating Margin -- Pro-Forma</t>
  </si>
  <si>
    <t>LEASED PROP. ON CONSUMERS PREMISES</t>
  </si>
  <si>
    <t>P372</t>
  </si>
  <si>
    <t>WATER HEATER - HEAT PUMP PROGRAM</t>
  </si>
  <si>
    <t>OM913</t>
  </si>
  <si>
    <t>ASSOCIATED DUES</t>
  </si>
  <si>
    <t xml:space="preserve">  Distribution Plant</t>
  </si>
  <si>
    <t>Average</t>
  </si>
  <si>
    <t>Cost of Service Summary -- Unadjusted Results</t>
  </si>
  <si>
    <t>Customers</t>
  </si>
  <si>
    <t>OTHER TANGIBLE PROPERTY</t>
  </si>
  <si>
    <t>P399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</si>
  <si>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</si>
  <si>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</si>
  <si>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</si>
  <si>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</si>
  <si>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</si>
  <si>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</si>
  <si>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</si>
  <si>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Customer Specific Assignment</t>
  </si>
  <si>
    <t>Transmission Residual</t>
  </si>
  <si>
    <t xml:space="preserve">Transmission Plant In Service </t>
  </si>
  <si>
    <t>Transmission Residual Demand Allocator</t>
  </si>
  <si>
    <t>TRDA</t>
  </si>
  <si>
    <t>TA1</t>
  </si>
  <si>
    <t>Transmission Total</t>
  </si>
  <si>
    <t>T01</t>
  </si>
  <si>
    <t>Distribution Residual Demand Allocator</t>
  </si>
  <si>
    <t xml:space="preserve">Distribution Plant In Service </t>
  </si>
  <si>
    <t>Distribution Residual</t>
  </si>
  <si>
    <t>Distribution Total</t>
  </si>
  <si>
    <t>DDA</t>
  </si>
  <si>
    <t>DA1</t>
  </si>
  <si>
    <t>DT1</t>
  </si>
  <si>
    <t>Substation Residual Demand Allocator</t>
  </si>
  <si>
    <t xml:space="preserve">Substation Plant In Service </t>
  </si>
  <si>
    <t>Substation Residual</t>
  </si>
  <si>
    <t>Substation Total</t>
  </si>
  <si>
    <t>SDA</t>
  </si>
  <si>
    <t>ST1</t>
  </si>
  <si>
    <t>SA1</t>
  </si>
  <si>
    <t xml:space="preserve">Average Customers </t>
  </si>
  <si>
    <t>Cust05</t>
  </si>
  <si>
    <t>Cust06</t>
  </si>
  <si>
    <t>CSA</t>
  </si>
  <si>
    <t>Customer Services Allocator</t>
  </si>
  <si>
    <t>Customer Services Demand</t>
  </si>
  <si>
    <t>CSD</t>
  </si>
  <si>
    <t>Transmission Plant Allocator</t>
  </si>
  <si>
    <t>TOMDA</t>
  </si>
  <si>
    <t>TOMA</t>
  </si>
  <si>
    <t>T02</t>
  </si>
  <si>
    <t>DOMDA</t>
  </si>
  <si>
    <t>DOMA</t>
  </si>
  <si>
    <t>DOM</t>
  </si>
  <si>
    <t>SOMDA</t>
  </si>
  <si>
    <t>STOM</t>
  </si>
  <si>
    <t>SOMA</t>
  </si>
  <si>
    <t>Transmission O&amp;M Allocator</t>
  </si>
  <si>
    <t>Distribution O&amp;M Allocator</t>
  </si>
  <si>
    <t>Distribution Plant Allocator</t>
  </si>
  <si>
    <t>Substation Plant Allocator</t>
  </si>
  <si>
    <t>Substation O&amp;M Allocator</t>
  </si>
  <si>
    <t>ADVERTISING EXPENSES</t>
  </si>
  <si>
    <t>MDSE-JOBBING-CONTRACT</t>
  </si>
  <si>
    <t>MISC SALES EXPENSE</t>
  </si>
  <si>
    <t>OM916</t>
  </si>
  <si>
    <t>LB915</t>
  </si>
  <si>
    <t>LB916</t>
  </si>
  <si>
    <t>Coincident</t>
  </si>
  <si>
    <t>Purchased Power Demand</t>
  </si>
  <si>
    <t>Purchased Power Energy</t>
  </si>
  <si>
    <t>Distribution Demand</t>
  </si>
  <si>
    <t>Distribution Customer</t>
  </si>
  <si>
    <t>Operating Expenses-Unit Costs</t>
  </si>
  <si>
    <t>Rate Base-Unit Costs</t>
  </si>
  <si>
    <t>Purchased Power Residual Demand Allocator</t>
  </si>
  <si>
    <t xml:space="preserve">Purchased Power Demand Costs </t>
  </si>
  <si>
    <t>Purchased Power Demand Residual</t>
  </si>
  <si>
    <t>Purchased Power Demand Total</t>
  </si>
  <si>
    <t>Purchased Power Demand Allocator</t>
  </si>
  <si>
    <t>PPDT</t>
  </si>
  <si>
    <t>PPDA</t>
  </si>
  <si>
    <t>PPDRA</t>
  </si>
  <si>
    <t>Purchased Power Residual Energy Allocator</t>
  </si>
  <si>
    <t xml:space="preserve">Purchased Power Energy Costs </t>
  </si>
  <si>
    <t>Purchased Power Energy Residual</t>
  </si>
  <si>
    <t>Purchased Power Energy Total</t>
  </si>
  <si>
    <t>Purchased Power Energy Allocator</t>
  </si>
  <si>
    <t>PPERA</t>
  </si>
  <si>
    <t>PPET</t>
  </si>
  <si>
    <t>PPEA</t>
  </si>
  <si>
    <t>Unit Revenue Requirement @ Current Class Revenues</t>
  </si>
  <si>
    <t xml:space="preserve">Distribution Demand </t>
  </si>
  <si>
    <t xml:space="preserve">Distribution Customer </t>
  </si>
  <si>
    <t>Distribution Customer (Per Customer Per Month)</t>
  </si>
  <si>
    <t>Distribution Customer Margin (Per Customer Per Month)</t>
  </si>
  <si>
    <t>Total Distribution Customer (Per Customer Per Month)</t>
  </si>
  <si>
    <t>Unit Revenue Requirement @ Total System Rate of Return</t>
  </si>
  <si>
    <t>Expenses</t>
  </si>
  <si>
    <t>Operating</t>
  </si>
  <si>
    <t>Summary of Rates of Return by Class</t>
  </si>
  <si>
    <t>Summary of Billing Determinants and Demand Analysis</t>
  </si>
  <si>
    <t>Meter Costs</t>
  </si>
  <si>
    <t>Kwh's</t>
  </si>
  <si>
    <t>Average Demand</t>
  </si>
  <si>
    <t>Coincidence Factor</t>
  </si>
  <si>
    <t>Coincident Demand</t>
  </si>
  <si>
    <t>Max Demand</t>
  </si>
  <si>
    <t>Individual</t>
  </si>
  <si>
    <t>Sum of</t>
  </si>
  <si>
    <t>Demands</t>
  </si>
  <si>
    <t>Summer</t>
  </si>
  <si>
    <t>Winter</t>
  </si>
  <si>
    <t>SIC</t>
  </si>
  <si>
    <t>Coin Demand</t>
  </si>
  <si>
    <t>Winter CP Demands</t>
  </si>
  <si>
    <t>Summer CP Demands</t>
  </si>
  <si>
    <t>Class Maximum Demands</t>
  </si>
  <si>
    <t>Class Demand</t>
  </si>
  <si>
    <t>During</t>
  </si>
  <si>
    <t>Peak Month</t>
  </si>
  <si>
    <t>Pro-Forma Operating Expenses</t>
  </si>
  <si>
    <t>Unit Revenue Requirement @ Specified Rate of Return</t>
  </si>
  <si>
    <t>Service Costs</t>
  </si>
  <si>
    <t xml:space="preserve">Services </t>
  </si>
  <si>
    <t>SERV</t>
  </si>
  <si>
    <t>Rate 31</t>
  </si>
  <si>
    <t>N/A</t>
  </si>
  <si>
    <t>MISC. INTANGIBLE</t>
  </si>
  <si>
    <t>P303</t>
  </si>
  <si>
    <t>ELECTRIC PLANT PURCHASED OR SOLD</t>
  </si>
  <si>
    <t>P102</t>
  </si>
  <si>
    <t>Mapping</t>
  </si>
  <si>
    <t>MISC DISTR EXP -- MAPPING</t>
  </si>
  <si>
    <t>OM911</t>
  </si>
  <si>
    <t>OM935</t>
  </si>
  <si>
    <t>LB911</t>
  </si>
  <si>
    <t>LB935</t>
  </si>
  <si>
    <t>Residential Service</t>
  </si>
  <si>
    <t>Rate 30</t>
  </si>
  <si>
    <t>Metered CP</t>
  </si>
  <si>
    <t>Calculated CP</t>
  </si>
  <si>
    <t>Difference</t>
  </si>
  <si>
    <t>Industrial Power - 12KV Distribution</t>
  </si>
  <si>
    <t>Industrial Power - 46 &amp; 115KV Transmission</t>
  </si>
  <si>
    <t>GeoExchange System Residential</t>
  </si>
  <si>
    <t>GeoExchange System Commercial</t>
  </si>
  <si>
    <t>Residential Time of Use Service</t>
  </si>
  <si>
    <t>12 - Month</t>
  </si>
  <si>
    <t xml:space="preserve">Customer </t>
  </si>
  <si>
    <t>Rate 10 &amp; 13</t>
  </si>
  <si>
    <t>Residential SD Time Of Use Service</t>
  </si>
  <si>
    <t>Small Commercial Service</t>
  </si>
  <si>
    <t>Small Commercial Time Of Use Service</t>
  </si>
  <si>
    <t>Large Commercial Service</t>
  </si>
  <si>
    <t>Optional Large Commercial Service</t>
  </si>
  <si>
    <t>Municipal Service</t>
  </si>
  <si>
    <t>Security/Street Lighting</t>
  </si>
  <si>
    <t>Rate 7 &amp; 8</t>
  </si>
  <si>
    <t>Rate 20 &amp; 23</t>
  </si>
  <si>
    <t>Rate 25 &amp; 26</t>
  </si>
  <si>
    <t>Rate 14</t>
  </si>
  <si>
    <t>Rate 11</t>
  </si>
  <si>
    <t>Rate 60 &amp; 63</t>
  </si>
  <si>
    <t>Rate 4</t>
  </si>
  <si>
    <t>Rate 5</t>
  </si>
  <si>
    <t>Rate 1C</t>
  </si>
  <si>
    <t>Rate 2C</t>
  </si>
  <si>
    <t>Sales</t>
  </si>
  <si>
    <t>Loss Factor</t>
  </si>
  <si>
    <t>Energy Including Losses</t>
  </si>
  <si>
    <t>Sum of the Individual Customer Demands</t>
  </si>
  <si>
    <t>Misc. Service Revenue</t>
  </si>
  <si>
    <t>MISCSERV</t>
  </si>
  <si>
    <t>Pro-forma Rate Base</t>
  </si>
  <si>
    <t>Pro-forma Rate Base Adjustments</t>
  </si>
  <si>
    <t xml:space="preserve">  </t>
  </si>
  <si>
    <t>Total Transmission and Distribution Plant</t>
  </si>
  <si>
    <t>Rate</t>
  </si>
  <si>
    <t>Allocation Factor</t>
  </si>
  <si>
    <t>Lighting</t>
  </si>
  <si>
    <t>Diversified Load Factor</t>
  </si>
  <si>
    <t>Non-Coincident Demand</t>
  </si>
  <si>
    <t>Individual Customer Load Factor</t>
  </si>
  <si>
    <t>Sum of Individual Customer Demands</t>
  </si>
  <si>
    <t>Rate     Code</t>
  </si>
  <si>
    <t>Revenue Requirement Calculated at a Rate of Return of</t>
  </si>
  <si>
    <t>Energy Charge ($/kWh)</t>
  </si>
  <si>
    <t>Production &amp; Purchased Power</t>
  </si>
  <si>
    <t xml:space="preserve">  Total Sales of Electric Energy</t>
  </si>
  <si>
    <t xml:space="preserve">  Other Electric Revenues</t>
  </si>
  <si>
    <t xml:space="preserve">  Asset Retirement Costs</t>
  </si>
  <si>
    <t xml:space="preserve">  Steam Prod Plant</t>
  </si>
  <si>
    <t>Steam Production</t>
  </si>
  <si>
    <t>BOILER PLANT EQUIPMENT</t>
  </si>
  <si>
    <t>ENGINES AND ENGINE DRIVEN GENERATORS</t>
  </si>
  <si>
    <t>TURBOGENERATOR UNITS</t>
  </si>
  <si>
    <t>ACCESSORY ELEC EQUIP</t>
  </si>
  <si>
    <t>ASSET RETIREMENT COST FOR STEAM PROD</t>
  </si>
  <si>
    <t>MISC POWER PLANT EQUIPMENT</t>
  </si>
  <si>
    <t>P310</t>
  </si>
  <si>
    <t>P312</t>
  </si>
  <si>
    <t>P313</t>
  </si>
  <si>
    <t>P314</t>
  </si>
  <si>
    <t>P315</t>
  </si>
  <si>
    <t>P316</t>
  </si>
  <si>
    <t>P317</t>
  </si>
  <si>
    <t>P311</t>
  </si>
  <si>
    <t>PPROD</t>
  </si>
  <si>
    <t>Total Steam Production Plant</t>
  </si>
  <si>
    <t>Total Production, Transmission &amp; Distribution Plant</t>
  </si>
  <si>
    <t>PPT&amp;D</t>
  </si>
  <si>
    <t>F017</t>
  </si>
  <si>
    <t xml:space="preserve">  CWIP Production</t>
  </si>
  <si>
    <t>Steam Power Production Operations Expense</t>
  </si>
  <si>
    <t>Steam Power Production Maintenance Expense</t>
  </si>
  <si>
    <t>Total Steam Production Maintenance Expense</t>
  </si>
  <si>
    <t>Total Steam Production Operation and Maintenance Expenses</t>
  </si>
  <si>
    <t>Total Steam Production Operation Expense</t>
  </si>
  <si>
    <t>OPERATION SUPV AND ENGINEERING</t>
  </si>
  <si>
    <t>FUEL</t>
  </si>
  <si>
    <t>STEAM EXPENSES</t>
  </si>
  <si>
    <t>STEAM FROM OTHER SOURCES</t>
  </si>
  <si>
    <t>STEAM TRANSFERRED - CREDIT</t>
  </si>
  <si>
    <t>ELECTRIC EXPENSES</t>
  </si>
  <si>
    <t>MISC STEAM POWER EXPENSES</t>
  </si>
  <si>
    <t>ALLOWANCES</t>
  </si>
  <si>
    <t>MAINENANCE SUPV AND ENGINEERING</t>
  </si>
  <si>
    <t>MAINTENANCE OF STRUCTURES</t>
  </si>
  <si>
    <t>MAINTENANCE OF BOILER PLANT</t>
  </si>
  <si>
    <t>MAINTENANCE OF ELECTRIC PLANT</t>
  </si>
  <si>
    <t>MAINTENANCE OF MISC STEAM PLANT</t>
  </si>
  <si>
    <t>OM500</t>
  </si>
  <si>
    <t>OM501</t>
  </si>
  <si>
    <t>OM502</t>
  </si>
  <si>
    <t>OM503</t>
  </si>
  <si>
    <t>OM504</t>
  </si>
  <si>
    <t>OM505</t>
  </si>
  <si>
    <t>OM506</t>
  </si>
  <si>
    <t>OM507</t>
  </si>
  <si>
    <t>OM509</t>
  </si>
  <si>
    <t>OMPO</t>
  </si>
  <si>
    <t>OMPM</t>
  </si>
  <si>
    <t>OM510</t>
  </si>
  <si>
    <t>OM511</t>
  </si>
  <si>
    <t>OM512</t>
  </si>
  <si>
    <t>OM513</t>
  </si>
  <si>
    <t>OM514</t>
  </si>
  <si>
    <t>Production - Demand</t>
  </si>
  <si>
    <t>Production - Energy</t>
  </si>
  <si>
    <t>OMP</t>
  </si>
  <si>
    <t>Production, Purchased Power, Trans and Distr Expenses</t>
  </si>
  <si>
    <t>Steam Production, Transmission and Distribution Expenses</t>
  </si>
  <si>
    <t>DEPRPP</t>
  </si>
  <si>
    <t>FRANCHISES</t>
  </si>
  <si>
    <t>P302</t>
  </si>
  <si>
    <t>Electric Plant Acquisition Adjustment</t>
  </si>
  <si>
    <t>RENEWABLE ENERGY CR EXP</t>
  </si>
  <si>
    <t>OM559</t>
  </si>
  <si>
    <t xml:space="preserve">  Steam Production</t>
  </si>
  <si>
    <t xml:space="preserve">   Total Accumulated Depreciation &amp; Amort</t>
  </si>
  <si>
    <t xml:space="preserve">  Accum Amtz - Electric Plant Acquisition</t>
  </si>
  <si>
    <t xml:space="preserve">  Accum Amtz - Electric Plant in Service </t>
  </si>
  <si>
    <t xml:space="preserve">  General Plant </t>
  </si>
  <si>
    <t>ADEPRPP</t>
  </si>
  <si>
    <t xml:space="preserve">  CWIP Distribution</t>
  </si>
  <si>
    <t>LB500</t>
  </si>
  <si>
    <t>LB501</t>
  </si>
  <si>
    <t>LB502</t>
  </si>
  <si>
    <t>LB503</t>
  </si>
  <si>
    <t>LB504</t>
  </si>
  <si>
    <t>LB505</t>
  </si>
  <si>
    <t>LB506</t>
  </si>
  <si>
    <t>LB507</t>
  </si>
  <si>
    <t>LB509</t>
  </si>
  <si>
    <t>LBPO</t>
  </si>
  <si>
    <t>LB510</t>
  </si>
  <si>
    <t>LB511</t>
  </si>
  <si>
    <t>LB512</t>
  </si>
  <si>
    <t>LB513</t>
  </si>
  <si>
    <t>LB514</t>
  </si>
  <si>
    <t>LBPM</t>
  </si>
  <si>
    <t>LBP</t>
  </si>
  <si>
    <t>Regulatory Liabilities</t>
  </si>
  <si>
    <t>REGLIAB</t>
  </si>
  <si>
    <t>TOTAL</t>
  </si>
  <si>
    <t>Rate Class</t>
  </si>
  <si>
    <t>Total                         Cost</t>
  </si>
  <si>
    <t>Total             Cost</t>
  </si>
  <si>
    <t>KWH</t>
  </si>
  <si>
    <t>Purchases</t>
  </si>
  <si>
    <t>Cost of Service Summary -- Adjusted Results</t>
  </si>
  <si>
    <t>Other Allocation Factors</t>
  </si>
  <si>
    <t>on Rate Base</t>
  </si>
  <si>
    <t>Rate Schedule</t>
  </si>
  <si>
    <t>Code</t>
  </si>
  <si>
    <t>Rate               Code</t>
  </si>
  <si>
    <t>Installed            Meters</t>
  </si>
  <si>
    <t>Avg Meter           Cost</t>
  </si>
  <si>
    <t>Allocation            Factor</t>
  </si>
  <si>
    <t>Average         Service           Cost</t>
  </si>
  <si>
    <t xml:space="preserve">Average             Number               of Services </t>
  </si>
  <si>
    <t>Summary of Cost-Based Charges</t>
  </si>
  <si>
    <t>At Current Class Rate of Return</t>
  </si>
  <si>
    <t>Customer Charge ($/month)</t>
  </si>
  <si>
    <t>Demand Charge ($/kW)</t>
  </si>
  <si>
    <t>At Current Total System Rate of Return</t>
  </si>
  <si>
    <t>At Specified Total System Rate of Return</t>
  </si>
  <si>
    <t>NPTD</t>
  </si>
  <si>
    <t>PLTD</t>
  </si>
  <si>
    <t>RBTD</t>
  </si>
  <si>
    <t>OMTD</t>
  </si>
  <si>
    <t>LBTD</t>
  </si>
  <si>
    <t>DPTD</t>
  </si>
  <si>
    <t>PTTD</t>
  </si>
  <si>
    <t>OTTD</t>
  </si>
  <si>
    <t>12 Month Sum of Coincident Demands</t>
  </si>
  <si>
    <t>SICD</t>
  </si>
  <si>
    <t>Transmission Demand</t>
  </si>
  <si>
    <t>Production &amp; Purchase Power</t>
  </si>
  <si>
    <t>Production &amp; Purchased Power Demand</t>
  </si>
  <si>
    <t>Production &amp; Purchased Power Energy</t>
  </si>
  <si>
    <t>Purchased Power Energy (per KWH)</t>
  </si>
  <si>
    <t>Distribution Customer (per Customer)</t>
  </si>
  <si>
    <t>Production &amp; Purchased Power Energy (Per KWH)</t>
  </si>
  <si>
    <t>Production &amp; Purchased Power Energy Margin (Per KWH)</t>
  </si>
  <si>
    <t>Total Pro Forma Adjustments</t>
  </si>
  <si>
    <t>Average Customers (Lighting =45 Lights per Cust)</t>
  </si>
  <si>
    <t>Allocation Factors (continued)</t>
  </si>
  <si>
    <t>Various</t>
  </si>
  <si>
    <t>%</t>
  </si>
  <si>
    <t xml:space="preserve"> Revenue</t>
  </si>
  <si>
    <t>Pro Forma</t>
  </si>
  <si>
    <t>Power Supply</t>
  </si>
  <si>
    <t>SYSTEM CONTROL &amp; LOAD DISPATCHING</t>
  </si>
  <si>
    <t>OM556</t>
  </si>
  <si>
    <t>TRANSMISION OF ELEC BY OTHERS</t>
  </si>
  <si>
    <t>OM564</t>
  </si>
  <si>
    <t>OM565</t>
  </si>
  <si>
    <t>OM567</t>
  </si>
  <si>
    <t>MAINTENANCE SUPERVISION AND ENG</t>
  </si>
  <si>
    <t>OM569</t>
  </si>
  <si>
    <t>MAINT MISC</t>
  </si>
  <si>
    <t xml:space="preserve">MAINT OF TRANS PLANT </t>
  </si>
  <si>
    <t>OM572</t>
  </si>
  <si>
    <t>OM573</t>
  </si>
  <si>
    <t>OM574</t>
  </si>
  <si>
    <t>MAINT OF UNDERGROUND LINES</t>
  </si>
  <si>
    <t>OM917</t>
  </si>
  <si>
    <t>TRANSPORTATION EXPENSES</t>
  </si>
  <si>
    <t>OM933</t>
  </si>
  <si>
    <t>OM932</t>
  </si>
  <si>
    <t>MAINT OF GENERAL PLANT</t>
  </si>
  <si>
    <t>Variance $</t>
  </si>
  <si>
    <t xml:space="preserve">SALES </t>
  </si>
  <si>
    <t>OM914</t>
  </si>
  <si>
    <t>DUPLICATE CHARGES - CREDIT</t>
  </si>
  <si>
    <t xml:space="preserve">  CWIP Other</t>
  </si>
  <si>
    <t>Deferred Debits &amp; Credits</t>
  </si>
  <si>
    <t>DDEB1</t>
  </si>
  <si>
    <t>DDEB2</t>
  </si>
  <si>
    <t>DDEB3</t>
  </si>
  <si>
    <t>DCRED1</t>
  </si>
  <si>
    <t xml:space="preserve">  Total Deferred Debits &amp; Credits</t>
  </si>
  <si>
    <t>Demand Charge</t>
  </si>
  <si>
    <t>Energy Charge</t>
  </si>
  <si>
    <t>Metering Point</t>
  </si>
  <si>
    <t>Sub/Wheeling Charge</t>
  </si>
  <si>
    <t>SUBTOTAL</t>
  </si>
  <si>
    <t>Direct Load Control</t>
  </si>
  <si>
    <t>Direct Load Surcharge</t>
  </si>
  <si>
    <t>Green Power KWH</t>
  </si>
  <si>
    <t>Green Power Charge</t>
  </si>
  <si>
    <t>Direct Load Total Charge</t>
  </si>
  <si>
    <t>Acct 555</t>
  </si>
  <si>
    <t>Environmental Surcharge</t>
  </si>
  <si>
    <t>Fuel Adjustment Clause</t>
  </si>
  <si>
    <t>kWh</t>
  </si>
  <si>
    <t>To Remove Fuel Adjustment Clause  Revenue</t>
  </si>
  <si>
    <t xml:space="preserve">To Remove Environmental Surcharge Revenue </t>
  </si>
  <si>
    <t>To Normalize Year-End Customers</t>
  </si>
  <si>
    <t>Rate Case Expenses</t>
  </si>
  <si>
    <t>Unitized Rate of Return</t>
  </si>
  <si>
    <t>beretta12</t>
  </si>
  <si>
    <t xml:space="preserve">Unitized </t>
  </si>
  <si>
    <t>Residential &amp; Commercial Rev</t>
  </si>
  <si>
    <t>RCRev</t>
  </si>
  <si>
    <t>12CP</t>
  </si>
  <si>
    <t>WCP</t>
  </si>
  <si>
    <t>SCP</t>
  </si>
  <si>
    <t>#</t>
  </si>
  <si>
    <t>Item</t>
  </si>
  <si>
    <t>Energy (kWh)</t>
  </si>
  <si>
    <t>Billing Demand (kW)</t>
  </si>
  <si>
    <t>Materials and Supplies (13-Month Avg)</t>
  </si>
  <si>
    <t>Prepayments (13-Month Average)</t>
  </si>
  <si>
    <t>$/Month</t>
  </si>
  <si>
    <t>$/KWH</t>
  </si>
  <si>
    <t>$/KW</t>
  </si>
  <si>
    <t>Summary of Cost-Based Rates</t>
  </si>
  <si>
    <t>Actual</t>
  </si>
  <si>
    <t>Linear Regression Inputs</t>
  </si>
  <si>
    <t>Unit Cost</t>
  </si>
  <si>
    <t>Size</t>
  </si>
  <si>
    <t>Cost</t>
  </si>
  <si>
    <t>Quantity</t>
  </si>
  <si>
    <t>($ per Unit)</t>
  </si>
  <si>
    <t>y*n^0.5</t>
  </si>
  <si>
    <t>n^0.5</t>
  </si>
  <si>
    <t>xn^0.5</t>
  </si>
  <si>
    <t>Zero Intercept Linear Regression Results</t>
  </si>
  <si>
    <t>LINEST Array</t>
  </si>
  <si>
    <t>Size Coefficient  ($ per MCM)</t>
  </si>
  <si>
    <t>Zero Intercept ($ per Unit)</t>
  </si>
  <si>
    <t>R-Square</t>
  </si>
  <si>
    <t>Plant Classification</t>
  </si>
  <si>
    <t>Total Number of Units</t>
  </si>
  <si>
    <t>Zero Intercept ($/Unit)</t>
  </si>
  <si>
    <t>Minimum System ($/Unit)</t>
  </si>
  <si>
    <t>Use Min System (M) or Zero Intercept (Z)?</t>
  </si>
  <si>
    <t>Zero Intercept or Min System Cost ($)</t>
  </si>
  <si>
    <t>Total Cost of Sample</t>
  </si>
  <si>
    <t>Percentage of Total</t>
  </si>
  <si>
    <t>Percentage Classified as Customer-Related</t>
  </si>
  <si>
    <t>Percentage Classified as Demand-Related</t>
  </si>
  <si>
    <t>Account 365 - Overhead Conductors and Devices</t>
  </si>
  <si>
    <t>Z</t>
  </si>
  <si>
    <t>Account 367 - Underground Conductors and Devices</t>
  </si>
  <si>
    <t>Account 368 - Line Transformers</t>
  </si>
  <si>
    <t>NARUC CAM</t>
  </si>
  <si>
    <t>Incl?</t>
  </si>
  <si>
    <t>Qty</t>
  </si>
  <si>
    <t>*</t>
  </si>
  <si>
    <t xml:space="preserve">* Only single-phase up to 50 KVA should be included </t>
  </si>
  <si>
    <t>in the Customer-related component per NARUC CAM</t>
  </si>
  <si>
    <t>Descripton</t>
  </si>
  <si>
    <t>Acct</t>
  </si>
  <si>
    <t>Zero Intercept &amp; Minimum System Analyses</t>
  </si>
  <si>
    <t>Meter Reading Billing and Cust Acct Service</t>
  </si>
  <si>
    <t>Production &amp; Purchased Power Demand (per KWH or KW)</t>
  </si>
  <si>
    <t>Transmission Demand (per KWH or KW)</t>
  </si>
  <si>
    <t>Distribution Demand (per KWH or KW)</t>
  </si>
  <si>
    <t>Production &amp; Purchased Power Demand (Per KWH or KW)</t>
  </si>
  <si>
    <t>Production &amp; Purchased Power Demand Margin (Per KWH or KW)</t>
  </si>
  <si>
    <t>Transmission Demand (Per KWH or KW)</t>
  </si>
  <si>
    <t>Transmission Demand Margin (Per KWH or KW)</t>
  </si>
  <si>
    <t>Total Transmission Demand (Per KWH or KW)</t>
  </si>
  <si>
    <t>Distribution Demand (Per KWH or KW)</t>
  </si>
  <si>
    <t>Distribution Demand Margin (Per KWH or KW)</t>
  </si>
  <si>
    <t>Total Distribution Demand (Per KWH or KW)</t>
  </si>
  <si>
    <t>Estimated ES Demand Share</t>
  </si>
  <si>
    <t>Estimated ES Energy Share</t>
  </si>
  <si>
    <t>SubTotal Demand $</t>
  </si>
  <si>
    <t>SubTotal Energy $</t>
  </si>
  <si>
    <t>SubTotal $</t>
  </si>
  <si>
    <t>SubTotal Demand %</t>
  </si>
  <si>
    <t>SubTotal Energy %</t>
  </si>
  <si>
    <t>AMORT Property Losses &amp; Unrecover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</si>
  <si>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</si>
  <si>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</si>
  <si>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</si>
  <si>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</si>
  <si>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</si>
  <si>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</si>
  <si>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</si>
  <si>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</si>
  <si>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</si>
  <si>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</si>
  <si>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</si>
  <si>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</si>
  <si>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.</t>
  </si>
  <si>
    <t>Share of</t>
  </si>
  <si>
    <t>&lt;reserved&gt;</t>
  </si>
  <si>
    <t>Wages &amp; Salaries</t>
  </si>
  <si>
    <t>Panel Production Credit</t>
  </si>
  <si>
    <t>Variance</t>
  </si>
  <si>
    <t>Total (Excluding Panel Production Credit)</t>
  </si>
  <si>
    <t>Reconciliation</t>
  </si>
  <si>
    <t>Method</t>
  </si>
  <si>
    <t xml:space="preserve">Distribution </t>
  </si>
  <si>
    <t>Labor Expenses - for Labor Allocator</t>
  </si>
  <si>
    <t>Energy Usage (kWh)</t>
  </si>
  <si>
    <t>Reported</t>
  </si>
  <si>
    <t>Target</t>
  </si>
  <si>
    <t>Cost-Based Rates</t>
  </si>
  <si>
    <t>Depreciation Expense Normalization</t>
  </si>
  <si>
    <t>Donations, Advertising, Dues, &amp; Other</t>
  </si>
  <si>
    <t>Miscellaneous Expenses</t>
  </si>
  <si>
    <t>Directors Expense</t>
  </si>
  <si>
    <t>Retirement Plan Contributions</t>
  </si>
  <si>
    <t>Professional Services</t>
  </si>
  <si>
    <t>Payroll Tax</t>
  </si>
  <si>
    <t>Interest</t>
  </si>
  <si>
    <t>Life Insurance Premiums</t>
  </si>
  <si>
    <t>Var w/o Lts</t>
  </si>
  <si>
    <t>After Proposed Rate Revisions</t>
  </si>
  <si>
    <t>Proposed Rate Revisions</t>
  </si>
  <si>
    <t>Var %</t>
  </si>
  <si>
    <t>Total excl Lighting</t>
  </si>
  <si>
    <t>Total Demand</t>
  </si>
  <si>
    <t>Total Energy</t>
  </si>
  <si>
    <t>Check</t>
  </si>
  <si>
    <t>RECs</t>
  </si>
  <si>
    <t>Buy Thru Charges</t>
  </si>
  <si>
    <t>CP Demand (kW)</t>
  </si>
  <si>
    <t>NCP Demand (kW)</t>
  </si>
  <si>
    <t>EKPC Bills Other Than E-2</t>
  </si>
  <si>
    <t>Contract Demand kW</t>
  </si>
  <si>
    <t>NA</t>
  </si>
  <si>
    <t>Target Incr</t>
  </si>
  <si>
    <t>ROROB</t>
  </si>
  <si>
    <t>Target ROROB</t>
  </si>
  <si>
    <t>SOUTH KENTUCKY R.E.C.C.</t>
  </si>
  <si>
    <t>Residential, Farm and Non-Farm Service</t>
  </si>
  <si>
    <t xml:space="preserve">A </t>
  </si>
  <si>
    <t>Small Commercial Rate</t>
  </si>
  <si>
    <t>B</t>
  </si>
  <si>
    <t>Large Power Rate (Excess of 50 kVA)</t>
  </si>
  <si>
    <t>LP</t>
  </si>
  <si>
    <t>Large Power Rate (500 KW to 4,999 KW)</t>
  </si>
  <si>
    <t>LP-1</t>
  </si>
  <si>
    <t>Large Power Rate (5,000 KW to 9,999 KW)</t>
  </si>
  <si>
    <t>LP-2</t>
  </si>
  <si>
    <t>Large Power Rate (500 KW to 2,999 KW)</t>
  </si>
  <si>
    <t>LP-3</t>
  </si>
  <si>
    <t>Optional Power Service</t>
  </si>
  <si>
    <t>OPS</t>
  </si>
  <si>
    <t>All Electric Schools</t>
  </si>
  <si>
    <t>AES</t>
  </si>
  <si>
    <t>WIRE, #4 ACSR</t>
  </si>
  <si>
    <t>WIRE, #2 ACSR</t>
  </si>
  <si>
    <t>WIRE, #2 ACSR, 7/1 ALUM</t>
  </si>
  <si>
    <t>WIRE, #1/0 ACSR</t>
  </si>
  <si>
    <t>WIRE, #3/0 ACSR</t>
  </si>
  <si>
    <t>WIRE, #4/0 ACSR</t>
  </si>
  <si>
    <t>WIRE, #394.5 AAA-MEPB</t>
  </si>
  <si>
    <t>WIRE, #336.4 MCM ACSR</t>
  </si>
  <si>
    <t>1/0 AERIAL CODED CABLE-MEPB</t>
  </si>
  <si>
    <t>WIRE, #9 1/2 D COPPERWELD CU</t>
  </si>
  <si>
    <t>WIRE, #8A COPPERWELD CU</t>
  </si>
  <si>
    <t>WIRE, #6A COPPERWELD CU</t>
  </si>
  <si>
    <t>WIRE, #4A COPPERWELD CU</t>
  </si>
  <si>
    <t>WIRE, #6 H.D. CU</t>
  </si>
  <si>
    <t>WIRE, #4 H.D. CU</t>
  </si>
  <si>
    <t>WIRE, #2 H.D. CU</t>
  </si>
  <si>
    <t>WIRE, #2 STRANDED CU</t>
  </si>
  <si>
    <t>WIRE, #1/0 STRANDED CU</t>
  </si>
  <si>
    <t>WIRE, #1/0 W.P. CU</t>
  </si>
  <si>
    <t>WIRE, #2/0 W.P. CU</t>
  </si>
  <si>
    <t>WIRE, #4/0 W.P. CU</t>
  </si>
  <si>
    <t>WIRE, #2 W.P. CU</t>
  </si>
  <si>
    <t>WIRE, #4 W.P. CU</t>
  </si>
  <si>
    <t>WIRE, #250 MCM W.P. CU</t>
  </si>
  <si>
    <t>WIRE, #350 MCM W.P. CU</t>
  </si>
  <si>
    <t>WIRE, #500 MCM W.P. CU</t>
  </si>
  <si>
    <t>WIRE, #750 MCM W.P. CU</t>
  </si>
  <si>
    <t>WIRE, #1000 MCM W.P. CU</t>
  </si>
  <si>
    <t>WIRE, DUPLEX #6</t>
  </si>
  <si>
    <t>WIRE, TRIPLEX #2</t>
  </si>
  <si>
    <t>WIRE, QUADRAPLEX #4/0</t>
  </si>
  <si>
    <t>WIRE, #1/0 SOLID 25 KV</t>
  </si>
  <si>
    <t>WIRE, 4 W PRIMARY</t>
  </si>
  <si>
    <t>WIRE, #4/0 ALUM.</t>
  </si>
  <si>
    <t>WIRE, #350 MCM PRIMARY</t>
  </si>
  <si>
    <t>WIRE, #4/0 URD SEC TPX</t>
  </si>
  <si>
    <t>WIRE, #2 AL URD TPX-MEPB</t>
  </si>
  <si>
    <t>WIRE, #350MCM URD SEC TPX</t>
  </si>
  <si>
    <t>WIRE, #350MCM URD SEC QUAD</t>
  </si>
  <si>
    <t>WIRE, #4/0 URD SEC QUAD</t>
  </si>
  <si>
    <t>WIRE, #2 COPPER URD - MEPB</t>
  </si>
  <si>
    <t>CABLE PRI 25KV 1/0STR 260MIL EPR</t>
  </si>
  <si>
    <t>WIRE, EPR #1/0 STR 25KV-345 MIL</t>
  </si>
  <si>
    <t>CABLE PRI 25KV UG500AL 260EPR</t>
  </si>
  <si>
    <t>CABLE PRI 25KV UG 500AL 345 EPR</t>
  </si>
  <si>
    <t>CABLE PRI 25KV UG750 260MIL</t>
  </si>
  <si>
    <t>TRANS - 1 KVA 120V CONV</t>
  </si>
  <si>
    <t>TRANS - 1 1/2 KVA 7200/120-240V</t>
  </si>
  <si>
    <t>TRANS - 3 KVA 7200/120-240V CSP</t>
  </si>
  <si>
    <t>TRANS - 3 KVA CONV</t>
  </si>
  <si>
    <t>TRANS - 5 KVA 7200/120-240V</t>
  </si>
  <si>
    <t>TRANS - 7 1/2 KVA 7200/120-240V</t>
  </si>
  <si>
    <t>TRANS - 10 KVA</t>
  </si>
  <si>
    <t>TRANS - 15 KVA</t>
  </si>
  <si>
    <t>TRANS - 15 KVA 14400/120-240V</t>
  </si>
  <si>
    <t>TRANS - 25 KVA</t>
  </si>
  <si>
    <t>TRANS - 25 KVA 14400/120-240V</t>
  </si>
  <si>
    <t>TRANS - 37 1/2 KVA</t>
  </si>
  <si>
    <t>TRANS PAD - 10 KVA 1PH</t>
  </si>
  <si>
    <t>TRANS PAD - 25 KVA 1PH</t>
  </si>
  <si>
    <t>TRANS - 50 KVA</t>
  </si>
  <si>
    <t>TRANS - 50 KVA 14400</t>
  </si>
  <si>
    <t>TRANS PAD - 50 KVA 1PH</t>
  </si>
  <si>
    <t>TRANS - 75 KVA</t>
  </si>
  <si>
    <t>TRANS PAD - 75 KVA</t>
  </si>
  <si>
    <t>TRANS - 100 KVA</t>
  </si>
  <si>
    <t>TRANS PAD - 100 KVA</t>
  </si>
  <si>
    <t>TRANS PAD - 150 KVA 3PH</t>
  </si>
  <si>
    <t>TRANS - 167 KVA</t>
  </si>
  <si>
    <t>TRANS PAD - 167 KVA 1PH</t>
  </si>
  <si>
    <t>TRANS PAD - 225 KVA 3PH</t>
  </si>
  <si>
    <t>TRANS - 250 KVA</t>
  </si>
  <si>
    <t>TRANS PAD - 250 KVA</t>
  </si>
  <si>
    <t>TRANS PAD - 300 KVA</t>
  </si>
  <si>
    <t>MEPB - TRANS - 333 KVA</t>
  </si>
  <si>
    <t>AUTO TRANS - 333 KVA</t>
  </si>
  <si>
    <t>MEPB - TRANS - 500 KVA</t>
  </si>
  <si>
    <t>TRANS PAD - 500 KVA</t>
  </si>
  <si>
    <t>TRANS PAD - 750 KVA 3PH</t>
  </si>
  <si>
    <t>TRANS PAD - 1000 KVA 3PH</t>
  </si>
  <si>
    <t>AUTO TRANS - 1000 KVA</t>
  </si>
  <si>
    <t>TRANS PAD - 1500 KVA 3PH</t>
  </si>
  <si>
    <t>2000 KVA,3PH DV TRANSF(PM)480Y/277</t>
  </si>
  <si>
    <t>TRANS PAD - 2500 KVA 3PH</t>
  </si>
  <si>
    <t>RATE B</t>
  </si>
  <si>
    <t>Billing Demand</t>
  </si>
  <si>
    <t>Demand $</t>
  </si>
  <si>
    <t>Energy $</t>
  </si>
  <si>
    <t>FAC $</t>
  </si>
  <si>
    <t>ES $</t>
  </si>
  <si>
    <t>TOTAL $</t>
  </si>
  <si>
    <t>EDR Credit $</t>
  </si>
  <si>
    <t>Contract Demand $</t>
  </si>
  <si>
    <t>Excess Demand $</t>
  </si>
  <si>
    <t>Interruptible Credit $ @ (5.60)</t>
  </si>
  <si>
    <t>Buy Thru Credit</t>
  </si>
  <si>
    <t>RATE C</t>
  </si>
  <si>
    <t>RATE BD</t>
  </si>
  <si>
    <t>RATE C - Toyotetsu</t>
  </si>
  <si>
    <t>RATE C - McCreary Federal Prison</t>
  </si>
  <si>
    <t>RATE C - Equity Group KY</t>
  </si>
  <si>
    <t>RATE B - Armstrong World Industries</t>
  </si>
  <si>
    <t>RATE B - Wal-Mart Stores East</t>
  </si>
  <si>
    <t>RATE B - Eagle Hardwood</t>
  </si>
  <si>
    <t>RATE B - Superior Battery</t>
  </si>
  <si>
    <t>RATE B - Somerset Food Service</t>
  </si>
  <si>
    <t>RATE B - Kroger Limited Partnership 1</t>
  </si>
  <si>
    <t>RATE B - American Woodmark #1</t>
  </si>
  <si>
    <t>RATE B - American Woodmark #2</t>
  </si>
  <si>
    <t>RATE BD - Bosch Berries</t>
  </si>
  <si>
    <t>CP TOD Demand</t>
  </si>
  <si>
    <t>Non-CP Demand</t>
  </si>
  <si>
    <t>Contract Demand</t>
  </si>
  <si>
    <t>Billing KWH</t>
  </si>
  <si>
    <t>Actual KWH</t>
  </si>
  <si>
    <t>Minimum KWH</t>
  </si>
  <si>
    <t>EV Credit</t>
  </si>
  <si>
    <t>TOTAL B + BD</t>
  </si>
  <si>
    <t>TOTAL B + BD + C</t>
  </si>
  <si>
    <t>Lights</t>
  </si>
  <si>
    <t>LP1</t>
  </si>
  <si>
    <t>LP2</t>
  </si>
  <si>
    <t>LP3</t>
  </si>
  <si>
    <t>All-In Purchased Power Charges (for Subtotal, i.e., less DLC,GP,EV,REC)</t>
  </si>
  <si>
    <t>Subtotals by Retail Rate</t>
  </si>
  <si>
    <t>Subtotals by Wholesale Rate</t>
  </si>
  <si>
    <t>LP3 Contract Demand $</t>
  </si>
  <si>
    <t>LP3 Excess Demand $</t>
  </si>
  <si>
    <t>Excess Demand Charge $/kW</t>
  </si>
  <si>
    <t>Excess Demand kW</t>
  </si>
  <si>
    <t>Billed Demand</t>
  </si>
  <si>
    <t>KWH/BD</t>
  </si>
  <si>
    <t>BD</t>
  </si>
  <si>
    <t>KWH - first 400kWh/KW BD</t>
  </si>
  <si>
    <t>Next block</t>
  </si>
  <si>
    <t>A</t>
  </si>
  <si>
    <t>Year-End Customer Normalization</t>
  </si>
  <si>
    <t>G&amp;T Capital Credits</t>
  </si>
  <si>
    <t>Health Insurance Premiums</t>
  </si>
  <si>
    <t>Right of Way</t>
  </si>
  <si>
    <t>FAC</t>
  </si>
  <si>
    <t>ES</t>
  </si>
  <si>
    <t>YEC</t>
  </si>
  <si>
    <t>FEMA</t>
  </si>
  <si>
    <t>Meter Test Charge</t>
  </si>
  <si>
    <t>Trip Charge</t>
  </si>
  <si>
    <t>Remote Reconnect-60 days or less</t>
  </si>
  <si>
    <t>Remote Reconnect-61 through 365 days</t>
  </si>
  <si>
    <t>Returned Check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</si>
</sst>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"/>
    <numFmt numFmtId="168" formatCode="0.0000"/>
    <numFmt numFmtId="169" formatCode="0.000000"/>
    <numFmt numFmtId="170" formatCode="_(* #,##0.0000_);_(* \(#,##0.0000\);_(* &quot;-&quot;??_);_(@_)"/>
    <numFmt numFmtId="171" formatCode="_(* #,##0.00000_);_(* \(#,##0.00000\);_(* &quot;-&quot;??_);_(@_)"/>
    <numFmt numFmtId="172" formatCode="_(* #,##0.000000_);_(* \(#,##0.000000\);_(* &quot;-&quot;??_);_(@_)"/>
    <numFmt numFmtId="173" formatCode="0.0000000"/>
    <numFmt numFmtId="174" formatCode="0.00000000"/>
    <numFmt numFmtId="175" formatCode="0.000000000"/>
    <numFmt numFmtId="176" formatCode="_(* #,##0.000000_);_(* \(#,##0.000000\);_(* &quot;-&quot;??????_);_(@_)"/>
    <numFmt numFmtId="177" formatCode="_(* #,##0.000_);_(* \(#,##0.000\);_(* &quot;-&quot;??_);_(@_)"/>
    <numFmt numFmtId="178" formatCode="_(* #,##0.0000000_);_(* \(#,##0.0000000\);_(* &quot;-&quot;??_);_(@_)"/>
    <numFmt numFmtId="179" formatCode="[$-409]mmm\-yy;@"/>
    <numFmt numFmtId="180" formatCode="mmm\ yyyy"/>
    <numFmt numFmtId="181" formatCode="_(&quot;$&quot;* #,##0.000_);_(&quot;$&quot;* \(#,##0.000\);_(&quot;$&quot;* &quot;-&quot;??_);_(@_)"/>
    <numFmt numFmtId="182" formatCode="0.0%"/>
    <numFmt numFmtId="183" formatCode="_(* #,##0.0000_);_(* \(#,##0.0000\);_(* &quot;-&quot;????_);_(@_)"/>
    <numFmt numFmtId="184" formatCode="0.0000%"/>
    <numFmt numFmtId="185" formatCode="_(&quot;$&quot;* #,##0.0000_);_(&quot;$&quot;* \(#,##0.0000\);_(&quot;$&quot;* &quot;-&quot;??_);_(@_)"/>
    <numFmt numFmtId="186" formatCode="_(&quot;$&quot;* #,##0.00000_);_(&quot;$&quot;* \(#,##0.00000\);_(&quot;$&quot;* &quot;-&quot;??_);_(@_)"/>
  </numFmts>
  <fonts count="22" x14ac:knownFonts="1">
    <font>
      <sz val="11"/>
      <name val="Times New Roman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0000CC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rgb="FF7030A0"/>
      <name val="Arial"/>
      <family val="2"/>
    </font>
    <font>
      <sz val="8"/>
      <name val="Times New Roman"/>
      <family val="1"/>
    </font>
    <font>
      <sz val="10"/>
      <color rgb="FF0000FF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/>
    <xf numFmtId="169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/>
    <xf numFmtId="167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7" fontId="3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center"/>
    </xf>
    <xf numFmtId="177" fontId="3" fillId="0" borderId="2" xfId="1" applyNumberFormat="1" applyFont="1" applyBorder="1" applyAlignment="1">
      <alignment horizontal="left"/>
    </xf>
    <xf numFmtId="177" fontId="3" fillId="0" borderId="2" xfId="1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166" fontId="4" fillId="0" borderId="0" xfId="1" applyNumberFormat="1" applyFont="1"/>
    <xf numFmtId="43" fontId="4" fillId="0" borderId="0" xfId="1" applyFont="1"/>
    <xf numFmtId="0" fontId="4" fillId="0" borderId="3" xfId="0" applyFont="1" applyBorder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6" fontId="3" fillId="0" borderId="2" xfId="1" applyNumberFormat="1" applyFont="1" applyBorder="1" applyAlignment="1">
      <alignment horizontal="right"/>
    </xf>
    <xf numFmtId="177" fontId="4" fillId="0" borderId="0" xfId="1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6" fontId="4" fillId="0" borderId="0" xfId="0" applyNumberFormat="1" applyFont="1"/>
    <xf numFmtId="44" fontId="4" fillId="0" borderId="3" xfId="0" applyNumberFormat="1" applyFont="1" applyBorder="1"/>
    <xf numFmtId="166" fontId="4" fillId="0" borderId="3" xfId="1" applyNumberFormat="1" applyFont="1" applyBorder="1"/>
    <xf numFmtId="171" fontId="4" fillId="0" borderId="0" xfId="1" applyNumberFormat="1" applyFont="1"/>
    <xf numFmtId="170" fontId="4" fillId="0" borderId="0" xfId="1" applyNumberFormat="1" applyFont="1"/>
    <xf numFmtId="177" fontId="4" fillId="0" borderId="0" xfId="1" applyNumberFormat="1" applyFont="1"/>
    <xf numFmtId="44" fontId="4" fillId="0" borderId="0" xfId="2" applyFont="1"/>
    <xf numFmtId="165" fontId="4" fillId="0" borderId="0" xfId="2" applyNumberFormat="1" applyFont="1"/>
    <xf numFmtId="168" fontId="4" fillId="0" borderId="0" xfId="0" applyNumberFormat="1" applyFont="1"/>
    <xf numFmtId="10" fontId="4" fillId="0" borderId="4" xfId="3" applyNumberFormat="1" applyFont="1" applyBorder="1"/>
    <xf numFmtId="10" fontId="4" fillId="0" borderId="5" xfId="0" applyNumberFormat="1" applyFont="1" applyBorder="1"/>
    <xf numFmtId="10" fontId="4" fillId="0" borderId="0" xfId="0" applyNumberFormat="1" applyFont="1"/>
    <xf numFmtId="43" fontId="4" fillId="0" borderId="0" xfId="1" applyFont="1" applyFill="1"/>
    <xf numFmtId="172" fontId="4" fillId="0" borderId="0" xfId="1" applyNumberFormat="1" applyFont="1" applyFill="1"/>
    <xf numFmtId="166" fontId="4" fillId="0" borderId="0" xfId="1" applyNumberFormat="1" applyFont="1" applyFill="1"/>
    <xf numFmtId="43" fontId="3" fillId="0" borderId="0" xfId="1" applyFont="1" applyFill="1" applyBorder="1" applyAlignment="1">
      <alignment horizontal="center"/>
    </xf>
    <xf numFmtId="166" fontId="3" fillId="0" borderId="0" xfId="1" applyNumberFormat="1" applyFont="1" applyFill="1" applyBorder="1" applyAlignment="1"/>
    <xf numFmtId="43" fontId="3" fillId="0" borderId="0" xfId="1" applyFont="1" applyFill="1" applyBorder="1" applyAlignment="1">
      <alignment horizontal="right"/>
    </xf>
    <xf numFmtId="172" fontId="4" fillId="0" borderId="0" xfId="1" applyNumberFormat="1" applyFont="1" applyFill="1" applyBorder="1" applyAlignment="1">
      <alignment horizontal="center" wrapText="1"/>
    </xf>
    <xf numFmtId="166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 wrapText="1"/>
    </xf>
    <xf numFmtId="172" fontId="4" fillId="0" borderId="0" xfId="1" applyNumberFormat="1" applyFont="1" applyFill="1" applyAlignment="1">
      <alignment horizontal="center"/>
    </xf>
    <xf numFmtId="43" fontId="3" fillId="0" borderId="0" xfId="1" applyFont="1" applyFill="1" applyAlignment="1">
      <alignment horizontal="right"/>
    </xf>
    <xf numFmtId="166" fontId="3" fillId="0" borderId="0" xfId="1" applyNumberFormat="1" applyFont="1" applyFill="1" applyAlignment="1">
      <alignment horizontal="center"/>
    </xf>
    <xf numFmtId="172" fontId="3" fillId="0" borderId="0" xfId="1" applyNumberFormat="1" applyFont="1" applyFill="1" applyAlignment="1">
      <alignment horizontal="center"/>
    </xf>
    <xf numFmtId="172" fontId="3" fillId="0" borderId="0" xfId="1" applyNumberFormat="1" applyFont="1" applyFill="1" applyAlignment="1">
      <alignment horizontal="right"/>
    </xf>
    <xf numFmtId="0" fontId="5" fillId="0" borderId="0" xfId="0" applyFont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right"/>
    </xf>
    <xf numFmtId="172" fontId="3" fillId="0" borderId="1" xfId="1" applyNumberFormat="1" applyFont="1" applyFill="1" applyBorder="1" applyAlignment="1">
      <alignment horizontal="right"/>
    </xf>
    <xf numFmtId="165" fontId="4" fillId="0" borderId="0" xfId="2" applyNumberFormat="1" applyFont="1" applyFill="1"/>
    <xf numFmtId="10" fontId="4" fillId="0" borderId="0" xfId="3" applyNumberFormat="1" applyFont="1" applyFill="1"/>
    <xf numFmtId="165" fontId="4" fillId="0" borderId="0" xfId="2" applyNumberFormat="1" applyFont="1" applyFill="1" applyBorder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5" fontId="4" fillId="0" borderId="6" xfId="2" applyNumberFormat="1" applyFont="1" applyFill="1" applyBorder="1" applyAlignment="1">
      <alignment vertical="center"/>
    </xf>
    <xf numFmtId="10" fontId="4" fillId="0" borderId="6" xfId="3" applyNumberFormat="1" applyFont="1" applyFill="1" applyBorder="1" applyAlignment="1">
      <alignment vertical="center"/>
    </xf>
    <xf numFmtId="43" fontId="4" fillId="0" borderId="6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4" fontId="4" fillId="0" borderId="0" xfId="2" applyFont="1" applyFill="1" applyBorder="1"/>
    <xf numFmtId="10" fontId="4" fillId="0" borderId="0" xfId="3" applyNumberFormat="1" applyFont="1" applyFill="1" applyBorder="1"/>
    <xf numFmtId="43" fontId="4" fillId="0" borderId="0" xfId="1" applyFont="1" applyFill="1" applyBorder="1" applyAlignment="1">
      <alignment horizontal="right"/>
    </xf>
    <xf numFmtId="43" fontId="4" fillId="0" borderId="0" xfId="1" applyFont="1" applyFill="1" applyAlignment="1">
      <alignment horizontal="right"/>
    </xf>
    <xf numFmtId="43" fontId="4" fillId="0" borderId="0" xfId="0" applyNumberFormat="1" applyFont="1"/>
    <xf numFmtId="166" fontId="4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Continuous"/>
    </xf>
    <xf numFmtId="2" fontId="4" fillId="0" borderId="0" xfId="0" applyNumberFormat="1" applyFont="1"/>
    <xf numFmtId="165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3" fillId="0" borderId="0" xfId="0" quotePrefix="1" applyFont="1"/>
    <xf numFmtId="0" fontId="4" fillId="0" borderId="0" xfId="0" quotePrefix="1" applyFont="1"/>
    <xf numFmtId="169" fontId="4" fillId="0" borderId="0" xfId="0" applyNumberFormat="1" applyFont="1"/>
    <xf numFmtId="169" fontId="4" fillId="0" borderId="0" xfId="1" applyNumberFormat="1" applyFont="1" applyFill="1"/>
    <xf numFmtId="169" fontId="4" fillId="0" borderId="0" xfId="0" applyNumberFormat="1" applyFont="1" applyAlignment="1">
      <alignment horizontal="centerContinuous"/>
    </xf>
    <xf numFmtId="166" fontId="4" fillId="0" borderId="0" xfId="1" applyNumberFormat="1" applyFont="1" applyFill="1" applyAlignment="1">
      <alignment horizontal="centerContinuous"/>
    </xf>
    <xf numFmtId="171" fontId="4" fillId="0" borderId="0" xfId="1" applyNumberFormat="1" applyFont="1" applyFill="1"/>
    <xf numFmtId="165" fontId="4" fillId="0" borderId="3" xfId="2" applyNumberFormat="1" applyFont="1" applyFill="1" applyBorder="1"/>
    <xf numFmtId="10" fontId="3" fillId="0" borderId="9" xfId="3" applyNumberFormat="1" applyFont="1" applyFill="1" applyBorder="1"/>
    <xf numFmtId="165" fontId="4" fillId="0" borderId="3" xfId="0" applyNumberFormat="1" applyFont="1" applyBorder="1"/>
    <xf numFmtId="172" fontId="4" fillId="0" borderId="0" xfId="0" applyNumberFormat="1" applyFont="1"/>
    <xf numFmtId="167" fontId="4" fillId="0" borderId="0" xfId="0" applyNumberFormat="1" applyFont="1"/>
    <xf numFmtId="164" fontId="4" fillId="0" borderId="0" xfId="2" applyNumberFormat="1" applyFont="1" applyFill="1"/>
    <xf numFmtId="164" fontId="4" fillId="0" borderId="0" xfId="0" applyNumberFormat="1" applyFont="1"/>
    <xf numFmtId="172" fontId="7" fillId="0" borderId="0" xfId="0" applyNumberFormat="1" applyFont="1" applyAlignment="1">
      <alignment vertical="center"/>
    </xf>
    <xf numFmtId="176" fontId="4" fillId="0" borderId="0" xfId="0" applyNumberFormat="1" applyFont="1"/>
    <xf numFmtId="172" fontId="7" fillId="0" borderId="0" xfId="0" applyNumberFormat="1" applyFont="1"/>
    <xf numFmtId="43" fontId="7" fillId="0" borderId="0" xfId="1" applyFont="1" applyFill="1"/>
    <xf numFmtId="172" fontId="4" fillId="0" borderId="0" xfId="0" applyNumberFormat="1" applyFont="1" applyAlignment="1">
      <alignment vertical="center"/>
    </xf>
    <xf numFmtId="178" fontId="4" fillId="0" borderId="0" xfId="0" applyNumberFormat="1" applyFont="1"/>
    <xf numFmtId="171" fontId="4" fillId="0" borderId="0" xfId="0" applyNumberFormat="1" applyFont="1"/>
    <xf numFmtId="10" fontId="4" fillId="0" borderId="0" xfId="0" applyNumberFormat="1" applyFont="1" applyAlignment="1">
      <alignment horizontal="right"/>
    </xf>
    <xf numFmtId="43" fontId="4" fillId="0" borderId="0" xfId="0" applyNumberFormat="1" applyFont="1" applyAlignment="1">
      <alignment horizontal="right"/>
    </xf>
    <xf numFmtId="172" fontId="4" fillId="0" borderId="0" xfId="0" applyNumberFormat="1" applyFont="1" applyAlignment="1">
      <alignment horizontal="right"/>
    </xf>
    <xf numFmtId="166" fontId="4" fillId="0" borderId="0" xfId="1" applyNumberFormat="1" applyFont="1" applyFill="1" applyAlignment="1">
      <alignment horizontal="right"/>
    </xf>
    <xf numFmtId="0" fontId="3" fillId="0" borderId="2" xfId="0" applyFont="1" applyBorder="1" applyAlignment="1">
      <alignment horizontal="left"/>
    </xf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66" fontId="4" fillId="0" borderId="0" xfId="1" applyNumberFormat="1" applyFont="1" applyFill="1" applyAlignment="1"/>
    <xf numFmtId="166" fontId="4" fillId="0" borderId="0" xfId="3" applyNumberFormat="1" applyFont="1" applyFill="1" applyAlignment="1"/>
    <xf numFmtId="165" fontId="4" fillId="0" borderId="0" xfId="2" applyNumberFormat="1" applyFont="1" applyFill="1" applyAlignment="1"/>
    <xf numFmtId="9" fontId="4" fillId="0" borderId="0" xfId="3" applyFont="1" applyFill="1"/>
    <xf numFmtId="0" fontId="4" fillId="0" borderId="3" xfId="0" applyFont="1" applyBorder="1" applyAlignment="1">
      <alignment horizontal="center"/>
    </xf>
    <xf numFmtId="166" fontId="4" fillId="0" borderId="3" xfId="1" applyNumberFormat="1" applyFont="1" applyFill="1" applyBorder="1" applyAlignment="1"/>
    <xf numFmtId="165" fontId="4" fillId="0" borderId="3" xfId="2" applyNumberFormat="1" applyFont="1" applyFill="1" applyBorder="1" applyAlignment="1"/>
    <xf numFmtId="166" fontId="4" fillId="0" borderId="3" xfId="0" applyNumberFormat="1" applyFont="1" applyBorder="1"/>
    <xf numFmtId="10" fontId="4" fillId="0" borderId="3" xfId="3" applyNumberFormat="1" applyFont="1" applyFill="1" applyBorder="1"/>
    <xf numFmtId="44" fontId="4" fillId="0" borderId="0" xfId="2" applyFont="1" applyFill="1"/>
    <xf numFmtId="166" fontId="3" fillId="0" borderId="0" xfId="1" applyNumberFormat="1" applyFont="1" applyFill="1" applyAlignment="1">
      <alignment horizontal="right"/>
    </xf>
    <xf numFmtId="166" fontId="3" fillId="0" borderId="0" xfId="0" applyNumberFormat="1" applyFont="1" applyAlignment="1">
      <alignment horizontal="right"/>
    </xf>
    <xf numFmtId="166" fontId="8" fillId="0" borderId="0" xfId="1" applyNumberFormat="1" applyFont="1" applyFill="1" applyAlignment="1">
      <alignment horizontal="left"/>
    </xf>
    <xf numFmtId="166" fontId="8" fillId="0" borderId="0" xfId="1" applyNumberFormat="1" applyFont="1" applyFill="1" applyAlignment="1">
      <alignment horizontal="center"/>
    </xf>
    <xf numFmtId="180" fontId="8" fillId="0" borderId="0" xfId="1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right"/>
    </xf>
    <xf numFmtId="0" fontId="7" fillId="0" borderId="0" xfId="0" applyFont="1"/>
    <xf numFmtId="166" fontId="4" fillId="0" borderId="0" xfId="0" applyNumberFormat="1" applyFont="1" applyAlignment="1">
      <alignment horizontal="center"/>
    </xf>
    <xf numFmtId="9" fontId="4" fillId="0" borderId="0" xfId="3" applyFont="1"/>
    <xf numFmtId="0" fontId="3" fillId="0" borderId="1" xfId="0" applyFont="1" applyBorder="1" applyAlignment="1">
      <alignment horizontal="center" wrapText="1"/>
    </xf>
    <xf numFmtId="0" fontId="4" fillId="0" borderId="0" xfId="1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right"/>
    </xf>
    <xf numFmtId="10" fontId="4" fillId="0" borderId="0" xfId="3" applyNumberFormat="1" applyFont="1" applyFill="1" applyAlignment="1">
      <alignment horizontal="right"/>
    </xf>
    <xf numFmtId="0" fontId="4" fillId="0" borderId="6" xfId="0" applyFont="1" applyBorder="1"/>
    <xf numFmtId="166" fontId="4" fillId="0" borderId="6" xfId="1" applyNumberFormat="1" applyFont="1" applyFill="1" applyBorder="1" applyAlignment="1">
      <alignment horizontal="center"/>
    </xf>
    <xf numFmtId="166" fontId="4" fillId="0" borderId="6" xfId="1" applyNumberFormat="1" applyFont="1" applyFill="1" applyBorder="1"/>
    <xf numFmtId="44" fontId="4" fillId="0" borderId="6" xfId="2" applyFont="1" applyFill="1" applyBorder="1"/>
    <xf numFmtId="165" fontId="4" fillId="0" borderId="6" xfId="0" applyNumberFormat="1" applyFont="1" applyBorder="1"/>
    <xf numFmtId="10" fontId="4" fillId="0" borderId="6" xfId="0" applyNumberFormat="1" applyFont="1" applyBorder="1"/>
    <xf numFmtId="166" fontId="4" fillId="0" borderId="0" xfId="1" applyNumberFormat="1" applyFont="1" applyFill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/>
    <xf numFmtId="165" fontId="4" fillId="0" borderId="0" xfId="2" applyNumberFormat="1" applyFont="1" applyFill="1" applyAlignment="1">
      <alignment horizontal="center"/>
    </xf>
    <xf numFmtId="166" fontId="4" fillId="0" borderId="6" xfId="1" applyNumberFormat="1" applyFont="1" applyFill="1" applyBorder="1" applyAlignment="1">
      <alignment horizontal="right"/>
    </xf>
    <xf numFmtId="44" fontId="4" fillId="0" borderId="6" xfId="2" applyFont="1" applyFill="1" applyBorder="1" applyAlignment="1">
      <alignment horizontal="right"/>
    </xf>
    <xf numFmtId="165" fontId="4" fillId="0" borderId="6" xfId="0" applyNumberFormat="1" applyFont="1" applyBorder="1" applyAlignment="1">
      <alignment horizontal="right"/>
    </xf>
    <xf numFmtId="10" fontId="4" fillId="0" borderId="6" xfId="0" applyNumberFormat="1" applyFont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70" fontId="4" fillId="0" borderId="0" xfId="1" applyNumberFormat="1" applyFont="1" applyFill="1"/>
    <xf numFmtId="43" fontId="7" fillId="0" borderId="0" xfId="1" applyFont="1" applyFill="1" applyAlignment="1">
      <alignment vertical="center"/>
    </xf>
    <xf numFmtId="44" fontId="4" fillId="0" borderId="0" xfId="0" applyNumberFormat="1" applyFont="1"/>
    <xf numFmtId="172" fontId="3" fillId="0" borderId="0" xfId="1" applyNumberFormat="1" applyFont="1" applyFill="1" applyBorder="1" applyAlignment="1">
      <alignment horizontal="center"/>
    </xf>
    <xf numFmtId="43" fontId="4" fillId="0" borderId="0" xfId="1" applyFont="1" applyFill="1" applyBorder="1"/>
    <xf numFmtId="171" fontId="4" fillId="0" borderId="0" xfId="1" applyNumberFormat="1" applyFont="1" applyFill="1" applyBorder="1"/>
    <xf numFmtId="43" fontId="4" fillId="0" borderId="1" xfId="1" applyFont="1" applyFill="1" applyBorder="1" applyAlignment="1">
      <alignment horizontal="center"/>
    </xf>
    <xf numFmtId="43" fontId="4" fillId="0" borderId="1" xfId="1" applyFont="1" applyFill="1" applyBorder="1" applyAlignment="1">
      <alignment horizontal="right"/>
    </xf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166" fontId="4" fillId="0" borderId="0" xfId="1" applyNumberFormat="1" applyFont="1" applyFill="1" applyAlignment="1">
      <alignment wrapText="1"/>
    </xf>
    <xf numFmtId="166" fontId="6" fillId="0" borderId="0" xfId="1" applyNumberFormat="1" applyFont="1" applyFill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166" fontId="3" fillId="0" borderId="0" xfId="1" applyNumberFormat="1" applyFont="1" applyFill="1"/>
    <xf numFmtId="43" fontId="3" fillId="0" borderId="0" xfId="1" applyFont="1" applyFill="1" applyBorder="1"/>
    <xf numFmtId="10" fontId="3" fillId="0" borderId="0" xfId="3" applyNumberFormat="1" applyFont="1" applyFill="1" applyBorder="1"/>
    <xf numFmtId="0" fontId="4" fillId="0" borderId="3" xfId="0" applyFont="1" applyBorder="1"/>
    <xf numFmtId="175" fontId="4" fillId="0" borderId="0" xfId="0" applyNumberFormat="1" applyFont="1"/>
    <xf numFmtId="174" fontId="4" fillId="0" borderId="0" xfId="0" applyNumberFormat="1" applyFont="1"/>
    <xf numFmtId="173" fontId="4" fillId="0" borderId="0" xfId="0" applyNumberFormat="1" applyFont="1"/>
    <xf numFmtId="0" fontId="6" fillId="0" borderId="0" xfId="0" applyFont="1"/>
    <xf numFmtId="10" fontId="4" fillId="0" borderId="0" xfId="0" applyNumberFormat="1" applyFont="1" applyAlignment="1">
      <alignment horizontal="left"/>
    </xf>
    <xf numFmtId="44" fontId="4" fillId="0" borderId="0" xfId="2" applyFont="1" applyAlignment="1">
      <alignment horizontal="right"/>
    </xf>
    <xf numFmtId="166" fontId="9" fillId="0" borderId="0" xfId="1" applyNumberFormat="1" applyFont="1" applyFill="1"/>
    <xf numFmtId="43" fontId="4" fillId="0" borderId="0" xfId="1" applyFont="1" applyAlignment="1">
      <alignment horizontal="center"/>
    </xf>
    <xf numFmtId="165" fontId="11" fillId="0" borderId="0" xfId="2" applyNumberFormat="1" applyFont="1" applyFill="1" applyAlignment="1">
      <alignment horizontal="right"/>
    </xf>
    <xf numFmtId="44" fontId="4" fillId="0" borderId="0" xfId="0" applyNumberFormat="1" applyFont="1" applyAlignment="1">
      <alignment horizontal="center"/>
    </xf>
    <xf numFmtId="165" fontId="11" fillId="0" borderId="0" xfId="2" applyNumberFormat="1" applyFont="1" applyFill="1"/>
    <xf numFmtId="166" fontId="11" fillId="0" borderId="0" xfId="1" applyNumberFormat="1" applyFont="1" applyFill="1"/>
    <xf numFmtId="177" fontId="4" fillId="0" borderId="0" xfId="1" applyNumberFormat="1" applyFont="1" applyFill="1"/>
    <xf numFmtId="182" fontId="4" fillId="0" borderId="0" xfId="3" applyNumberFormat="1" applyFont="1" applyFill="1" applyAlignment="1">
      <alignment horizontal="right"/>
    </xf>
    <xf numFmtId="182" fontId="4" fillId="0" borderId="6" xfId="3" applyNumberFormat="1" applyFont="1" applyFill="1" applyBorder="1" applyAlignment="1">
      <alignment horizontal="right" vertical="center"/>
    </xf>
    <xf numFmtId="10" fontId="4" fillId="0" borderId="0" xfId="1" applyNumberFormat="1" applyFont="1" applyFill="1"/>
    <xf numFmtId="183" fontId="4" fillId="0" borderId="0" xfId="0" applyNumberFormat="1" applyFont="1"/>
    <xf numFmtId="0" fontId="12" fillId="0" borderId="0" xfId="1" applyNumberFormat="1" applyFont="1" applyFill="1"/>
    <xf numFmtId="182" fontId="4" fillId="0" borderId="0" xfId="3" applyNumberFormat="1" applyFont="1" applyFill="1"/>
    <xf numFmtId="10" fontId="3" fillId="0" borderId="4" xfId="3" applyNumberFormat="1" applyFont="1" applyFill="1" applyBorder="1"/>
    <xf numFmtId="0" fontId="9" fillId="0" borderId="0" xfId="0" applyFont="1"/>
    <xf numFmtId="166" fontId="14" fillId="0" borderId="0" xfId="1" applyNumberFormat="1" applyFont="1" applyFill="1" applyAlignment="1">
      <alignment horizontal="right"/>
    </xf>
    <xf numFmtId="166" fontId="4" fillId="0" borderId="0" xfId="1" applyNumberFormat="1" applyFont="1" applyFill="1" applyBorder="1" applyAlignment="1"/>
    <xf numFmtId="165" fontId="4" fillId="0" borderId="0" xfId="2" applyNumberFormat="1" applyFont="1" applyFill="1" applyBorder="1" applyAlignment="1"/>
    <xf numFmtId="1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66" fontId="10" fillId="0" borderId="0" xfId="1" applyNumberFormat="1" applyFont="1" applyFill="1"/>
    <xf numFmtId="166" fontId="17" fillId="0" borderId="0" xfId="1" applyNumberFormat="1" applyFont="1" applyFill="1" applyAlignment="1">
      <alignment horizontal="center"/>
    </xf>
    <xf numFmtId="184" fontId="17" fillId="0" borderId="0" xfId="3" applyNumberFormat="1" applyFont="1" applyFill="1" applyAlignment="1">
      <alignment horizontal="center"/>
    </xf>
    <xf numFmtId="10" fontId="15" fillId="4" borderId="0" xfId="0" applyNumberFormat="1" applyFont="1" applyFill="1" applyAlignment="1">
      <alignment horizontal="center"/>
    </xf>
    <xf numFmtId="166" fontId="4" fillId="0" borderId="2" xfId="1" applyNumberFormat="1" applyFont="1" applyFill="1" applyBorder="1"/>
    <xf numFmtId="184" fontId="4" fillId="0" borderId="0" xfId="3" applyNumberFormat="1" applyFont="1" applyFill="1"/>
    <xf numFmtId="165" fontId="4" fillId="0" borderId="0" xfId="0" applyNumberFormat="1" applyFont="1" applyAlignment="1">
      <alignment vertical="center"/>
    </xf>
    <xf numFmtId="43" fontId="4" fillId="0" borderId="0" xfId="1" applyFont="1" applyFill="1" applyBorder="1" applyAlignment="1">
      <alignment vertical="center"/>
    </xf>
    <xf numFmtId="10" fontId="13" fillId="0" borderId="0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8" fillId="0" borderId="0" xfId="0" applyFont="1"/>
    <xf numFmtId="0" fontId="19" fillId="0" borderId="0" xfId="0" applyFont="1" applyAlignment="1">
      <alignment horizontal="left" indent="2"/>
    </xf>
    <xf numFmtId="44" fontId="10" fillId="0" borderId="0" xfId="2" applyFont="1" applyFill="1"/>
    <xf numFmtId="0" fontId="9" fillId="0" borderId="0" xfId="2" applyNumberFormat="1" applyFont="1" applyFill="1"/>
    <xf numFmtId="166" fontId="4" fillId="0" borderId="0" xfId="0" applyNumberFormat="1" applyFont="1" applyAlignment="1">
      <alignment horizontal="right"/>
    </xf>
    <xf numFmtId="0" fontId="4" fillId="4" borderId="0" xfId="0" applyFont="1" applyFill="1"/>
    <xf numFmtId="165" fontId="4" fillId="4" borderId="0" xfId="0" applyNumberFormat="1" applyFont="1" applyFill="1"/>
    <xf numFmtId="165" fontId="19" fillId="0" borderId="0" xfId="0" applyNumberFormat="1" applyFont="1"/>
    <xf numFmtId="0" fontId="19" fillId="0" borderId="0" xfId="0" applyFont="1" applyAlignment="1">
      <alignment horizontal="centerContinuous"/>
    </xf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right"/>
    </xf>
    <xf numFmtId="0" fontId="19" fillId="0" borderId="0" xfId="0" applyFont="1" applyAlignment="1">
      <alignment horizontal="right"/>
    </xf>
    <xf numFmtId="165" fontId="19" fillId="0" borderId="0" xfId="2" applyNumberFormat="1" applyFont="1" applyFill="1" applyBorder="1"/>
    <xf numFmtId="0" fontId="19" fillId="0" borderId="0" xfId="0" applyFont="1"/>
    <xf numFmtId="165" fontId="19" fillId="0" borderId="0" xfId="2" applyNumberFormat="1" applyFont="1" applyFill="1"/>
    <xf numFmtId="166" fontId="19" fillId="0" borderId="0" xfId="1" applyNumberFormat="1" applyFont="1" applyFill="1"/>
    <xf numFmtId="43" fontId="19" fillId="0" borderId="0" xfId="1" applyFont="1" applyFill="1"/>
    <xf numFmtId="169" fontId="19" fillId="0" borderId="0" xfId="0" applyNumberFormat="1" applyFont="1"/>
    <xf numFmtId="171" fontId="19" fillId="0" borderId="0" xfId="1" applyNumberFormat="1" applyFont="1" applyFill="1"/>
    <xf numFmtId="166" fontId="19" fillId="0" borderId="0" xfId="0" applyNumberFormat="1" applyFont="1"/>
    <xf numFmtId="0" fontId="12" fillId="0" borderId="0" xfId="0" applyFont="1" applyAlignment="1">
      <alignment horizontal="right" wrapText="1"/>
    </xf>
    <xf numFmtId="0" fontId="19" fillId="0" borderId="0" xfId="0" applyFont="1" applyAlignment="1">
      <alignment horizontal="center"/>
    </xf>
    <xf numFmtId="165" fontId="19" fillId="0" borderId="0" xfId="2" applyNumberFormat="1" applyFont="1" applyBorder="1"/>
    <xf numFmtId="2" fontId="19" fillId="0" borderId="0" xfId="0" applyNumberFormat="1" applyFont="1"/>
    <xf numFmtId="166" fontId="19" fillId="0" borderId="3" xfId="1" applyNumberFormat="1" applyFont="1" applyFill="1" applyBorder="1"/>
    <xf numFmtId="10" fontId="12" fillId="0" borderId="9" xfId="3" applyNumberFormat="1" applyFont="1" applyFill="1" applyBorder="1"/>
    <xf numFmtId="43" fontId="12" fillId="0" borderId="0" xfId="1" applyFont="1" applyFill="1" applyBorder="1"/>
    <xf numFmtId="165" fontId="19" fillId="4" borderId="0" xfId="0" applyNumberFormat="1" applyFont="1" applyFill="1"/>
    <xf numFmtId="165" fontId="19" fillId="0" borderId="3" xfId="0" applyNumberFormat="1" applyFont="1" applyBorder="1"/>
    <xf numFmtId="172" fontId="19" fillId="0" borderId="0" xfId="1" applyNumberFormat="1" applyFont="1" applyFill="1"/>
    <xf numFmtId="167" fontId="19" fillId="0" borderId="0" xfId="0" applyNumberFormat="1" applyFont="1"/>
    <xf numFmtId="181" fontId="19" fillId="0" borderId="0" xfId="0" applyNumberFormat="1" applyFont="1"/>
    <xf numFmtId="172" fontId="19" fillId="0" borderId="0" xfId="0" applyNumberFormat="1" applyFont="1" applyAlignment="1">
      <alignment vertical="center"/>
    </xf>
    <xf numFmtId="172" fontId="19" fillId="0" borderId="0" xfId="0" applyNumberFormat="1" applyFont="1"/>
    <xf numFmtId="43" fontId="19" fillId="0" borderId="0" xfId="0" applyNumberFormat="1" applyFont="1"/>
    <xf numFmtId="178" fontId="19" fillId="0" borderId="0" xfId="0" applyNumberFormat="1" applyFont="1"/>
    <xf numFmtId="0" fontId="19" fillId="0" borderId="0" xfId="0" applyFont="1" applyAlignment="1">
      <alignment vertical="center"/>
    </xf>
    <xf numFmtId="10" fontId="19" fillId="0" borderId="0" xfId="0" applyNumberFormat="1" applyFont="1"/>
    <xf numFmtId="165" fontId="19" fillId="0" borderId="0" xfId="2" applyNumberFormat="1" applyFont="1" applyFill="1" applyAlignment="1"/>
    <xf numFmtId="166" fontId="19" fillId="0" borderId="0" xfId="1" applyNumberFormat="1" applyFont="1" applyFill="1" applyAlignment="1"/>
    <xf numFmtId="165" fontId="19" fillId="0" borderId="3" xfId="2" applyNumberFormat="1" applyFont="1" applyFill="1" applyBorder="1" applyAlignment="1"/>
    <xf numFmtId="165" fontId="19" fillId="0" borderId="0" xfId="2" applyNumberFormat="1" applyFont="1" applyFill="1" applyBorder="1" applyAlignment="1"/>
    <xf numFmtId="10" fontId="19" fillId="0" borderId="0" xfId="3" applyNumberFormat="1" applyFont="1" applyFill="1"/>
    <xf numFmtId="44" fontId="19" fillId="0" borderId="0" xfId="2" applyFont="1" applyFill="1"/>
    <xf numFmtId="4" fontId="19" fillId="0" borderId="0" xfId="0" applyNumberFormat="1" applyFont="1"/>
    <xf numFmtId="166" fontId="20" fillId="0" borderId="0" xfId="1" applyNumberFormat="1" applyFont="1" applyFill="1" applyAlignment="1">
      <alignment horizontal="right"/>
    </xf>
    <xf numFmtId="0" fontId="12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9" fontId="12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166" fontId="19" fillId="0" borderId="0" xfId="1" applyNumberFormat="1" applyFont="1" applyFill="1" applyAlignment="1">
      <alignment horizontal="center"/>
    </xf>
    <xf numFmtId="166" fontId="19" fillId="0" borderId="0" xfId="1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165" fontId="19" fillId="0" borderId="0" xfId="2" applyNumberFormat="1" applyFont="1" applyFill="1" applyAlignment="1">
      <alignment horizontal="center"/>
    </xf>
    <xf numFmtId="165" fontId="19" fillId="0" borderId="0" xfId="2" applyNumberFormat="1" applyFont="1" applyAlignment="1">
      <alignment horizontal="center"/>
    </xf>
    <xf numFmtId="0" fontId="12" fillId="0" borderId="10" xfId="0" applyFont="1" applyBorder="1" applyAlignment="1">
      <alignment horizontal="right"/>
    </xf>
    <xf numFmtId="165" fontId="12" fillId="0" borderId="10" xfId="2" applyNumberFormat="1" applyFont="1" applyBorder="1" applyAlignment="1">
      <alignment horizontal="center"/>
    </xf>
    <xf numFmtId="166" fontId="12" fillId="0" borderId="10" xfId="1" applyNumberFormat="1" applyFont="1" applyBorder="1" applyAlignment="1">
      <alignment horizontal="center"/>
    </xf>
    <xf numFmtId="166" fontId="12" fillId="0" borderId="0" xfId="1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165" fontId="19" fillId="0" borderId="0" xfId="3" applyNumberFormat="1" applyFont="1"/>
    <xf numFmtId="43" fontId="19" fillId="0" borderId="0" xfId="1" applyFont="1"/>
    <xf numFmtId="43" fontId="12" fillId="0" borderId="0" xfId="1" applyFont="1"/>
    <xf numFmtId="9" fontId="19" fillId="0" borderId="0" xfId="3" applyFont="1"/>
    <xf numFmtId="9" fontId="19" fillId="0" borderId="0" xfId="0" applyNumberFormat="1" applyFont="1"/>
    <xf numFmtId="166" fontId="19" fillId="0" borderId="0" xfId="1" applyNumberFormat="1" applyFont="1"/>
    <xf numFmtId="166" fontId="19" fillId="0" borderId="0" xfId="1" applyNumberFormat="1" applyFont="1" applyBorder="1"/>
    <xf numFmtId="10" fontId="19" fillId="0" borderId="0" xfId="3" applyNumberFormat="1" applyFont="1"/>
    <xf numFmtId="0" fontId="12" fillId="0" borderId="0" xfId="0" applyFont="1"/>
    <xf numFmtId="0" fontId="19" fillId="3" borderId="0" xfId="0" applyFont="1" applyFill="1"/>
    <xf numFmtId="166" fontId="19" fillId="3" borderId="0" xfId="1" applyNumberFormat="1" applyFont="1" applyFill="1" applyBorder="1"/>
    <xf numFmtId="165" fontId="19" fillId="0" borderId="3" xfId="2" applyNumberFormat="1" applyFont="1" applyFill="1" applyBorder="1"/>
    <xf numFmtId="0" fontId="19" fillId="0" borderId="3" xfId="0" applyFont="1" applyBorder="1"/>
    <xf numFmtId="186" fontId="19" fillId="0" borderId="0" xfId="2" applyNumberFormat="1" applyFont="1"/>
    <xf numFmtId="44" fontId="19" fillId="0" borderId="0" xfId="0" applyNumberFormat="1" applyFont="1"/>
    <xf numFmtId="185" fontId="19" fillId="0" borderId="0" xfId="2" applyNumberFormat="1" applyFont="1"/>
    <xf numFmtId="44" fontId="19" fillId="0" borderId="0" xfId="2" applyFont="1"/>
    <xf numFmtId="165" fontId="19" fillId="0" borderId="0" xfId="2" applyNumberFormat="1" applyFont="1" applyFill="1" applyAlignment="1">
      <alignment horizontal="right"/>
    </xf>
    <xf numFmtId="43" fontId="19" fillId="0" borderId="2" xfId="1" applyFont="1" applyBorder="1"/>
    <xf numFmtId="179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0" fontId="13" fillId="0" borderId="10" xfId="3" applyNumberFormat="1" applyFont="1" applyFill="1" applyBorder="1" applyAlignment="1">
      <alignment horizontal="center" vertical="center"/>
    </xf>
    <xf numFmtId="43" fontId="4" fillId="0" borderId="11" xfId="1" applyFont="1" applyFill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6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</dxf>
    <dxf>
      <font>
        <color rgb="FF006600"/>
      </font>
    </dxf>
    <dxf>
      <font>
        <color theme="6" tint="-0.499984740745262"/>
      </font>
    </dxf>
    <dxf>
      <font>
        <condense val="0"/>
        <extend val="0"/>
        <color rgb="FF9C0006"/>
      </font>
    </dxf>
    <dxf>
      <font>
        <color rgb="FF006600"/>
      </font>
    </dxf>
    <dxf>
      <font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view="pageBreakPreview" zoomScaleNormal="100" zoomScaleSheetLayoutView="100" workbookViewId="0">
      <selection activeCell="K28" sqref="K28"/>
    </sheetView>
  </sheetViews>
  <sheetFormatPr defaultColWidth="9.140625" defaultRowHeight="12.75" x14ac:dyDescent="0.2"/>
  <cols>
    <col min="1" max="1" width="4.42578125" style="14" customWidth="1"/>
    <col min="2" max="2" width="37.28515625" style="30" customWidth="1"/>
    <col min="3" max="3" width="8.140625" style="48" customWidth="1"/>
    <col min="4" max="5" width="13.42578125" style="48" bestFit="1" customWidth="1"/>
    <col min="6" max="6" width="12.7109375" style="49" customWidth="1"/>
    <col min="7" max="7" width="13.42578125" style="14" customWidth="1"/>
    <col min="8" max="9" width="14.28515625" style="50" bestFit="1" customWidth="1"/>
    <col min="10" max="10" width="14.28515625" style="50" customWidth="1"/>
    <col min="11" max="11" width="74.5703125" style="14" customWidth="1"/>
    <col min="12" max="12" width="14.7109375" style="50" bestFit="1" customWidth="1"/>
    <col min="13" max="13" width="15.7109375" style="50" customWidth="1"/>
    <col min="14" max="14" width="15.7109375" style="14" customWidth="1"/>
    <col min="15" max="16384" width="9.140625" style="14"/>
  </cols>
  <sheetData>
    <row r="1" spans="1:17" x14ac:dyDescent="0.2">
      <c r="A1" s="13" t="s">
        <v>1086</v>
      </c>
      <c r="I1" s="200"/>
      <c r="J1" s="200"/>
    </row>
    <row r="2" spans="1:17" x14ac:dyDescent="0.2">
      <c r="A2" s="13" t="s">
        <v>674</v>
      </c>
      <c r="C2" s="51"/>
      <c r="D2" s="51"/>
      <c r="E2" s="51"/>
      <c r="F2" s="51"/>
      <c r="H2" s="52"/>
      <c r="I2" s="52"/>
      <c r="J2" s="52"/>
      <c r="L2" s="52"/>
      <c r="M2" s="52"/>
      <c r="N2" s="52"/>
    </row>
    <row r="3" spans="1:17" x14ac:dyDescent="0.2">
      <c r="A3" s="13"/>
      <c r="C3" s="13"/>
      <c r="D3" s="53"/>
      <c r="E3" s="53"/>
      <c r="F3" s="54"/>
      <c r="H3" s="55"/>
      <c r="I3" s="56"/>
      <c r="J3" s="56"/>
      <c r="L3" s="59" t="s">
        <v>1083</v>
      </c>
      <c r="M3" s="55"/>
      <c r="N3" s="56"/>
    </row>
    <row r="4" spans="1:17" x14ac:dyDescent="0.2">
      <c r="F4" s="57"/>
      <c r="L4" s="210">
        <v>11622137.514173713</v>
      </c>
      <c r="N4" s="50"/>
    </row>
    <row r="5" spans="1:17" x14ac:dyDescent="0.2">
      <c r="A5" s="13"/>
      <c r="B5" s="16"/>
      <c r="C5" s="58"/>
      <c r="D5" s="58"/>
      <c r="E5" s="58"/>
      <c r="F5" s="58"/>
      <c r="G5" s="58"/>
      <c r="I5" s="49"/>
      <c r="J5" s="49"/>
      <c r="L5" s="50" t="s">
        <v>1084</v>
      </c>
      <c r="N5" s="50"/>
    </row>
    <row r="6" spans="1:17" s="16" customFormat="1" x14ac:dyDescent="0.2">
      <c r="C6" s="58"/>
      <c r="D6" s="58" t="s">
        <v>906</v>
      </c>
      <c r="E6" s="58" t="s">
        <v>906</v>
      </c>
      <c r="F6" s="58"/>
      <c r="H6" s="58" t="s">
        <v>906</v>
      </c>
      <c r="I6" s="58" t="s">
        <v>958</v>
      </c>
      <c r="J6" s="58"/>
      <c r="K6" s="14"/>
      <c r="L6" s="211">
        <v>4.7600000000000003E-2</v>
      </c>
      <c r="M6" s="59"/>
      <c r="N6" s="59"/>
    </row>
    <row r="7" spans="1:17" s="16" customFormat="1" x14ac:dyDescent="0.2">
      <c r="C7" s="58"/>
      <c r="D7" s="58" t="s">
        <v>673</v>
      </c>
      <c r="E7" s="58" t="s">
        <v>673</v>
      </c>
      <c r="F7" s="61"/>
      <c r="G7" s="24"/>
      <c r="H7" s="24" t="s">
        <v>334</v>
      </c>
      <c r="I7" s="24" t="s">
        <v>334</v>
      </c>
      <c r="J7" s="24"/>
      <c r="K7" s="14"/>
      <c r="L7" s="212">
        <v>1.9483319345951818E-2</v>
      </c>
      <c r="M7" s="59"/>
      <c r="N7" s="59"/>
    </row>
    <row r="8" spans="1:17" s="16" customFormat="1" ht="13.5" thickBot="1" x14ac:dyDescent="0.25">
      <c r="A8" s="62" t="s">
        <v>964</v>
      </c>
      <c r="B8" s="63" t="s">
        <v>752</v>
      </c>
      <c r="C8" s="63" t="s">
        <v>869</v>
      </c>
      <c r="D8" s="64" t="s">
        <v>348</v>
      </c>
      <c r="E8" s="64" t="s">
        <v>672</v>
      </c>
      <c r="F8" s="64" t="s">
        <v>347</v>
      </c>
      <c r="G8" s="65" t="s">
        <v>76</v>
      </c>
      <c r="H8" s="64" t="s">
        <v>867</v>
      </c>
      <c r="I8" s="64" t="s">
        <v>867</v>
      </c>
      <c r="J8" s="53"/>
      <c r="K8" s="14"/>
      <c r="L8" s="16" t="s">
        <v>1085</v>
      </c>
    </row>
    <row r="9" spans="1:17" x14ac:dyDescent="0.2">
      <c r="A9" s="30"/>
      <c r="B9" s="13"/>
      <c r="C9" s="16"/>
      <c r="F9" s="48"/>
      <c r="G9" s="49"/>
      <c r="H9" s="14"/>
      <c r="I9" s="59"/>
      <c r="J9" s="59"/>
      <c r="M9" s="213">
        <f>SUM(M10:M16)</f>
        <v>11526419.1</v>
      </c>
      <c r="N9" s="50"/>
      <c r="O9" s="16"/>
      <c r="P9" s="16"/>
      <c r="Q9" s="16"/>
    </row>
    <row r="10" spans="1:17" x14ac:dyDescent="0.2">
      <c r="A10" s="30">
        <v>1</v>
      </c>
      <c r="B10" s="14" t="s">
        <v>1087</v>
      </c>
      <c r="C10" s="30" t="s">
        <v>1088</v>
      </c>
      <c r="D10" s="66">
        <f>'Alloc &amp; Returns'!F$352</f>
        <v>84384720.872680426</v>
      </c>
      <c r="E10" s="66">
        <f>'Alloc &amp; Returns'!F$386</f>
        <v>92464016.301108897</v>
      </c>
      <c r="F10" s="66">
        <f>D10-E10</f>
        <v>-8079295.4284284711</v>
      </c>
      <c r="G10" s="66">
        <f>'Alloc &amp; Returns'!F$394</f>
        <v>176926919.16421211</v>
      </c>
      <c r="H10" s="67">
        <f>IF(G10=0,0,F10/G10)</f>
        <v>-4.5664591157718586E-2</v>
      </c>
      <c r="I10" s="48">
        <f t="shared" ref="I10:I20" si="0">H10/H$26</f>
        <v>-22.569826084349604</v>
      </c>
      <c r="J10" s="48"/>
      <c r="L10" s="67">
        <f>L$7</f>
        <v>1.9483319345951818E-2</v>
      </c>
      <c r="M10" s="66">
        <f>ROUND(L10*G10-F10,2)</f>
        <v>11526419.1</v>
      </c>
      <c r="N10" s="126"/>
      <c r="O10" s="16"/>
      <c r="P10" s="16"/>
      <c r="Q10" s="16"/>
    </row>
    <row r="11" spans="1:17" x14ac:dyDescent="0.2">
      <c r="A11" s="30">
        <v>2</v>
      </c>
      <c r="B11" s="14" t="s">
        <v>1089</v>
      </c>
      <c r="C11" s="30" t="s">
        <v>1090</v>
      </c>
      <c r="D11" s="66">
        <f>'Alloc &amp; Returns'!G$352</f>
        <v>8519830.7754626591</v>
      </c>
      <c r="E11" s="66">
        <f>'Alloc &amp; Returns'!G$386</f>
        <v>5892890.6893010205</v>
      </c>
      <c r="F11" s="66">
        <f t="shared" ref="F11:F26" si="1">D11-E11</f>
        <v>2626940.0861616386</v>
      </c>
      <c r="G11" s="66">
        <f>'Alloc &amp; Returns'!G$394</f>
        <v>15569769.029888142</v>
      </c>
      <c r="H11" s="67">
        <f t="shared" ref="H11:H17" si="2">IF(G11=0,0,F11/G11)</f>
        <v>0.16872055591312207</v>
      </c>
      <c r="I11" s="48">
        <f t="shared" si="0"/>
        <v>83.39051127517412</v>
      </c>
      <c r="J11" s="48"/>
      <c r="L11" s="67">
        <f t="shared" ref="L11:L16" si="3">L$7</f>
        <v>1.9483319345951818E-2</v>
      </c>
      <c r="M11" s="66">
        <v>0</v>
      </c>
      <c r="N11" s="126"/>
      <c r="O11" s="16"/>
      <c r="P11" s="16"/>
      <c r="Q11" s="16"/>
    </row>
    <row r="12" spans="1:17" x14ac:dyDescent="0.2">
      <c r="A12" s="30">
        <v>3</v>
      </c>
      <c r="B12" s="14" t="s">
        <v>1091</v>
      </c>
      <c r="C12" s="30" t="s">
        <v>1092</v>
      </c>
      <c r="D12" s="66">
        <f>'Alloc &amp; Returns'!H$352</f>
        <v>17439910.08907577</v>
      </c>
      <c r="E12" s="66">
        <f>'Alloc &amp; Returns'!H$386</f>
        <v>14871724.496911934</v>
      </c>
      <c r="F12" s="66">
        <f t="shared" si="1"/>
        <v>2568185.5921638366</v>
      </c>
      <c r="G12" s="66">
        <f>'Alloc &amp; Returns'!H$394</f>
        <v>10445376.335771658</v>
      </c>
      <c r="H12" s="67">
        <f t="shared" si="2"/>
        <v>0.24586817263526681</v>
      </c>
      <c r="I12" s="48">
        <f t="shared" si="0"/>
        <v>121.5208930019479</v>
      </c>
      <c r="J12" s="48"/>
      <c r="L12" s="67">
        <f t="shared" si="3"/>
        <v>1.9483319345951818E-2</v>
      </c>
      <c r="M12" s="66">
        <v>0</v>
      </c>
      <c r="N12" s="126"/>
      <c r="O12" s="16"/>
      <c r="P12" s="16"/>
      <c r="Q12" s="16"/>
    </row>
    <row r="13" spans="1:17" x14ac:dyDescent="0.2">
      <c r="A13" s="30">
        <v>4</v>
      </c>
      <c r="B13" s="14" t="s">
        <v>1093</v>
      </c>
      <c r="C13" s="30" t="s">
        <v>1094</v>
      </c>
      <c r="D13" s="66">
        <f>'Alloc &amp; Returns'!I$352</f>
        <v>846704.78849104582</v>
      </c>
      <c r="E13" s="66">
        <f>'Alloc &amp; Returns'!I$386</f>
        <v>699977.88374360395</v>
      </c>
      <c r="F13" s="66">
        <f t="shared" si="1"/>
        <v>146726.90474744188</v>
      </c>
      <c r="G13" s="66">
        <f>'Alloc &amp; Returns'!I$394</f>
        <v>319263.09023531183</v>
      </c>
      <c r="H13" s="67">
        <f t="shared" si="2"/>
        <v>0.45957991773899476</v>
      </c>
      <c r="I13" s="48">
        <f t="shared" si="0"/>
        <v>227.14839993646905</v>
      </c>
      <c r="J13" s="48"/>
      <c r="L13" s="67">
        <v>0.29487206038636271</v>
      </c>
      <c r="M13" s="66">
        <v>0</v>
      </c>
      <c r="N13" s="126"/>
      <c r="O13" s="16"/>
      <c r="P13" s="16"/>
      <c r="Q13" s="16"/>
    </row>
    <row r="14" spans="1:17" x14ac:dyDescent="0.2">
      <c r="A14" s="30">
        <v>5</v>
      </c>
      <c r="B14" s="14" t="s">
        <v>1095</v>
      </c>
      <c r="C14" s="30" t="s">
        <v>1096</v>
      </c>
      <c r="D14" s="66">
        <f>'Alloc &amp; Returns'!J$352</f>
        <v>4999263.9152046191</v>
      </c>
      <c r="E14" s="66">
        <f>'Alloc &amp; Returns'!J$386</f>
        <v>4737387.0101754954</v>
      </c>
      <c r="F14" s="66">
        <f t="shared" si="1"/>
        <v>261876.90502912365</v>
      </c>
      <c r="G14" s="66">
        <f>'Alloc &amp; Returns'!J$394</f>
        <v>2488839.8258682913</v>
      </c>
      <c r="H14" s="67">
        <f t="shared" si="2"/>
        <v>0.10522047353439534</v>
      </c>
      <c r="I14" s="48">
        <f t="shared" si="0"/>
        <v>52.005453853336526</v>
      </c>
      <c r="J14" s="48"/>
      <c r="L14" s="67">
        <f t="shared" si="3"/>
        <v>1.9483319345951818E-2</v>
      </c>
      <c r="M14" s="66">
        <v>0</v>
      </c>
      <c r="N14" s="126"/>
      <c r="O14" s="16"/>
      <c r="P14" s="16"/>
      <c r="Q14" s="16"/>
    </row>
    <row r="15" spans="1:17" x14ac:dyDescent="0.2">
      <c r="A15" s="30">
        <v>6</v>
      </c>
      <c r="B15" s="14" t="s">
        <v>1097</v>
      </c>
      <c r="C15" s="30" t="s">
        <v>1098</v>
      </c>
      <c r="D15" s="66">
        <f>'Alloc &amp; Returns'!K$352</f>
        <v>5339214.6114081275</v>
      </c>
      <c r="E15" s="66">
        <f>'Alloc &amp; Returns'!K$386</f>
        <v>5064453.059817587</v>
      </c>
      <c r="F15" s="66">
        <f t="shared" si="1"/>
        <v>274761.55159054045</v>
      </c>
      <c r="G15" s="66">
        <f>'Alloc &amp; Returns'!K$394</f>
        <v>2760134.3510021139</v>
      </c>
      <c r="H15" s="67">
        <f t="shared" si="2"/>
        <v>9.9546441096529797E-2</v>
      </c>
      <c r="I15" s="48">
        <f t="shared" si="0"/>
        <v>49.201050658807162</v>
      </c>
      <c r="J15" s="48"/>
      <c r="L15" s="67">
        <v>8.8256633483900782E-2</v>
      </c>
      <c r="M15" s="66">
        <v>0</v>
      </c>
      <c r="N15" s="126"/>
      <c r="O15" s="16"/>
      <c r="P15" s="16"/>
      <c r="Q15" s="16"/>
    </row>
    <row r="16" spans="1:17" x14ac:dyDescent="0.2">
      <c r="A16" s="30">
        <v>7</v>
      </c>
      <c r="B16" s="14" t="s">
        <v>1099</v>
      </c>
      <c r="C16" s="30" t="s">
        <v>1100</v>
      </c>
      <c r="D16" s="66">
        <f>'Alloc &amp; Returns'!L$352</f>
        <v>1376881.1060797372</v>
      </c>
      <c r="E16" s="66">
        <f>'Alloc &amp; Returns'!L$386</f>
        <v>977564.36526322179</v>
      </c>
      <c r="F16" s="66">
        <f t="shared" si="1"/>
        <v>399316.7408165154</v>
      </c>
      <c r="G16" s="66">
        <f>'Alloc &amp; Returns'!L$394</f>
        <v>1226618.0908832785</v>
      </c>
      <c r="H16" s="67">
        <f t="shared" si="2"/>
        <v>0.32554284319169824</v>
      </c>
      <c r="I16" s="48">
        <f t="shared" si="0"/>
        <v>160.90027672566606</v>
      </c>
      <c r="J16" s="48"/>
      <c r="L16" s="67">
        <f t="shared" si="3"/>
        <v>1.9483319345951818E-2</v>
      </c>
      <c r="M16" s="66">
        <v>0</v>
      </c>
      <c r="N16" s="126"/>
      <c r="O16" s="16"/>
      <c r="P16" s="16"/>
      <c r="Q16" s="16"/>
    </row>
    <row r="17" spans="1:17" x14ac:dyDescent="0.2">
      <c r="A17" s="30">
        <v>8</v>
      </c>
      <c r="B17" s="14" t="s">
        <v>1101</v>
      </c>
      <c r="C17" s="30" t="s">
        <v>1102</v>
      </c>
      <c r="D17" s="66">
        <f>'Alloc &amp; Returns'!M$352</f>
        <v>901508.77961356076</v>
      </c>
      <c r="E17" s="66">
        <f>'Alloc &amp; Returns'!M$386</f>
        <v>830045.90766992152</v>
      </c>
      <c r="F17" s="66">
        <f t="shared" si="1"/>
        <v>71462.871943639242</v>
      </c>
      <c r="G17" s="66">
        <f>'Alloc &amp; Returns'!M$394</f>
        <v>749995.90534109029</v>
      </c>
      <c r="H17" s="67">
        <f t="shared" si="2"/>
        <v>9.5284349467399665E-2</v>
      </c>
      <c r="I17" s="48">
        <f t="shared" si="0"/>
        <v>47.094502359868329</v>
      </c>
      <c r="J17" s="48"/>
      <c r="L17" s="67">
        <v>0.25847086114782469</v>
      </c>
      <c r="M17" s="66">
        <v>0</v>
      </c>
      <c r="N17" s="126"/>
      <c r="O17" s="16"/>
      <c r="P17" s="16"/>
      <c r="Q17" s="16"/>
    </row>
    <row r="18" spans="1:17" x14ac:dyDescent="0.2">
      <c r="A18" s="30">
        <v>9</v>
      </c>
      <c r="B18" s="14" t="s">
        <v>754</v>
      </c>
      <c r="C18" s="30" t="s">
        <v>1222</v>
      </c>
      <c r="D18" s="66">
        <f>'Alloc &amp; Returns'!N$352</f>
        <v>4304739.2686400954</v>
      </c>
      <c r="E18" s="66">
        <f>'Alloc &amp; Returns'!N$386</f>
        <v>2123495.1083905632</v>
      </c>
      <c r="F18" s="66">
        <f t="shared" si="1"/>
        <v>2181244.1602495322</v>
      </c>
      <c r="G18" s="66">
        <f>'Alloc &amp; Returns'!N$394</f>
        <v>12529271.820817271</v>
      </c>
      <c r="H18" s="67">
        <f t="shared" ref="H18" si="4">IF(G18=0,0,F18/G18)</f>
        <v>0.17409185397553709</v>
      </c>
      <c r="I18" s="48">
        <f t="shared" ref="I18" si="5">H18/H$26</f>
        <v>86.045287329058056</v>
      </c>
      <c r="J18" s="79"/>
      <c r="K18" s="60"/>
      <c r="L18" s="67"/>
      <c r="M18" s="66">
        <v>0</v>
      </c>
      <c r="N18" s="126"/>
      <c r="O18" s="16"/>
      <c r="P18" s="16"/>
      <c r="Q18" s="16"/>
    </row>
    <row r="19" spans="1:17" hidden="1" x14ac:dyDescent="0.2">
      <c r="A19" s="30"/>
      <c r="B19" s="14"/>
      <c r="C19" s="30"/>
      <c r="D19" s="66">
        <f>'Alloc &amp; Returns'!O$352</f>
        <v>0</v>
      </c>
      <c r="E19" s="66">
        <f>'Alloc &amp; Returns'!O$386</f>
        <v>0</v>
      </c>
      <c r="F19" s="66">
        <f t="shared" si="1"/>
        <v>0</v>
      </c>
      <c r="G19" s="66">
        <f>'Alloc &amp; Returns'!O$394</f>
        <v>0</v>
      </c>
      <c r="H19" s="145" t="s">
        <v>1082</v>
      </c>
      <c r="I19" s="79" t="s">
        <v>1082</v>
      </c>
      <c r="J19" s="79"/>
      <c r="K19" s="60"/>
      <c r="L19" s="67"/>
      <c r="M19" s="66">
        <v>0</v>
      </c>
      <c r="N19" s="126"/>
      <c r="O19" s="16"/>
      <c r="P19" s="16"/>
      <c r="Q19" s="16"/>
    </row>
    <row r="20" spans="1:17" hidden="1" x14ac:dyDescent="0.2">
      <c r="A20" s="30"/>
      <c r="B20" s="14"/>
      <c r="C20" s="30"/>
      <c r="D20" s="66">
        <f>'Alloc &amp; Returns'!P$352</f>
        <v>0</v>
      </c>
      <c r="E20" s="66">
        <f>'Alloc &amp; Returns'!P$386</f>
        <v>0</v>
      </c>
      <c r="F20" s="66">
        <f t="shared" si="1"/>
        <v>0</v>
      </c>
      <c r="G20" s="66">
        <f>'Alloc &amp; Returns'!P$394</f>
        <v>0</v>
      </c>
      <c r="H20" s="67" t="e">
        <f t="shared" ref="H20:H22" si="6">F20/G20</f>
        <v>#DIV/0!</v>
      </c>
      <c r="I20" s="48" t="e">
        <f t="shared" si="0"/>
        <v>#DIV/0!</v>
      </c>
      <c r="J20" s="48"/>
      <c r="K20" s="60"/>
      <c r="L20" s="126"/>
      <c r="M20" s="126"/>
      <c r="N20" s="126"/>
      <c r="O20" s="16"/>
      <c r="P20" s="16"/>
      <c r="Q20" s="16"/>
    </row>
    <row r="21" spans="1:17" hidden="1" x14ac:dyDescent="0.2">
      <c r="A21" s="30"/>
      <c r="B21" s="14"/>
      <c r="C21" s="30"/>
      <c r="D21" s="68">
        <f>'Alloc &amp; Returns'!Q$352</f>
        <v>0</v>
      </c>
      <c r="E21" s="66">
        <f>'Alloc &amp; Returns'!Q$386</f>
        <v>0</v>
      </c>
      <c r="F21" s="68">
        <f t="shared" si="1"/>
        <v>0</v>
      </c>
      <c r="G21" s="66">
        <f>'Alloc &amp; Returns'!Q$394</f>
        <v>0</v>
      </c>
      <c r="H21" s="67" t="e">
        <f t="shared" si="6"/>
        <v>#DIV/0!</v>
      </c>
      <c r="I21" s="67" t="e">
        <f>'Alloc &amp; Returns'!Q330</f>
        <v>#DIV/0!</v>
      </c>
      <c r="J21" s="67"/>
      <c r="K21" s="60"/>
      <c r="L21" s="126"/>
      <c r="M21" s="126"/>
      <c r="N21" s="126"/>
      <c r="O21" s="16"/>
      <c r="P21" s="16"/>
      <c r="Q21" s="16"/>
    </row>
    <row r="22" spans="1:17" hidden="1" x14ac:dyDescent="0.2">
      <c r="A22" s="30"/>
      <c r="B22" s="14"/>
      <c r="C22" s="30"/>
      <c r="D22" s="68">
        <f>'Alloc &amp; Returns'!R$352</f>
        <v>0</v>
      </c>
      <c r="E22" s="66">
        <f>'Alloc &amp; Returns'!R$386</f>
        <v>0</v>
      </c>
      <c r="F22" s="68">
        <f t="shared" si="1"/>
        <v>0</v>
      </c>
      <c r="G22" s="68">
        <f>'Alloc &amp; Returns'!R$394</f>
        <v>0</v>
      </c>
      <c r="H22" s="67" t="e">
        <f t="shared" si="6"/>
        <v>#DIV/0!</v>
      </c>
      <c r="I22" s="67" t="e">
        <f>'Alloc &amp; Returns'!R330</f>
        <v>#DIV/0!</v>
      </c>
      <c r="J22" s="67"/>
      <c r="K22" s="60"/>
      <c r="L22" s="126"/>
      <c r="M22" s="126"/>
      <c r="N22" s="126"/>
      <c r="O22" s="16"/>
      <c r="P22" s="16"/>
      <c r="Q22" s="16"/>
    </row>
    <row r="23" spans="1:17" hidden="1" x14ac:dyDescent="0.2">
      <c r="A23" s="30"/>
      <c r="B23" s="14"/>
      <c r="C23" s="30"/>
      <c r="D23" s="68"/>
      <c r="E23" s="66"/>
      <c r="F23" s="68"/>
      <c r="G23" s="68"/>
      <c r="H23" s="67"/>
      <c r="I23" s="67"/>
      <c r="J23" s="67"/>
      <c r="K23" s="60"/>
      <c r="L23" s="214"/>
      <c r="M23" s="214"/>
      <c r="N23" s="214"/>
      <c r="O23" s="16"/>
      <c r="P23" s="16"/>
      <c r="Q23" s="16"/>
    </row>
    <row r="24" spans="1:17" hidden="1" x14ac:dyDescent="0.2">
      <c r="A24" s="30"/>
      <c r="B24" s="14"/>
      <c r="C24" s="30"/>
      <c r="D24" s="68"/>
      <c r="E24" s="66"/>
      <c r="F24" s="68"/>
      <c r="G24" s="68"/>
      <c r="H24" s="67"/>
      <c r="I24" s="67"/>
      <c r="J24" s="67"/>
      <c r="K24" s="60"/>
      <c r="L24" s="126"/>
      <c r="M24" s="126"/>
      <c r="N24" s="126"/>
      <c r="O24" s="16"/>
      <c r="P24" s="16"/>
      <c r="Q24" s="16"/>
    </row>
    <row r="25" spans="1:17" hidden="1" x14ac:dyDescent="0.2">
      <c r="A25" s="30"/>
      <c r="B25" s="14"/>
      <c r="C25" s="30"/>
      <c r="D25" s="68"/>
      <c r="E25" s="66"/>
      <c r="F25" s="68"/>
      <c r="G25" s="68"/>
      <c r="H25" s="67"/>
      <c r="I25" s="67"/>
      <c r="J25" s="67"/>
      <c r="K25" s="60"/>
      <c r="L25" s="126"/>
      <c r="M25" s="126"/>
      <c r="N25" s="126"/>
      <c r="O25" s="16"/>
      <c r="P25" s="16"/>
      <c r="Q25" s="16"/>
    </row>
    <row r="26" spans="1:17" s="75" customFormat="1" ht="26.25" customHeight="1" thickBot="1" x14ac:dyDescent="0.25">
      <c r="A26" s="69">
        <f>A18+1</f>
        <v>10</v>
      </c>
      <c r="B26" s="70" t="s">
        <v>0</v>
      </c>
      <c r="C26" s="71"/>
      <c r="D26" s="72">
        <f>SUM(D10:D25)</f>
        <v>128112774.20665604</v>
      </c>
      <c r="E26" s="72">
        <f>SUM(E10:E25)</f>
        <v>127661554.82238223</v>
      </c>
      <c r="F26" s="72">
        <f t="shared" si="1"/>
        <v>451219.38427381217</v>
      </c>
      <c r="G26" s="72">
        <f>SUM(G10:G25)</f>
        <v>223016187.61401927</v>
      </c>
      <c r="H26" s="73">
        <f>F26/G26</f>
        <v>2.0232584419152162E-3</v>
      </c>
      <c r="I26" s="74">
        <f>H26/H$26</f>
        <v>1</v>
      </c>
      <c r="J26" s="216"/>
      <c r="K26" s="60"/>
      <c r="L26" s="126"/>
      <c r="M26" s="72">
        <f>SUM(M10:M25)</f>
        <v>11526419.1</v>
      </c>
      <c r="N26" s="126"/>
      <c r="O26" s="16"/>
      <c r="P26" s="16"/>
      <c r="Q26" s="16"/>
    </row>
    <row r="27" spans="1:17" ht="13.5" thickTop="1" x14ac:dyDescent="0.2">
      <c r="A27" s="30"/>
      <c r="B27" s="14"/>
      <c r="C27" s="30"/>
      <c r="D27" s="76"/>
      <c r="E27" s="76"/>
      <c r="F27" s="68"/>
      <c r="G27" s="76"/>
      <c r="H27" s="77"/>
      <c r="I27" s="59"/>
      <c r="J27" s="59"/>
      <c r="K27" s="60"/>
      <c r="L27" s="75"/>
      <c r="M27" s="215">
        <f>M26-L4</f>
        <v>-95718.414173712954</v>
      </c>
      <c r="N27" s="75"/>
      <c r="O27" s="16"/>
      <c r="P27" s="16"/>
      <c r="Q27" s="16"/>
    </row>
    <row r="28" spans="1:17" ht="18.75" customHeight="1" x14ac:dyDescent="0.2">
      <c r="A28" s="30"/>
      <c r="B28" s="14"/>
      <c r="C28" s="30"/>
      <c r="D28" s="76"/>
      <c r="E28" s="76"/>
      <c r="F28" s="68"/>
      <c r="G28" s="76"/>
      <c r="H28" s="301" t="s">
        <v>1069</v>
      </c>
      <c r="I28" s="301"/>
      <c r="J28" s="217"/>
      <c r="K28" s="60"/>
      <c r="L28" s="75"/>
      <c r="M28" s="75"/>
      <c r="N28" s="75"/>
    </row>
    <row r="29" spans="1:17" x14ac:dyDescent="0.2">
      <c r="A29" s="30"/>
      <c r="B29" s="14"/>
      <c r="C29" s="30"/>
      <c r="F29" s="48"/>
      <c r="G29" s="49"/>
      <c r="H29" s="58" t="s">
        <v>906</v>
      </c>
      <c r="I29" s="58" t="s">
        <v>958</v>
      </c>
      <c r="J29" s="58"/>
      <c r="K29" s="50"/>
      <c r="L29" s="59"/>
      <c r="M29" s="59"/>
      <c r="N29" s="60"/>
    </row>
    <row r="30" spans="1:17" x14ac:dyDescent="0.2">
      <c r="A30" s="16"/>
      <c r="B30" s="16"/>
      <c r="C30" s="30"/>
      <c r="D30" s="58" t="s">
        <v>1045</v>
      </c>
      <c r="E30" s="58" t="s">
        <v>1045</v>
      </c>
      <c r="F30" s="14"/>
      <c r="G30" s="49"/>
      <c r="H30" s="24" t="s">
        <v>334</v>
      </c>
      <c r="I30" s="24" t="s">
        <v>334</v>
      </c>
      <c r="J30" s="24"/>
      <c r="K30" s="50"/>
      <c r="L30" s="59"/>
      <c r="N30" s="50"/>
    </row>
    <row r="31" spans="1:17" ht="13.5" thickBot="1" x14ac:dyDescent="0.25">
      <c r="A31" s="62" t="s">
        <v>964</v>
      </c>
      <c r="B31" s="63" t="s">
        <v>752</v>
      </c>
      <c r="C31" s="63" t="s">
        <v>869</v>
      </c>
      <c r="D31" s="64" t="s">
        <v>348</v>
      </c>
      <c r="E31" s="64" t="s">
        <v>951</v>
      </c>
      <c r="F31" s="14"/>
      <c r="G31" s="49"/>
      <c r="H31" s="64" t="s">
        <v>867</v>
      </c>
      <c r="I31" s="64" t="s">
        <v>867</v>
      </c>
      <c r="J31" s="53"/>
      <c r="K31" s="50"/>
      <c r="L31" s="59"/>
      <c r="N31" s="50"/>
    </row>
    <row r="32" spans="1:17" x14ac:dyDescent="0.2">
      <c r="A32" s="30"/>
      <c r="B32" s="14"/>
      <c r="C32" s="16"/>
      <c r="D32" s="133"/>
      <c r="F32" s="14"/>
      <c r="G32" s="49"/>
      <c r="H32" s="67"/>
      <c r="I32" s="48"/>
      <c r="J32" s="48"/>
      <c r="K32" s="50"/>
      <c r="N32" s="50"/>
    </row>
    <row r="33" spans="1:14" x14ac:dyDescent="0.2">
      <c r="A33" s="30">
        <f>A26+1</f>
        <v>11</v>
      </c>
      <c r="B33" s="14" t="str">
        <f>B10</f>
        <v>Residential, Farm and Non-Farm Service</v>
      </c>
      <c r="C33" s="30" t="str">
        <f>C10</f>
        <v xml:space="preserve">A </v>
      </c>
      <c r="D33" s="145">
        <f t="shared" ref="D33:D49" si="7">D10/D$26</f>
        <v>0.6586753069335709</v>
      </c>
      <c r="E33" s="145">
        <f>'Billing Det'!O8</f>
        <v>0.62731911365053017</v>
      </c>
      <c r="F33" s="14"/>
      <c r="G33" s="49"/>
      <c r="H33" s="67">
        <v>1.5195765346384936E-2</v>
      </c>
      <c r="I33" s="48">
        <v>0.30206659366500005</v>
      </c>
      <c r="J33" s="48"/>
      <c r="K33" s="50"/>
      <c r="N33" s="50"/>
    </row>
    <row r="34" spans="1:14" x14ac:dyDescent="0.2">
      <c r="A34" s="30">
        <f>A33+1</f>
        <v>12</v>
      </c>
      <c r="B34" s="14" t="str">
        <f t="shared" ref="B34:C34" si="8">B11</f>
        <v>Small Commercial Rate</v>
      </c>
      <c r="C34" s="30" t="str">
        <f t="shared" si="8"/>
        <v>B</v>
      </c>
      <c r="D34" s="145">
        <f t="shared" si="7"/>
        <v>6.6502585930420161E-2</v>
      </c>
      <c r="E34" s="145">
        <f>'Billing Det'!O9</f>
        <v>5.7257301510008123E-2</v>
      </c>
      <c r="F34" s="14"/>
      <c r="G34" s="49"/>
      <c r="H34" s="67">
        <v>0.16872055591312207</v>
      </c>
      <c r="I34" s="48">
        <v>3.3538846148388619</v>
      </c>
      <c r="J34" s="198"/>
      <c r="K34" s="50"/>
      <c r="N34" s="50"/>
    </row>
    <row r="35" spans="1:14" x14ac:dyDescent="0.2">
      <c r="A35" s="30">
        <f t="shared" ref="A35:A41" si="9">A34+1</f>
        <v>13</v>
      </c>
      <c r="B35" s="14" t="str">
        <f t="shared" ref="B35:C35" si="10">B12</f>
        <v>Large Power Rate (Excess of 50 kVA)</v>
      </c>
      <c r="C35" s="30" t="str">
        <f t="shared" si="10"/>
        <v>LP</v>
      </c>
      <c r="D35" s="145">
        <f t="shared" si="7"/>
        <v>0.13612936100301612</v>
      </c>
      <c r="E35" s="145">
        <f>'Billing Det'!O10</f>
        <v>0.14981699700497106</v>
      </c>
      <c r="F35" s="14"/>
      <c r="G35" s="49"/>
      <c r="H35" s="67">
        <v>0.24586817263526681</v>
      </c>
      <c r="I35" s="48">
        <v>4.8874511882510525</v>
      </c>
      <c r="J35" s="198"/>
      <c r="K35" s="50"/>
      <c r="N35" s="50"/>
    </row>
    <row r="36" spans="1:14" x14ac:dyDescent="0.2">
      <c r="A36" s="30">
        <f t="shared" si="9"/>
        <v>14</v>
      </c>
      <c r="B36" s="14" t="str">
        <f t="shared" ref="B36:C36" si="11">B13</f>
        <v>Large Power Rate (500 KW to 4,999 KW)</v>
      </c>
      <c r="C36" s="30" t="str">
        <f t="shared" si="11"/>
        <v>LP-1</v>
      </c>
      <c r="D36" s="145">
        <f t="shared" si="7"/>
        <v>6.6090582592899282E-3</v>
      </c>
      <c r="E36" s="145">
        <f>'Billing Det'!O11</f>
        <v>8.0486591753165283E-3</v>
      </c>
      <c r="F36" s="14"/>
      <c r="H36" s="67">
        <v>0.45957991773899476</v>
      </c>
      <c r="I36" s="48">
        <v>9.1356859693338954</v>
      </c>
      <c r="J36" s="198"/>
      <c r="N36" s="50"/>
    </row>
    <row r="37" spans="1:14" x14ac:dyDescent="0.2">
      <c r="A37" s="30">
        <f t="shared" si="9"/>
        <v>15</v>
      </c>
      <c r="B37" s="14" t="str">
        <f t="shared" ref="B37:C37" si="12">B14</f>
        <v>Large Power Rate (5,000 KW to 9,999 KW)</v>
      </c>
      <c r="C37" s="30" t="str">
        <f t="shared" si="12"/>
        <v>LP-2</v>
      </c>
      <c r="D37" s="145">
        <f t="shared" si="7"/>
        <v>3.9022368738502303E-2</v>
      </c>
      <c r="E37" s="145">
        <f>'Billing Det'!O12</f>
        <v>6.1781731283092937E-2</v>
      </c>
      <c r="F37" s="14"/>
      <c r="H37" s="67">
        <v>0.10522047353439534</v>
      </c>
      <c r="I37" s="48">
        <v>2.0916083724545262</v>
      </c>
      <c r="J37" s="198"/>
      <c r="N37" s="50"/>
    </row>
    <row r="38" spans="1:14" x14ac:dyDescent="0.2">
      <c r="A38" s="30">
        <f t="shared" si="9"/>
        <v>16</v>
      </c>
      <c r="B38" s="14" t="str">
        <f t="shared" ref="B38:C38" si="13">B15</f>
        <v>Large Power Rate (500 KW to 2,999 KW)</v>
      </c>
      <c r="C38" s="30" t="str">
        <f t="shared" si="13"/>
        <v>LP-3</v>
      </c>
      <c r="D38" s="145">
        <f t="shared" si="7"/>
        <v>4.1675895666700276E-2</v>
      </c>
      <c r="E38" s="145">
        <f>'Billing Det'!O13</f>
        <v>6.6623871685191835E-2</v>
      </c>
      <c r="F38" s="14"/>
      <c r="H38" s="67">
        <v>9.9546441096529797E-2</v>
      </c>
      <c r="I38" s="48">
        <v>1.9788180251582972</v>
      </c>
      <c r="J38" s="198"/>
    </row>
    <row r="39" spans="1:14" x14ac:dyDescent="0.2">
      <c r="A39" s="30">
        <f t="shared" si="9"/>
        <v>17</v>
      </c>
      <c r="B39" s="14" t="str">
        <f t="shared" ref="B39:C39" si="14">B16</f>
        <v>Optional Power Service</v>
      </c>
      <c r="C39" s="30" t="str">
        <f t="shared" si="14"/>
        <v>OPS</v>
      </c>
      <c r="D39" s="145">
        <f t="shared" si="7"/>
        <v>1.0747414647806463E-2</v>
      </c>
      <c r="E39" s="145">
        <f>'Billing Det'!O14</f>
        <v>9.761918106150928E-3</v>
      </c>
      <c r="F39" s="14"/>
      <c r="H39" s="67">
        <v>0.32554284319169824</v>
      </c>
      <c r="I39" s="48">
        <v>6.4712513975697528</v>
      </c>
      <c r="J39" s="198"/>
    </row>
    <row r="40" spans="1:14" x14ac:dyDescent="0.2">
      <c r="A40" s="30">
        <f t="shared" si="9"/>
        <v>18</v>
      </c>
      <c r="B40" s="14" t="str">
        <f t="shared" ref="B40:C40" si="15">B17</f>
        <v>All Electric Schools</v>
      </c>
      <c r="C40" s="30" t="str">
        <f t="shared" si="15"/>
        <v>AES</v>
      </c>
      <c r="D40" s="145">
        <f t="shared" si="7"/>
        <v>7.0368375456404978E-3</v>
      </c>
      <c r="E40" s="145">
        <f>'Billing Det'!O15</f>
        <v>8.562477029911305E-3</v>
      </c>
      <c r="F40" s="14"/>
      <c r="H40" s="67">
        <v>9.5284349467399665E-2</v>
      </c>
      <c r="I40" s="48">
        <v>1.8940947176477789</v>
      </c>
      <c r="J40" s="198"/>
    </row>
    <row r="41" spans="1:14" x14ac:dyDescent="0.2">
      <c r="A41" s="30">
        <f t="shared" si="9"/>
        <v>19</v>
      </c>
      <c r="B41" s="14" t="str">
        <f t="shared" ref="B41:C41" si="16">B18</f>
        <v>Lighting</v>
      </c>
      <c r="C41" s="30" t="str">
        <f t="shared" si="16"/>
        <v>Lights</v>
      </c>
      <c r="D41" s="145">
        <f t="shared" si="7"/>
        <v>3.3601171275053417E-2</v>
      </c>
      <c r="E41" s="198">
        <f>'Billing Det'!O16</f>
        <v>1.0827930554827061E-2</v>
      </c>
      <c r="F41" s="14"/>
      <c r="H41" s="67">
        <v>0.17409185397553709</v>
      </c>
      <c r="I41" s="48">
        <v>3.4606571052194868</v>
      </c>
      <c r="J41" s="198"/>
    </row>
    <row r="42" spans="1:14" hidden="1" x14ac:dyDescent="0.2">
      <c r="A42" s="30"/>
      <c r="B42" s="14">
        <f t="shared" ref="B42:C42" si="17">B19</f>
        <v>0</v>
      </c>
      <c r="C42" s="30">
        <f t="shared" si="17"/>
        <v>0</v>
      </c>
      <c r="D42" s="196">
        <f t="shared" si="7"/>
        <v>0</v>
      </c>
      <c r="E42" s="198">
        <f>'Billing Det'!O17</f>
        <v>0</v>
      </c>
      <c r="F42" s="14"/>
      <c r="H42" s="145" t="s">
        <v>1082</v>
      </c>
      <c r="I42" s="79" t="s">
        <v>1082</v>
      </c>
      <c r="J42" s="79"/>
    </row>
    <row r="43" spans="1:14" hidden="1" x14ac:dyDescent="0.2">
      <c r="A43" s="30"/>
      <c r="B43" s="14">
        <f t="shared" ref="B43:C43" si="18">B20</f>
        <v>0</v>
      </c>
      <c r="C43" s="30">
        <f t="shared" si="18"/>
        <v>0</v>
      </c>
      <c r="D43" s="196">
        <f t="shared" si="7"/>
        <v>0</v>
      </c>
      <c r="E43" s="198">
        <f>'Billing Det'!O18</f>
        <v>0</v>
      </c>
      <c r="F43" s="14"/>
    </row>
    <row r="44" spans="1:14" hidden="1" x14ac:dyDescent="0.2">
      <c r="A44" s="30"/>
      <c r="B44" s="14">
        <f t="shared" ref="B44:C44" si="19">B21</f>
        <v>0</v>
      </c>
      <c r="C44" s="30">
        <f t="shared" si="19"/>
        <v>0</v>
      </c>
      <c r="D44" s="196">
        <f t="shared" si="7"/>
        <v>0</v>
      </c>
      <c r="E44" s="198">
        <f>'Billing Det'!O19</f>
        <v>0</v>
      </c>
      <c r="F44" s="14"/>
    </row>
    <row r="45" spans="1:14" hidden="1" x14ac:dyDescent="0.2">
      <c r="A45" s="30"/>
      <c r="B45" s="14"/>
      <c r="D45" s="196">
        <f t="shared" si="7"/>
        <v>0</v>
      </c>
      <c r="E45" s="198">
        <f>'Billing Det'!O20</f>
        <v>0</v>
      </c>
      <c r="F45" s="14"/>
    </row>
    <row r="46" spans="1:14" hidden="1" x14ac:dyDescent="0.2">
      <c r="A46" s="30"/>
      <c r="B46" s="14"/>
      <c r="D46" s="196">
        <f t="shared" si="7"/>
        <v>0</v>
      </c>
      <c r="E46" s="198">
        <f>'Billing Det'!O21</f>
        <v>0</v>
      </c>
      <c r="F46" s="14"/>
    </row>
    <row r="47" spans="1:14" hidden="1" x14ac:dyDescent="0.2">
      <c r="A47" s="30"/>
      <c r="B47" s="14"/>
      <c r="D47" s="196">
        <f t="shared" si="7"/>
        <v>0</v>
      </c>
      <c r="E47" s="198">
        <f>'Billing Det'!O22</f>
        <v>0</v>
      </c>
      <c r="F47" s="14"/>
    </row>
    <row r="48" spans="1:14" hidden="1" x14ac:dyDescent="0.2">
      <c r="A48" s="30"/>
      <c r="B48" s="14"/>
      <c r="D48" s="196">
        <f t="shared" si="7"/>
        <v>0</v>
      </c>
      <c r="E48" s="198">
        <f>'Billing Det'!O23</f>
        <v>0</v>
      </c>
      <c r="F48" s="14"/>
    </row>
    <row r="49" spans="1:10" ht="24" customHeight="1" thickBot="1" x14ac:dyDescent="0.25">
      <c r="A49" s="69">
        <f>A41+1</f>
        <v>20</v>
      </c>
      <c r="B49" s="70" t="s">
        <v>0</v>
      </c>
      <c r="C49" s="70"/>
      <c r="D49" s="197">
        <f t="shared" si="7"/>
        <v>1</v>
      </c>
      <c r="E49" s="197">
        <f>'Billing Det'!O25</f>
        <v>1</v>
      </c>
      <c r="F49" s="14"/>
      <c r="H49" s="73">
        <v>5.0306010876652742E-2</v>
      </c>
      <c r="I49" s="74">
        <v>1</v>
      </c>
      <c r="J49" s="216"/>
    </row>
    <row r="50" spans="1:10" ht="13.5" thickTop="1" x14ac:dyDescent="0.2">
      <c r="F50" s="14"/>
    </row>
  </sheetData>
  <mergeCells count="1">
    <mergeCell ref="H28:I28"/>
  </mergeCells>
  <phoneticPr fontId="0" type="noConversion"/>
  <conditionalFormatting sqref="H10:H18">
    <cfRule type="cellIs" dxfId="14" priority="1" operator="lessThan">
      <formula>$H$26</formula>
    </cfRule>
    <cfRule type="cellIs" dxfId="13" priority="2" operator="greaterThan">
      <formula>$H$26</formula>
    </cfRule>
  </conditionalFormatting>
  <conditionalFormatting sqref="H21:H22">
    <cfRule type="cellIs" dxfId="12" priority="67" stopIfTrue="1" operator="lessThan">
      <formula>$H$26</formula>
    </cfRule>
    <cfRule type="cellIs" dxfId="11" priority="68" stopIfTrue="1" operator="greaterThan">
      <formula>$H$26</formula>
    </cfRule>
  </conditionalFormatting>
  <conditionalFormatting sqref="H32">
    <cfRule type="cellIs" dxfId="10" priority="37" operator="greaterThan">
      <formula>$H$26</formula>
    </cfRule>
    <cfRule type="cellIs" dxfId="9" priority="38" operator="lessThan">
      <formula>$H$26</formula>
    </cfRule>
  </conditionalFormatting>
  <conditionalFormatting sqref="I21:J22">
    <cfRule type="cellIs" dxfId="8" priority="59" stopIfTrue="1" operator="lessThan">
      <formula>$I$26</formula>
    </cfRule>
    <cfRule type="cellIs" dxfId="7" priority="60" stopIfTrue="1" operator="greaterThan">
      <formula>$I$26</formula>
    </cfRule>
  </conditionalFormatting>
  <conditionalFormatting sqref="I32:J32">
    <cfRule type="cellIs" dxfId="6" priority="35" operator="greaterThan">
      <formula>$I$26</formula>
    </cfRule>
    <cfRule type="cellIs" dxfId="5" priority="36" operator="lessThan">
      <formula>$I$26</formula>
    </cfRule>
  </conditionalFormatting>
  <pageMargins left="0.75" right="0.75" top="1" bottom="1" header="0.5" footer="0.5"/>
  <pageSetup scale="94" orientation="landscape" r:id="rId1"/>
  <headerFooter alignWithMargins="0">
    <oddFooter>&amp;RExhibit JW-3
Page 1 of 2</oddFooter>
  </headerFooter>
  <ignoredErrors>
    <ignoredError sqref="F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3"/>
  <sheetViews>
    <sheetView view="pageBreakPreview" zoomScaleNormal="100" zoomScaleSheetLayoutView="100" workbookViewId="0">
      <selection activeCell="K28" sqref="K28"/>
    </sheetView>
  </sheetViews>
  <sheetFormatPr defaultColWidth="9.140625" defaultRowHeight="12.75" x14ac:dyDescent="0.2"/>
  <cols>
    <col min="1" max="1" width="4.42578125" style="14" customWidth="1"/>
    <col min="2" max="2" width="36.85546875" style="30" bestFit="1" customWidth="1"/>
    <col min="3" max="3" width="7.28515625" style="30" customWidth="1"/>
    <col min="4" max="4" width="3.42578125" style="48" customWidth="1"/>
    <col min="5" max="6" width="10.7109375" style="48" bestFit="1" customWidth="1"/>
    <col min="7" max="7" width="11" style="49" customWidth="1"/>
    <col min="8" max="8" width="9.140625" style="14"/>
    <col min="9" max="9" width="6.7109375" style="14" bestFit="1" customWidth="1"/>
    <col min="10" max="16384" width="9.140625" style="14"/>
  </cols>
  <sheetData>
    <row r="1" spans="1:9" x14ac:dyDescent="0.2">
      <c r="A1" s="13" t="str">
        <f>'Summary of Returns'!A1</f>
        <v>SOUTH KENTUCKY R.E.C.C.</v>
      </c>
    </row>
    <row r="2" spans="1:9" x14ac:dyDescent="0.2">
      <c r="A2" s="13" t="s">
        <v>973</v>
      </c>
      <c r="D2" s="51"/>
      <c r="E2" s="51"/>
      <c r="F2" s="51"/>
      <c r="G2" s="51"/>
    </row>
    <row r="3" spans="1:9" x14ac:dyDescent="0.2">
      <c r="A3" s="13"/>
      <c r="D3" s="13"/>
      <c r="E3" s="53"/>
      <c r="F3" s="53"/>
      <c r="G3" s="54"/>
    </row>
    <row r="4" spans="1:9" x14ac:dyDescent="0.2">
      <c r="E4" s="302" t="s">
        <v>1058</v>
      </c>
      <c r="F4" s="303"/>
      <c r="G4" s="304"/>
    </row>
    <row r="5" spans="1:9" s="16" customFormat="1" x14ac:dyDescent="0.2">
      <c r="I5" s="60"/>
    </row>
    <row r="6" spans="1:9" s="16" customFormat="1" x14ac:dyDescent="0.2">
      <c r="A6" s="30"/>
      <c r="B6" s="30"/>
      <c r="C6" s="30"/>
      <c r="D6" s="14"/>
      <c r="E6" s="78" t="s">
        <v>723</v>
      </c>
      <c r="F6" s="78" t="s">
        <v>11</v>
      </c>
      <c r="G6" s="78" t="s">
        <v>10</v>
      </c>
      <c r="I6" s="60"/>
    </row>
    <row r="7" spans="1:9" s="16" customFormat="1" ht="13.5" thickBot="1" x14ac:dyDescent="0.25">
      <c r="A7" s="30" t="s">
        <v>964</v>
      </c>
      <c r="B7" s="169" t="s">
        <v>752</v>
      </c>
      <c r="C7" s="169" t="s">
        <v>869</v>
      </c>
      <c r="D7" s="48"/>
      <c r="E7" s="170" t="s">
        <v>970</v>
      </c>
      <c r="F7" s="170" t="s">
        <v>971</v>
      </c>
      <c r="G7" s="170" t="s">
        <v>972</v>
      </c>
      <c r="H7" s="60"/>
      <c r="I7" s="60"/>
    </row>
    <row r="8" spans="1:9" hidden="1" x14ac:dyDescent="0.2">
      <c r="A8" s="30"/>
      <c r="B8" s="14"/>
      <c r="D8" s="14"/>
      <c r="G8" s="14"/>
      <c r="H8" s="60"/>
      <c r="I8" s="60"/>
    </row>
    <row r="9" spans="1:9" x14ac:dyDescent="0.2">
      <c r="A9" s="30">
        <v>1</v>
      </c>
      <c r="B9" s="14" t="str">
        <f>'Summary of Returns'!B10</f>
        <v>Residential, Farm and Non-Farm Service</v>
      </c>
      <c r="C9" s="30" t="str">
        <f>'Summary of Returns'!C10</f>
        <v xml:space="preserve">A </v>
      </c>
      <c r="E9" s="167">
        <f>'Alloc &amp; Returns'!F651</f>
        <v>30.905764444188364</v>
      </c>
      <c r="F9" s="168">
        <f>'Alloc &amp; Returns'!F652</f>
        <v>0.10016068657557985</v>
      </c>
      <c r="G9" s="167">
        <f>'Alloc &amp; Returns'!F653</f>
        <v>0</v>
      </c>
      <c r="H9" s="166"/>
      <c r="I9" s="60"/>
    </row>
    <row r="10" spans="1:9" x14ac:dyDescent="0.2">
      <c r="A10" s="30">
        <v>2</v>
      </c>
      <c r="B10" s="14" t="str">
        <f>'Summary of Returns'!B11</f>
        <v>Small Commercial Rate</v>
      </c>
      <c r="C10" s="30" t="str">
        <f>'Summary of Returns'!C11</f>
        <v>B</v>
      </c>
      <c r="D10" s="13"/>
      <c r="E10" s="167">
        <f>'Alloc &amp; Returns'!G651</f>
        <v>43.21230410122584</v>
      </c>
      <c r="F10" s="168">
        <f>'Alloc &amp; Returns'!G652</f>
        <v>5.8219909077516563E-2</v>
      </c>
      <c r="G10" s="167">
        <f>'Alloc &amp; Returns'!G653</f>
        <v>0</v>
      </c>
      <c r="H10" s="166"/>
      <c r="I10" s="60"/>
    </row>
    <row r="11" spans="1:9" x14ac:dyDescent="0.2">
      <c r="A11" s="30">
        <v>3</v>
      </c>
      <c r="B11" s="14" t="str">
        <f>'Summary of Returns'!B12</f>
        <v>Large Power Rate (Excess of 50 kVA)</v>
      </c>
      <c r="C11" s="30" t="str">
        <f>'Summary of Returns'!C12</f>
        <v>LP</v>
      </c>
      <c r="E11" s="167">
        <f>'Alloc &amp; Returns'!H651</f>
        <v>72.127524297289824</v>
      </c>
      <c r="F11" s="168">
        <f>'Alloc &amp; Returns'!H652</f>
        <v>5.332751622254589E-2</v>
      </c>
      <c r="G11" s="167">
        <f>'Alloc &amp; Returns'!H653</f>
        <v>8.1084331346308716</v>
      </c>
      <c r="H11" s="166"/>
      <c r="I11" s="60"/>
    </row>
    <row r="12" spans="1:9" x14ac:dyDescent="0.2">
      <c r="A12" s="30">
        <v>4</v>
      </c>
      <c r="B12" s="14" t="str">
        <f>'Summary of Returns'!B13</f>
        <v>Large Power Rate (500 KW to 4,999 KW)</v>
      </c>
      <c r="C12" s="30" t="str">
        <f>'Summary of Returns'!C13</f>
        <v>LP-1</v>
      </c>
      <c r="D12" s="13"/>
      <c r="E12" s="80">
        <f>'Alloc &amp; Returns'!I651</f>
        <v>246.85500717464851</v>
      </c>
      <c r="F12" s="168">
        <f>'Alloc &amp; Returns'!I652</f>
        <v>4.7255945010913625E-2</v>
      </c>
      <c r="G12" s="167">
        <f>'Alloc &amp; Returns'!I653</f>
        <v>11.180233595346458</v>
      </c>
      <c r="H12" s="166"/>
      <c r="I12" s="60"/>
    </row>
    <row r="13" spans="1:9" x14ac:dyDescent="0.2">
      <c r="A13" s="30">
        <v>5</v>
      </c>
      <c r="B13" s="14" t="str">
        <f>'Summary of Returns'!B14</f>
        <v>Large Power Rate (5,000 KW to 9,999 KW)</v>
      </c>
      <c r="C13" s="30" t="str">
        <f>'Summary of Returns'!C14</f>
        <v>LP-2</v>
      </c>
      <c r="E13" s="167">
        <f>'Alloc &amp; Returns'!J651</f>
        <v>390.60400766350159</v>
      </c>
      <c r="F13" s="168">
        <f>'Alloc &amp; Returns'!J652</f>
        <v>3.7525596398148481E-2</v>
      </c>
      <c r="G13" s="167">
        <f>'Alloc &amp; Returns'!J653</f>
        <v>11.513204952973535</v>
      </c>
      <c r="H13" s="166"/>
      <c r="I13" s="60"/>
    </row>
    <row r="14" spans="1:9" x14ac:dyDescent="0.2">
      <c r="A14" s="30">
        <v>6</v>
      </c>
      <c r="B14" s="14" t="str">
        <f>'Summary of Returns'!B15</f>
        <v>Large Power Rate (500 KW to 2,999 KW)</v>
      </c>
      <c r="C14" s="30" t="str">
        <f>'Summary of Returns'!C15</f>
        <v>LP-3</v>
      </c>
      <c r="D14" s="13"/>
      <c r="E14" s="167">
        <f>'Alloc &amp; Returns'!K651</f>
        <v>243.00676622185196</v>
      </c>
      <c r="F14" s="168">
        <f>'Alloc &amp; Returns'!K652</f>
        <v>3.7914400241850318E-2</v>
      </c>
      <c r="G14" s="167">
        <f>'Alloc &amp; Returns'!K653</f>
        <v>10.985606570560929</v>
      </c>
      <c r="H14" s="166"/>
      <c r="I14" s="60"/>
    </row>
    <row r="15" spans="1:9" x14ac:dyDescent="0.2">
      <c r="A15" s="30">
        <v>7</v>
      </c>
      <c r="B15" s="14" t="str">
        <f>'Summary of Returns'!B16</f>
        <v>Optional Power Service</v>
      </c>
      <c r="C15" s="30" t="str">
        <f>'Summary of Returns'!C16</f>
        <v>OPS</v>
      </c>
      <c r="E15" s="167">
        <f>'Alloc &amp; Returns'!L651</f>
        <v>39.218137383796346</v>
      </c>
      <c r="F15" s="168">
        <f>'Alloc &amp; Returns'!L652</f>
        <v>7.9503295637364066E-2</v>
      </c>
      <c r="G15" s="167">
        <f>'Alloc &amp; Returns'!L653</f>
        <v>0</v>
      </c>
      <c r="H15" s="166"/>
      <c r="I15" s="60"/>
    </row>
    <row r="16" spans="1:9" x14ac:dyDescent="0.2">
      <c r="A16" s="30">
        <v>8</v>
      </c>
      <c r="B16" s="14" t="str">
        <f>'Summary of Returns'!B17</f>
        <v>All Electric Schools</v>
      </c>
      <c r="C16" s="30" t="str">
        <f>'Summary of Returns'!C17</f>
        <v>AES</v>
      </c>
      <c r="E16" s="167">
        <f>'Alloc &amp; Returns'!M651</f>
        <v>73.182463631793183</v>
      </c>
      <c r="F16" s="168">
        <f>'Alloc &amp; Returns'!M652</f>
        <v>7.9961814560019315E-2</v>
      </c>
      <c r="G16" s="167">
        <f>'Alloc &amp; Returns'!M653</f>
        <v>0</v>
      </c>
      <c r="H16" s="166"/>
      <c r="I16" s="60"/>
    </row>
    <row r="17" spans="1:9" ht="15" customHeight="1" x14ac:dyDescent="0.2">
      <c r="A17" s="30"/>
      <c r="B17" s="14"/>
      <c r="E17" s="167"/>
      <c r="F17" s="168"/>
      <c r="G17" s="167"/>
      <c r="H17" s="48"/>
      <c r="I17" s="60"/>
    </row>
    <row r="18" spans="1:9" ht="15" customHeight="1" x14ac:dyDescent="0.2">
      <c r="A18" s="30"/>
      <c r="B18" s="14"/>
      <c r="D18" s="13"/>
      <c r="E18" s="167"/>
      <c r="F18" s="168"/>
      <c r="G18" s="167"/>
      <c r="H18" s="48"/>
      <c r="I18" s="60"/>
    </row>
    <row r="19" spans="1:9" ht="15" customHeight="1" x14ac:dyDescent="0.2">
      <c r="A19" s="30"/>
      <c r="B19" s="14"/>
      <c r="C19" s="14"/>
      <c r="G19" s="57"/>
      <c r="H19" s="60"/>
      <c r="I19" s="60"/>
    </row>
    <row r="20" spans="1:9" ht="15" customHeight="1" x14ac:dyDescent="0.2">
      <c r="A20" s="30"/>
      <c r="B20" s="14"/>
      <c r="C20" s="14"/>
      <c r="D20" s="13"/>
      <c r="E20" s="53"/>
      <c r="F20" s="53"/>
      <c r="G20" s="54"/>
      <c r="H20" s="60"/>
      <c r="I20" s="60"/>
    </row>
    <row r="21" spans="1:9" ht="15" customHeight="1" x14ac:dyDescent="0.2">
      <c r="A21" s="30"/>
      <c r="B21" s="14"/>
      <c r="C21" s="14"/>
      <c r="G21" s="57"/>
      <c r="H21" s="60"/>
      <c r="I21" s="60"/>
    </row>
    <row r="22" spans="1:9" ht="15" customHeight="1" x14ac:dyDescent="0.2">
      <c r="A22" s="30"/>
      <c r="B22" s="14"/>
      <c r="C22" s="14"/>
      <c r="D22" s="13"/>
      <c r="E22" s="53"/>
      <c r="F22" s="53"/>
      <c r="G22" s="54"/>
      <c r="H22" s="60"/>
      <c r="I22" s="60"/>
    </row>
    <row r="23" spans="1:9" ht="15" customHeight="1" x14ac:dyDescent="0.2">
      <c r="A23" s="30"/>
      <c r="B23" s="14"/>
      <c r="C23" s="14"/>
      <c r="G23" s="57"/>
      <c r="H23" s="60"/>
      <c r="I23" s="60"/>
    </row>
    <row r="24" spans="1:9" x14ac:dyDescent="0.2">
      <c r="A24" s="30"/>
      <c r="B24" s="14"/>
      <c r="C24" s="14"/>
      <c r="G24" s="57"/>
      <c r="H24" s="60"/>
      <c r="I24" s="60"/>
    </row>
    <row r="25" spans="1:9" s="75" customFormat="1" ht="26.25" customHeight="1" x14ac:dyDescent="0.2">
      <c r="A25" s="69"/>
      <c r="B25" s="14"/>
      <c r="C25" s="14"/>
      <c r="D25" s="48"/>
      <c r="E25" s="48"/>
      <c r="F25" s="48"/>
      <c r="G25" s="57"/>
      <c r="H25" s="60"/>
      <c r="I25" s="60"/>
    </row>
    <row r="26" spans="1:9" x14ac:dyDescent="0.2">
      <c r="A26" s="69"/>
      <c r="B26" s="14"/>
      <c r="C26" s="14"/>
      <c r="G26" s="57"/>
      <c r="H26" s="60"/>
      <c r="I26" s="60"/>
    </row>
    <row r="27" spans="1:9" x14ac:dyDescent="0.2">
      <c r="A27" s="69"/>
      <c r="B27" s="14"/>
      <c r="C27" s="14"/>
      <c r="G27" s="57"/>
      <c r="H27" s="60"/>
      <c r="I27" s="60"/>
    </row>
    <row r="28" spans="1:9" x14ac:dyDescent="0.2">
      <c r="A28" s="69"/>
      <c r="B28" s="14"/>
      <c r="C28" s="14"/>
      <c r="G28" s="57"/>
      <c r="H28" s="60"/>
      <c r="I28" s="60"/>
    </row>
    <row r="29" spans="1:9" x14ac:dyDescent="0.2">
      <c r="A29" s="69"/>
      <c r="B29" s="75"/>
      <c r="C29" s="14"/>
      <c r="G29" s="57"/>
      <c r="H29" s="60"/>
      <c r="I29" s="60"/>
    </row>
    <row r="30" spans="1:9" x14ac:dyDescent="0.2">
      <c r="A30" s="69"/>
      <c r="B30" s="75"/>
      <c r="C30" s="14"/>
      <c r="G30" s="57"/>
      <c r="H30" s="60"/>
      <c r="I30" s="60"/>
    </row>
    <row r="31" spans="1:9" x14ac:dyDescent="0.2">
      <c r="A31" s="69"/>
      <c r="B31" s="75"/>
      <c r="C31" s="14"/>
      <c r="G31" s="57"/>
      <c r="H31" s="60"/>
      <c r="I31" s="60"/>
    </row>
    <row r="32" spans="1:9" x14ac:dyDescent="0.2">
      <c r="A32" s="69"/>
      <c r="B32" s="75"/>
      <c r="C32" s="14"/>
      <c r="G32" s="57"/>
      <c r="H32" s="60"/>
      <c r="I32" s="60"/>
    </row>
    <row r="33" spans="1:9" x14ac:dyDescent="0.2">
      <c r="A33" s="69"/>
      <c r="B33" s="75"/>
      <c r="C33" s="14"/>
      <c r="E33" s="75"/>
      <c r="G33" s="75"/>
      <c r="H33" s="50"/>
      <c r="I33" s="50"/>
    </row>
    <row r="34" spans="1:9" x14ac:dyDescent="0.2">
      <c r="A34" s="69"/>
      <c r="B34" s="75"/>
      <c r="C34" s="14"/>
      <c r="E34" s="75"/>
      <c r="G34" s="75"/>
      <c r="H34" s="50"/>
      <c r="I34" s="50"/>
    </row>
    <row r="35" spans="1:9" x14ac:dyDescent="0.2">
      <c r="A35" s="69"/>
      <c r="B35" s="75"/>
      <c r="C35" s="14"/>
      <c r="E35" s="75"/>
      <c r="G35" s="75"/>
      <c r="H35" s="50"/>
      <c r="I35" s="50"/>
    </row>
    <row r="36" spans="1:9" x14ac:dyDescent="0.2">
      <c r="A36" s="69"/>
      <c r="B36" s="75"/>
      <c r="C36" s="14"/>
      <c r="E36" s="75"/>
      <c r="G36" s="75"/>
    </row>
    <row r="37" spans="1:9" x14ac:dyDescent="0.2">
      <c r="A37" s="69"/>
      <c r="B37" s="75"/>
      <c r="C37" s="14"/>
      <c r="E37" s="75"/>
      <c r="G37" s="75"/>
    </row>
    <row r="38" spans="1:9" x14ac:dyDescent="0.2">
      <c r="A38" s="69"/>
      <c r="B38" s="75"/>
      <c r="C38" s="14"/>
      <c r="E38" s="75"/>
      <c r="G38" s="75"/>
    </row>
    <row r="39" spans="1:9" x14ac:dyDescent="0.2">
      <c r="A39" s="69"/>
      <c r="B39" s="75"/>
      <c r="C39" s="14"/>
      <c r="E39" s="75"/>
      <c r="G39" s="75"/>
    </row>
    <row r="40" spans="1:9" x14ac:dyDescent="0.2">
      <c r="A40" s="69"/>
      <c r="B40" s="75"/>
      <c r="C40" s="14"/>
      <c r="E40" s="75"/>
      <c r="G40" s="75"/>
    </row>
    <row r="41" spans="1:9" x14ac:dyDescent="0.2">
      <c r="A41" s="69"/>
      <c r="B41" s="75"/>
      <c r="C41" s="14"/>
      <c r="E41" s="75"/>
      <c r="G41" s="75"/>
    </row>
    <row r="42" spans="1:9" x14ac:dyDescent="0.2">
      <c r="A42" s="69"/>
      <c r="B42" s="75"/>
      <c r="C42" s="14"/>
      <c r="E42" s="75"/>
      <c r="G42" s="75"/>
    </row>
    <row r="43" spans="1:9" x14ac:dyDescent="0.2">
      <c r="A43" s="69"/>
      <c r="B43" s="75"/>
      <c r="C43" s="75"/>
      <c r="E43" s="75"/>
      <c r="G43" s="75"/>
    </row>
  </sheetData>
  <mergeCells count="1">
    <mergeCell ref="E4:G4"/>
  </mergeCells>
  <pageMargins left="0.75" right="0.75" top="1" bottom="1" header="0.5" footer="0.5"/>
  <pageSetup orientation="landscape" r:id="rId1"/>
  <headerFooter alignWithMargins="0">
    <oddFooter>&amp;RExhibit JW-3
Page 2 of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05"/>
  <sheetViews>
    <sheetView view="pageBreakPreview" zoomScale="70" zoomScaleNormal="75" zoomScaleSheetLayoutView="70" workbookViewId="0">
      <pane xSplit="6" ySplit="3" topLeftCell="G448" activePane="bottomRight" state="frozen"/>
      <selection activeCell="I42" sqref="I42"/>
      <selection pane="topRight" activeCell="I42" sqref="I42"/>
      <selection pane="bottomLeft" activeCell="I42" sqref="I42"/>
      <selection pane="bottomRight" activeCell="K242" sqref="K242"/>
    </sheetView>
  </sheetViews>
  <sheetFormatPr defaultColWidth="9.140625" defaultRowHeight="12.75" x14ac:dyDescent="0.2"/>
  <cols>
    <col min="1" max="1" width="7.7109375" style="14" customWidth="1"/>
    <col min="2" max="2" width="47.5703125" style="14" customWidth="1"/>
    <col min="3" max="3" width="12.85546875" style="14" customWidth="1"/>
    <col min="4" max="4" width="14" style="14" customWidth="1"/>
    <col min="5" max="5" width="2.7109375" style="14" customWidth="1"/>
    <col min="6" max="6" width="18.85546875" style="232" customWidth="1"/>
    <col min="7" max="7" width="2.28515625" style="14" customWidth="1"/>
    <col min="8" max="8" width="17.140625" style="14" customWidth="1"/>
    <col min="9" max="9" width="14.85546875" style="14" customWidth="1"/>
    <col min="10" max="10" width="2.7109375" style="14" customWidth="1"/>
    <col min="11" max="11" width="16.28515625" style="14" customWidth="1"/>
    <col min="12" max="12" width="2.7109375" style="14" customWidth="1"/>
    <col min="13" max="13" width="24.7109375" style="14" bestFit="1" customWidth="1"/>
    <col min="14" max="14" width="3.85546875" style="14" customWidth="1"/>
    <col min="15" max="15" width="16.28515625" style="14" customWidth="1"/>
    <col min="16" max="16" width="15.5703125" style="14" customWidth="1"/>
    <col min="17" max="17" width="1.85546875" style="82" customWidth="1"/>
    <col min="18" max="18" width="13.7109375" style="14" customWidth="1"/>
    <col min="19" max="19" width="15.140625" style="14" customWidth="1"/>
    <col min="20" max="20" width="1.85546875" style="14" customWidth="1"/>
    <col min="21" max="21" width="14.28515625" style="14" bestFit="1" customWidth="1"/>
    <col min="22" max="22" width="1.85546875" style="14" customWidth="1"/>
    <col min="23" max="23" width="13.85546875" style="14" customWidth="1"/>
    <col min="24" max="24" width="1.85546875" style="14" customWidth="1"/>
    <col min="25" max="25" width="15" style="14" customWidth="1"/>
    <col min="26" max="26" width="1.85546875" style="14" customWidth="1"/>
    <col min="27" max="27" width="14.140625" style="14" customWidth="1"/>
    <col min="28" max="28" width="16.140625" style="14" customWidth="1"/>
    <col min="29" max="29" width="14.7109375" style="14" customWidth="1"/>
    <col min="30" max="30" width="12.85546875" style="14" customWidth="1"/>
    <col min="31" max="31" width="9.140625" style="14"/>
    <col min="32" max="32" width="18.140625" style="14" customWidth="1"/>
    <col min="33" max="16384" width="9.140625" style="14"/>
  </cols>
  <sheetData>
    <row r="1" spans="1:30" x14ac:dyDescent="0.2">
      <c r="A1" s="82"/>
      <c r="B1" s="82"/>
      <c r="C1" s="82"/>
      <c r="D1" s="82"/>
      <c r="E1" s="82"/>
      <c r="F1" s="227"/>
      <c r="G1" s="82"/>
      <c r="H1" s="82"/>
      <c r="I1" s="82"/>
      <c r="J1" s="82"/>
      <c r="K1" s="82"/>
      <c r="L1" s="82"/>
      <c r="M1" s="82"/>
      <c r="N1" s="82"/>
      <c r="O1" s="82"/>
      <c r="P1" s="82"/>
      <c r="AC1" s="30" t="str">
        <f>IF(COUNTIF(AC4:AC487,"err"),"err","ok")</f>
        <v>ok</v>
      </c>
    </row>
    <row r="2" spans="1:30" ht="48" customHeight="1" thickBot="1" x14ac:dyDescent="0.25">
      <c r="A2" s="13"/>
      <c r="B2" s="13"/>
      <c r="C2" s="24"/>
      <c r="D2" s="15" t="s">
        <v>208</v>
      </c>
      <c r="E2" s="24"/>
      <c r="F2" s="228" t="s">
        <v>0</v>
      </c>
      <c r="G2" s="24"/>
      <c r="H2" s="83" t="s">
        <v>907</v>
      </c>
      <c r="I2" s="83"/>
      <c r="K2" s="84" t="s">
        <v>350</v>
      </c>
      <c r="L2" s="13"/>
      <c r="M2" s="84" t="s">
        <v>1</v>
      </c>
      <c r="N2" s="85"/>
      <c r="O2" s="83" t="s">
        <v>356</v>
      </c>
      <c r="P2" s="83"/>
      <c r="Q2" s="13"/>
      <c r="R2" s="83" t="s">
        <v>3</v>
      </c>
      <c r="S2" s="83"/>
      <c r="T2" s="13"/>
      <c r="U2" s="86" t="s">
        <v>4</v>
      </c>
      <c r="V2" s="24"/>
      <c r="W2" s="84" t="s">
        <v>754</v>
      </c>
      <c r="X2" s="85"/>
      <c r="Y2" s="84" t="s">
        <v>1012</v>
      </c>
      <c r="Z2" s="85"/>
      <c r="AA2" s="84" t="s">
        <v>470</v>
      </c>
      <c r="AB2" s="13"/>
      <c r="AC2" s="13"/>
    </row>
    <row r="3" spans="1:30" ht="13.5" thickBot="1" x14ac:dyDescent="0.25">
      <c r="A3" s="87" t="s">
        <v>6</v>
      </c>
      <c r="B3" s="87"/>
      <c r="C3" s="88" t="s">
        <v>7</v>
      </c>
      <c r="D3" s="88" t="s">
        <v>8</v>
      </c>
      <c r="E3" s="86"/>
      <c r="F3" s="229" t="s">
        <v>9</v>
      </c>
      <c r="G3" s="86"/>
      <c r="H3" s="86" t="s">
        <v>10</v>
      </c>
      <c r="I3" s="86" t="s">
        <v>11</v>
      </c>
      <c r="J3" s="86"/>
      <c r="K3" s="86" t="s">
        <v>10</v>
      </c>
      <c r="L3" s="86"/>
      <c r="M3" s="86" t="s">
        <v>10</v>
      </c>
      <c r="N3" s="86"/>
      <c r="O3" s="86" t="s">
        <v>10</v>
      </c>
      <c r="P3" s="86" t="s">
        <v>12</v>
      </c>
      <c r="Q3" s="83"/>
      <c r="R3" s="86" t="s">
        <v>10</v>
      </c>
      <c r="S3" s="86" t="s">
        <v>12</v>
      </c>
      <c r="T3" s="86"/>
      <c r="U3" s="86" t="s">
        <v>12</v>
      </c>
      <c r="V3" s="86"/>
      <c r="W3" s="86" t="s">
        <v>12</v>
      </c>
      <c r="X3" s="86"/>
      <c r="Y3" s="86" t="s">
        <v>12</v>
      </c>
      <c r="Z3" s="86"/>
      <c r="AA3" s="86" t="s">
        <v>12</v>
      </c>
      <c r="AB3" s="86" t="s">
        <v>13</v>
      </c>
      <c r="AC3" s="89" t="s">
        <v>14</v>
      </c>
    </row>
    <row r="4" spans="1:30" x14ac:dyDescent="0.2">
      <c r="F4" s="230"/>
      <c r="G4" s="29"/>
      <c r="H4" s="90"/>
      <c r="I4" s="90"/>
      <c r="J4" s="90"/>
      <c r="K4" s="90"/>
      <c r="L4" s="90"/>
      <c r="M4" s="90"/>
      <c r="N4" s="90"/>
      <c r="O4" s="90"/>
      <c r="P4" s="90"/>
      <c r="Q4" s="91"/>
      <c r="R4" s="90"/>
      <c r="S4" s="90"/>
      <c r="T4" s="90"/>
      <c r="U4" s="90"/>
      <c r="V4" s="90"/>
      <c r="W4" s="90"/>
      <c r="X4" s="90"/>
      <c r="Y4" s="90"/>
      <c r="Z4" s="90"/>
      <c r="AA4" s="90"/>
      <c r="AC4" s="30"/>
    </row>
    <row r="5" spans="1:30" x14ac:dyDescent="0.2">
      <c r="A5" s="28" t="s">
        <v>15</v>
      </c>
      <c r="F5" s="231"/>
      <c r="G5" s="68"/>
      <c r="H5" s="90"/>
      <c r="I5" s="90"/>
      <c r="J5" s="90"/>
      <c r="K5" s="90"/>
      <c r="L5" s="90"/>
      <c r="M5" s="90"/>
      <c r="N5" s="90"/>
      <c r="O5" s="90"/>
      <c r="P5" s="90"/>
      <c r="Q5" s="91"/>
      <c r="R5" s="90"/>
      <c r="S5" s="90"/>
      <c r="T5" s="90"/>
      <c r="U5" s="90"/>
      <c r="V5" s="90"/>
      <c r="W5" s="90"/>
      <c r="X5" s="90"/>
      <c r="Y5" s="90"/>
      <c r="Z5" s="90"/>
      <c r="AA5" s="90"/>
      <c r="AC5" s="30"/>
    </row>
    <row r="6" spans="1:30" x14ac:dyDescent="0.2">
      <c r="AC6" s="30"/>
    </row>
    <row r="7" spans="1:30" x14ac:dyDescent="0.2">
      <c r="A7" s="28" t="s">
        <v>358</v>
      </c>
      <c r="AC7" s="30"/>
    </row>
    <row r="8" spans="1:30" x14ac:dyDescent="0.2">
      <c r="A8" s="92">
        <v>301</v>
      </c>
      <c r="B8" s="14" t="s">
        <v>360</v>
      </c>
      <c r="C8" s="14" t="s">
        <v>361</v>
      </c>
      <c r="D8" s="14" t="s">
        <v>392</v>
      </c>
      <c r="F8" s="233">
        <v>0</v>
      </c>
      <c r="G8" s="66"/>
      <c r="H8" s="50">
        <f>IF(VLOOKUP($D8,$C$5:$AA$493,6,)=0,0,((VLOOKUP($D8,$C$5:$AA$493,6,)/VLOOKUP($D8,$C$5:$AA$493,4,))*$F8))</f>
        <v>0</v>
      </c>
      <c r="I8" s="50">
        <f>IF(VLOOKUP($D8,$C$5:$AA$493,7,)=0,0,((VLOOKUP($D8,$C$5:$AA$493,7,)/VLOOKUP($D8,$C$5:$AA$493,4,))*$F8))</f>
        <v>0</v>
      </c>
      <c r="J8" s="50"/>
      <c r="K8" s="50">
        <f>IF(VLOOKUP($D8,$C$5:$AA$493,9,)=0,0,((VLOOKUP($D8,$C$5:$AA$493,9,)/VLOOKUP($D8,$C$5:$AA$493,4,))*$F8))</f>
        <v>0</v>
      </c>
      <c r="L8" s="50"/>
      <c r="M8" s="50">
        <f>IF(VLOOKUP($D8,$C$5:$AA$493,11,)=0,0,((VLOOKUP($D8,$C$5:$AA$493,11,)/VLOOKUP($D8,$C$5:$AA$493,4,))*$F8))</f>
        <v>0</v>
      </c>
      <c r="N8" s="50"/>
      <c r="O8" s="50">
        <f>IF(VLOOKUP($D8,$C$5:$AA$493,13,)=0,0,((VLOOKUP($D8,$C$5:$AA$493,13,)/VLOOKUP($D8,$C$5:$AA$493,4,))*$F8))</f>
        <v>0</v>
      </c>
      <c r="P8" s="50">
        <f>IF(VLOOKUP($D8,$C$5:$AA$493,14,)=0,0,((VLOOKUP($D8,$C$5:$AA$493,14,)/VLOOKUP($D8,$C$5:$AA$493,4,))*$F8))</f>
        <v>0</v>
      </c>
      <c r="Q8" s="50"/>
      <c r="R8" s="50">
        <f>IF(VLOOKUP($D8,$C$5:$AA$493,16,)=0,0,((VLOOKUP($D8,$C$5:$AA$493,16,)/VLOOKUP($D8,$C$5:$AA$493,4,))*$F8))</f>
        <v>0</v>
      </c>
      <c r="S8" s="50">
        <f>IF(VLOOKUP($D8,$C$5:$AA$493,17,)=0,0,((VLOOKUP($D8,$C$5:$AA$493,17,)/VLOOKUP($D8,$C$5:$AA$493,4,))*$F8))</f>
        <v>0</v>
      </c>
      <c r="T8" s="50"/>
      <c r="U8" s="50">
        <f>IF(VLOOKUP($D8,$C$5:$AA$493,19,)=0,0,((VLOOKUP($D8,$C$5:$AA$493,19,)/VLOOKUP($D8,$C$5:$AA$493,4,))*$F8))</f>
        <v>0</v>
      </c>
      <c r="V8" s="50"/>
      <c r="W8" s="50">
        <f>IF(VLOOKUP($D8,$C$5:$AA$493,21,)=0,0,((VLOOKUP($D8,$C$5:$AA$493,21,)/VLOOKUP($D8,$C$5:$AA$493,4,))*$F8))</f>
        <v>0</v>
      </c>
      <c r="X8" s="50"/>
      <c r="Y8" s="50">
        <f>IF(VLOOKUP($D8,$C$5:$AA$493,23,)=0,0,((VLOOKUP($D8,$C$5:$AA$493,23,)/VLOOKUP($D8,$C$5:$AA$493,4,))*$F8))</f>
        <v>0</v>
      </c>
      <c r="Z8" s="50"/>
      <c r="AA8" s="50">
        <f>IF(VLOOKUP($D8,$C$5:$AA$493,25,)=0,0,((VLOOKUP($D8,$C$5:$AA$493,25,)/VLOOKUP($D8,$C$5:$AA$493,4,))*$F8))</f>
        <v>0</v>
      </c>
      <c r="AB8" s="50">
        <f>SUM(H8:AA8)</f>
        <v>0</v>
      </c>
      <c r="AC8" s="30" t="str">
        <f>IF(ABS(AB8-F8)&lt;1,"ok","err")</f>
        <v>ok</v>
      </c>
      <c r="AD8" s="36"/>
    </row>
    <row r="9" spans="1:30" x14ac:dyDescent="0.2">
      <c r="A9" s="92">
        <v>302</v>
      </c>
      <c r="B9" s="14" t="s">
        <v>828</v>
      </c>
      <c r="C9" s="14" t="s">
        <v>829</v>
      </c>
      <c r="D9" s="14" t="s">
        <v>392</v>
      </c>
      <c r="F9" s="234">
        <v>0</v>
      </c>
      <c r="G9" s="50"/>
      <c r="H9" s="50">
        <f>IF(VLOOKUP($D9,$C$5:$AA$493,6,)=0,0,((VLOOKUP($D9,$C$5:$AA$493,6,)/VLOOKUP($D9,$C$5:$AA$493,4,))*$F9))</f>
        <v>0</v>
      </c>
      <c r="I9" s="50">
        <f>IF(VLOOKUP($D9,$C$5:$AA$493,7,)=0,0,((VLOOKUP($D9,$C$5:$AA$493,7,)/VLOOKUP($D9,$C$5:$AA$493,4,))*$F9))</f>
        <v>0</v>
      </c>
      <c r="J9" s="50"/>
      <c r="K9" s="50">
        <f>IF(VLOOKUP($D9,$C$5:$AA$493,9,)=0,0,((VLOOKUP($D9,$C$5:$AA$493,9,)/VLOOKUP($D9,$C$5:$AA$493,4,))*$F9))</f>
        <v>0</v>
      </c>
      <c r="L9" s="50"/>
      <c r="M9" s="50">
        <f>IF(VLOOKUP($D9,$C$5:$AA$493,11,)=0,0,((VLOOKUP($D9,$C$5:$AA$493,11,)/VLOOKUP($D9,$C$5:$AA$493,4,))*$F9))</f>
        <v>0</v>
      </c>
      <c r="N9" s="50"/>
      <c r="O9" s="50">
        <f>IF(VLOOKUP($D9,$C$5:$AA$493,13,)=0,0,((VLOOKUP($D9,$C$5:$AA$493,13,)/VLOOKUP($D9,$C$5:$AA$493,4,))*$F9))</f>
        <v>0</v>
      </c>
      <c r="P9" s="50">
        <f>IF(VLOOKUP($D9,$C$5:$AA$493,14,)=0,0,((VLOOKUP($D9,$C$5:$AA$493,14,)/VLOOKUP($D9,$C$5:$AA$493,4,))*$F9))</f>
        <v>0</v>
      </c>
      <c r="Q9" s="50"/>
      <c r="R9" s="50">
        <f>IF(VLOOKUP($D9,$C$5:$AA$493,16,)=0,0,((VLOOKUP($D9,$C$5:$AA$493,16,)/VLOOKUP($D9,$C$5:$AA$493,4,))*$F9))</f>
        <v>0</v>
      </c>
      <c r="S9" s="50">
        <f>IF(VLOOKUP($D9,$C$5:$AA$493,17,)=0,0,((VLOOKUP($D9,$C$5:$AA$493,17,)/VLOOKUP($D9,$C$5:$AA$493,4,))*$F9))</f>
        <v>0</v>
      </c>
      <c r="T9" s="50"/>
      <c r="U9" s="50">
        <f>IF(VLOOKUP($D9,$C$5:$AA$493,19,)=0,0,((VLOOKUP($D9,$C$5:$AA$493,19,)/VLOOKUP($D9,$C$5:$AA$493,4,))*$F9))</f>
        <v>0</v>
      </c>
      <c r="V9" s="50"/>
      <c r="W9" s="50">
        <f>IF(VLOOKUP($D9,$C$5:$AA$493,21,)=0,0,((VLOOKUP($D9,$C$5:$AA$493,21,)/VLOOKUP($D9,$C$5:$AA$493,4,))*$F9))</f>
        <v>0</v>
      </c>
      <c r="X9" s="50"/>
      <c r="Y9" s="50">
        <f>IF(VLOOKUP($D9,$C$5:$AA$493,23,)=0,0,((VLOOKUP($D9,$C$5:$AA$493,23,)/VLOOKUP($D9,$C$5:$AA$493,4,))*$F9))</f>
        <v>0</v>
      </c>
      <c r="Z9" s="50"/>
      <c r="AA9" s="50">
        <f>IF(VLOOKUP($D9,$C$5:$AA$493,25,)=0,0,((VLOOKUP($D9,$C$5:$AA$493,25,)/VLOOKUP($D9,$C$5:$AA$493,4,))*$F9))</f>
        <v>0</v>
      </c>
      <c r="AB9" s="50">
        <f>SUM(H9:AA9)</f>
        <v>0</v>
      </c>
      <c r="AC9" s="30" t="str">
        <f>IF(ABS(AB9-F9)&lt;1,"ok","err")</f>
        <v>ok</v>
      </c>
    </row>
    <row r="10" spans="1:30" x14ac:dyDescent="0.2">
      <c r="A10" s="92">
        <v>303</v>
      </c>
      <c r="B10" s="14" t="s">
        <v>702</v>
      </c>
      <c r="C10" s="14" t="s">
        <v>703</v>
      </c>
      <c r="D10" s="14" t="s">
        <v>392</v>
      </c>
      <c r="F10" s="234">
        <v>0</v>
      </c>
      <c r="G10" s="50"/>
      <c r="H10" s="50">
        <f>IF(VLOOKUP($D10,$C$5:$AA$493,6,)=0,0,((VLOOKUP($D10,$C$5:$AA$493,6,)/VLOOKUP($D10,$C$5:$AA$493,4,))*$F10))</f>
        <v>0</v>
      </c>
      <c r="I10" s="50">
        <f>IF(VLOOKUP($D10,$C$5:$AA$493,7,)=0,0,((VLOOKUP($D10,$C$5:$AA$493,7,)/VLOOKUP($D10,$C$5:$AA$493,4,))*$F10))</f>
        <v>0</v>
      </c>
      <c r="J10" s="50"/>
      <c r="K10" s="50">
        <f>IF(VLOOKUP($D10,$C$5:$AA$493,9,)=0,0,((VLOOKUP($D10,$C$5:$AA$493,9,)/VLOOKUP($D10,$C$5:$AA$493,4,))*$F10))</f>
        <v>0</v>
      </c>
      <c r="L10" s="50"/>
      <c r="M10" s="50">
        <f>IF(VLOOKUP($D10,$C$5:$AA$493,11,)=0,0,((VLOOKUP($D10,$C$5:$AA$493,11,)/VLOOKUP($D10,$C$5:$AA$493,4,))*$F10))</f>
        <v>0</v>
      </c>
      <c r="N10" s="50"/>
      <c r="O10" s="50">
        <f>IF(VLOOKUP($D10,$C$5:$AA$493,13,)=0,0,((VLOOKUP($D10,$C$5:$AA$493,13,)/VLOOKUP($D10,$C$5:$AA$493,4,))*$F10))</f>
        <v>0</v>
      </c>
      <c r="P10" s="50">
        <f>IF(VLOOKUP($D10,$C$5:$AA$493,14,)=0,0,((VLOOKUP($D10,$C$5:$AA$493,14,)/VLOOKUP($D10,$C$5:$AA$493,4,))*$F10))</f>
        <v>0</v>
      </c>
      <c r="Q10" s="50"/>
      <c r="R10" s="50">
        <f>IF(VLOOKUP($D10,$C$5:$AA$493,16,)=0,0,((VLOOKUP($D10,$C$5:$AA$493,16,)/VLOOKUP($D10,$C$5:$AA$493,4,))*$F10))</f>
        <v>0</v>
      </c>
      <c r="S10" s="50">
        <f>IF(VLOOKUP($D10,$C$5:$AA$493,17,)=0,0,((VLOOKUP($D10,$C$5:$AA$493,17,)/VLOOKUP($D10,$C$5:$AA$493,4,))*$F10))</f>
        <v>0</v>
      </c>
      <c r="T10" s="50"/>
      <c r="U10" s="50">
        <f>IF(VLOOKUP($D10,$C$5:$AA$493,19,)=0,0,((VLOOKUP($D10,$C$5:$AA$493,19,)/VLOOKUP($D10,$C$5:$AA$493,4,))*$F10))</f>
        <v>0</v>
      </c>
      <c r="V10" s="50"/>
      <c r="W10" s="50">
        <f>IF(VLOOKUP($D10,$C$5:$AA$493,21,)=0,0,((VLOOKUP($D10,$C$5:$AA$493,21,)/VLOOKUP($D10,$C$5:$AA$493,4,))*$F10))</f>
        <v>0</v>
      </c>
      <c r="X10" s="50"/>
      <c r="Y10" s="50">
        <f>IF(VLOOKUP($D10,$C$5:$AA$493,23,)=0,0,((VLOOKUP($D10,$C$5:$AA$493,23,)/VLOOKUP($D10,$C$5:$AA$493,4,))*$F10))</f>
        <v>0</v>
      </c>
      <c r="Z10" s="50"/>
      <c r="AA10" s="50">
        <f>IF(VLOOKUP($D10,$C$5:$AA$493,25,)=0,0,((VLOOKUP($D10,$C$5:$AA$493,25,)/VLOOKUP($D10,$C$5:$AA$493,4,))*$F10))</f>
        <v>0</v>
      </c>
      <c r="AB10" s="50">
        <f>SUM(H10:AA10)</f>
        <v>0</v>
      </c>
      <c r="AC10" s="30" t="str">
        <f>IF(ABS(AB10-F10)&lt;1,"ok","err")</f>
        <v>ok</v>
      </c>
    </row>
    <row r="11" spans="1:30" x14ac:dyDescent="0.2">
      <c r="AC11" s="30"/>
    </row>
    <row r="12" spans="1:30" x14ac:dyDescent="0.2">
      <c r="B12" s="14" t="s">
        <v>19</v>
      </c>
      <c r="C12" s="14" t="s">
        <v>20</v>
      </c>
      <c r="F12" s="226">
        <f>SUM(F8:F10)</f>
        <v>0</v>
      </c>
      <c r="G12" s="93"/>
      <c r="H12" s="93">
        <f>SUM(H8:H10)</f>
        <v>0</v>
      </c>
      <c r="I12" s="93">
        <f>SUM(I8:I10)</f>
        <v>0</v>
      </c>
      <c r="J12" s="93"/>
      <c r="K12" s="93">
        <f>SUM(K8:K10)</f>
        <v>0</v>
      </c>
      <c r="L12" s="93"/>
      <c r="M12" s="93">
        <f>SUM(M8:M10)</f>
        <v>0</v>
      </c>
      <c r="N12" s="93"/>
      <c r="O12" s="93">
        <f>SUM(O8:O10)</f>
        <v>0</v>
      </c>
      <c r="P12" s="93">
        <f>SUM(P8:P10)</f>
        <v>0</v>
      </c>
      <c r="Q12" s="93"/>
      <c r="R12" s="93">
        <f>SUM(R8:R10)</f>
        <v>0</v>
      </c>
      <c r="S12" s="93">
        <f>SUM(S8:S10)</f>
        <v>0</v>
      </c>
      <c r="T12" s="93"/>
      <c r="U12" s="93">
        <f>SUM(U8:U10)</f>
        <v>0</v>
      </c>
      <c r="V12" s="93"/>
      <c r="W12" s="93">
        <f>SUM(W8:W10)</f>
        <v>0</v>
      </c>
      <c r="X12" s="93"/>
      <c r="Y12" s="93">
        <f>SUM(Y8:Y10)</f>
        <v>0</v>
      </c>
      <c r="Z12" s="93"/>
      <c r="AA12" s="93">
        <f>SUM(AA8:AA10)</f>
        <v>0</v>
      </c>
      <c r="AB12" s="50">
        <f>SUM(H12:AA12)</f>
        <v>0</v>
      </c>
      <c r="AC12" s="30" t="str">
        <f>IF(ABS(AB12-F12)&lt;1,"ok","err")</f>
        <v>ok</v>
      </c>
      <c r="AD12" s="36"/>
    </row>
    <row r="13" spans="1:30" x14ac:dyDescent="0.2">
      <c r="AC13" s="30"/>
    </row>
    <row r="14" spans="1:30" x14ac:dyDescent="0.2">
      <c r="A14" s="28" t="s">
        <v>767</v>
      </c>
      <c r="Q14" s="14"/>
      <c r="AC14" s="30"/>
    </row>
    <row r="15" spans="1:30" x14ac:dyDescent="0.2">
      <c r="A15" s="94">
        <v>310</v>
      </c>
      <c r="B15" s="14" t="s">
        <v>17</v>
      </c>
      <c r="C15" s="14" t="s">
        <v>774</v>
      </c>
      <c r="D15" s="14" t="s">
        <v>552</v>
      </c>
      <c r="F15" s="233">
        <v>0</v>
      </c>
      <c r="G15" s="66"/>
      <c r="H15" s="50">
        <f t="shared" ref="H15:H22" si="0">IF(VLOOKUP($D15,$C$5:$AA$493,6,)=0,0,((VLOOKUP($D15,$C$5:$AA$493,6,)/VLOOKUP($D15,$C$5:$AA$493,4,))*$F15))</f>
        <v>0</v>
      </c>
      <c r="I15" s="50">
        <f t="shared" ref="I15:I22" si="1">IF(VLOOKUP($D15,$C$5:$AA$493,7,)=0,0,((VLOOKUP($D15,$C$5:$AA$493,7,)/VLOOKUP($D15,$C$5:$AA$493,4,))*$F15))</f>
        <v>0</v>
      </c>
      <c r="J15" s="50"/>
      <c r="K15" s="50">
        <f t="shared" ref="K15:K22" si="2">IF(VLOOKUP($D15,$C$5:$AA$493,9,)=0,0,((VLOOKUP($D15,$C$5:$AA$493,9,)/VLOOKUP($D15,$C$5:$AA$493,4,))*$F15))</f>
        <v>0</v>
      </c>
      <c r="L15" s="50"/>
      <c r="M15" s="50">
        <f t="shared" ref="M15:M22" si="3">IF(VLOOKUP($D15,$C$5:$AA$493,11,)=0,0,((VLOOKUP($D15,$C$5:$AA$493,11,)/VLOOKUP($D15,$C$5:$AA$493,4,))*$F15))</f>
        <v>0</v>
      </c>
      <c r="N15" s="50"/>
      <c r="O15" s="50">
        <f t="shared" ref="O15:O22" si="4">IF(VLOOKUP($D15,$C$5:$AA$493,13,)=0,0,((VLOOKUP($D15,$C$5:$AA$493,13,)/VLOOKUP($D15,$C$5:$AA$493,4,))*$F15))</f>
        <v>0</v>
      </c>
      <c r="P15" s="50">
        <f t="shared" ref="P15:P22" si="5">IF(VLOOKUP($D15,$C$5:$AA$493,14,)=0,0,((VLOOKUP($D15,$C$5:$AA$493,14,)/VLOOKUP($D15,$C$5:$AA$493,4,))*$F15))</f>
        <v>0</v>
      </c>
      <c r="Q15" s="50"/>
      <c r="R15" s="50">
        <f t="shared" ref="R15:R22" si="6">IF(VLOOKUP($D15,$C$5:$AA$493,16,)=0,0,((VLOOKUP($D15,$C$5:$AA$493,16,)/VLOOKUP($D15,$C$5:$AA$493,4,))*$F15))</f>
        <v>0</v>
      </c>
      <c r="S15" s="50">
        <f t="shared" ref="S15:S22" si="7">IF(VLOOKUP($D15,$C$5:$AA$493,17,)=0,0,((VLOOKUP($D15,$C$5:$AA$493,17,)/VLOOKUP($D15,$C$5:$AA$493,4,))*$F15))</f>
        <v>0</v>
      </c>
      <c r="T15" s="50"/>
      <c r="U15" s="50">
        <f t="shared" ref="U15:U22" si="8">IF(VLOOKUP($D15,$C$5:$AA$493,19,)=0,0,((VLOOKUP($D15,$C$5:$AA$493,19,)/VLOOKUP($D15,$C$5:$AA$493,4,))*$F15))</f>
        <v>0</v>
      </c>
      <c r="V15" s="50"/>
      <c r="W15" s="50">
        <f t="shared" ref="W15:W22" si="9">IF(VLOOKUP($D15,$C$5:$AA$493,21,)=0,0,((VLOOKUP($D15,$C$5:$AA$493,21,)/VLOOKUP($D15,$C$5:$AA$493,4,))*$F15))</f>
        <v>0</v>
      </c>
      <c r="X15" s="50"/>
      <c r="Y15" s="50">
        <f t="shared" ref="Y15:Y22" si="10">IF(VLOOKUP($D15,$C$5:$AA$493,23,)=0,0,((VLOOKUP($D15,$C$5:$AA$493,23,)/VLOOKUP($D15,$C$5:$AA$493,4,))*$F15))</f>
        <v>0</v>
      </c>
      <c r="Z15" s="50"/>
      <c r="AA15" s="50">
        <f t="shared" ref="AA15:AA22" si="11">IF(VLOOKUP($D15,$C$5:$AA$493,25,)=0,0,((VLOOKUP($D15,$C$5:$AA$493,25,)/VLOOKUP($D15,$C$5:$AA$493,4,))*$F15))</f>
        <v>0</v>
      </c>
      <c r="AB15" s="50">
        <f t="shared" ref="AB15:AB22" si="12">SUM(H15:AA15)</f>
        <v>0</v>
      </c>
      <c r="AC15" s="30" t="str">
        <f t="shared" ref="AC15:AC22" si="13">IF(ABS(AB15-F15)&lt;1,"ok","err")</f>
        <v>ok</v>
      </c>
    </row>
    <row r="16" spans="1:30" x14ac:dyDescent="0.2">
      <c r="A16" s="94">
        <v>311</v>
      </c>
      <c r="B16" s="14" t="s">
        <v>53</v>
      </c>
      <c r="C16" s="14" t="s">
        <v>781</v>
      </c>
      <c r="D16" s="14" t="s">
        <v>552</v>
      </c>
      <c r="F16" s="234">
        <v>0</v>
      </c>
      <c r="G16" s="50"/>
      <c r="H16" s="50">
        <f t="shared" si="0"/>
        <v>0</v>
      </c>
      <c r="I16" s="50">
        <f t="shared" si="1"/>
        <v>0</v>
      </c>
      <c r="J16" s="50"/>
      <c r="K16" s="50">
        <f t="shared" si="2"/>
        <v>0</v>
      </c>
      <c r="L16" s="50"/>
      <c r="M16" s="50">
        <f t="shared" si="3"/>
        <v>0</v>
      </c>
      <c r="N16" s="50"/>
      <c r="O16" s="50">
        <f t="shared" si="4"/>
        <v>0</v>
      </c>
      <c r="P16" s="50">
        <f t="shared" si="5"/>
        <v>0</v>
      </c>
      <c r="Q16" s="50"/>
      <c r="R16" s="50">
        <f t="shared" si="6"/>
        <v>0</v>
      </c>
      <c r="S16" s="50">
        <f t="shared" si="7"/>
        <v>0</v>
      </c>
      <c r="T16" s="50"/>
      <c r="U16" s="50">
        <f t="shared" si="8"/>
        <v>0</v>
      </c>
      <c r="V16" s="50"/>
      <c r="W16" s="50">
        <f t="shared" si="9"/>
        <v>0</v>
      </c>
      <c r="X16" s="50"/>
      <c r="Y16" s="50">
        <f t="shared" si="10"/>
        <v>0</v>
      </c>
      <c r="Z16" s="50"/>
      <c r="AA16" s="50">
        <f t="shared" si="11"/>
        <v>0</v>
      </c>
      <c r="AB16" s="50">
        <f t="shared" si="12"/>
        <v>0</v>
      </c>
      <c r="AC16" s="30" t="str">
        <f t="shared" si="13"/>
        <v>ok</v>
      </c>
    </row>
    <row r="17" spans="1:29" x14ac:dyDescent="0.2">
      <c r="A17" s="94">
        <v>312</v>
      </c>
      <c r="B17" s="14" t="s">
        <v>768</v>
      </c>
      <c r="C17" s="14" t="s">
        <v>775</v>
      </c>
      <c r="D17" s="14" t="s">
        <v>552</v>
      </c>
      <c r="F17" s="234">
        <v>0</v>
      </c>
      <c r="G17" s="50"/>
      <c r="H17" s="50">
        <f t="shared" si="0"/>
        <v>0</v>
      </c>
      <c r="I17" s="50">
        <f t="shared" si="1"/>
        <v>0</v>
      </c>
      <c r="J17" s="50"/>
      <c r="K17" s="50">
        <f t="shared" si="2"/>
        <v>0</v>
      </c>
      <c r="L17" s="50"/>
      <c r="M17" s="50">
        <f t="shared" si="3"/>
        <v>0</v>
      </c>
      <c r="N17" s="50"/>
      <c r="O17" s="50">
        <f t="shared" si="4"/>
        <v>0</v>
      </c>
      <c r="P17" s="50">
        <f t="shared" si="5"/>
        <v>0</v>
      </c>
      <c r="Q17" s="50"/>
      <c r="R17" s="50">
        <f t="shared" si="6"/>
        <v>0</v>
      </c>
      <c r="S17" s="50">
        <f t="shared" si="7"/>
        <v>0</v>
      </c>
      <c r="T17" s="50"/>
      <c r="U17" s="50">
        <f t="shared" si="8"/>
        <v>0</v>
      </c>
      <c r="V17" s="50"/>
      <c r="W17" s="50">
        <f t="shared" si="9"/>
        <v>0</v>
      </c>
      <c r="X17" s="50"/>
      <c r="Y17" s="50">
        <f t="shared" si="10"/>
        <v>0</v>
      </c>
      <c r="Z17" s="50"/>
      <c r="AA17" s="50">
        <f t="shared" si="11"/>
        <v>0</v>
      </c>
      <c r="AB17" s="50">
        <f t="shared" si="12"/>
        <v>0</v>
      </c>
      <c r="AC17" s="30" t="str">
        <f t="shared" si="13"/>
        <v>ok</v>
      </c>
    </row>
    <row r="18" spans="1:29" x14ac:dyDescent="0.2">
      <c r="A18" s="94">
        <v>313</v>
      </c>
      <c r="B18" s="14" t="s">
        <v>769</v>
      </c>
      <c r="C18" s="14" t="s">
        <v>776</v>
      </c>
      <c r="D18" s="14" t="s">
        <v>552</v>
      </c>
      <c r="F18" s="234">
        <v>0</v>
      </c>
      <c r="G18" s="50"/>
      <c r="H18" s="50">
        <f t="shared" si="0"/>
        <v>0</v>
      </c>
      <c r="I18" s="50">
        <f t="shared" si="1"/>
        <v>0</v>
      </c>
      <c r="J18" s="50"/>
      <c r="K18" s="50">
        <f t="shared" si="2"/>
        <v>0</v>
      </c>
      <c r="L18" s="50"/>
      <c r="M18" s="50">
        <f t="shared" si="3"/>
        <v>0</v>
      </c>
      <c r="N18" s="50"/>
      <c r="O18" s="50">
        <f t="shared" si="4"/>
        <v>0</v>
      </c>
      <c r="P18" s="50">
        <f t="shared" si="5"/>
        <v>0</v>
      </c>
      <c r="Q18" s="50"/>
      <c r="R18" s="50">
        <f t="shared" si="6"/>
        <v>0</v>
      </c>
      <c r="S18" s="50">
        <f t="shared" si="7"/>
        <v>0</v>
      </c>
      <c r="T18" s="50"/>
      <c r="U18" s="50">
        <f t="shared" si="8"/>
        <v>0</v>
      </c>
      <c r="V18" s="50"/>
      <c r="W18" s="50">
        <f t="shared" si="9"/>
        <v>0</v>
      </c>
      <c r="X18" s="50"/>
      <c r="Y18" s="50">
        <f t="shared" si="10"/>
        <v>0</v>
      </c>
      <c r="Z18" s="50"/>
      <c r="AA18" s="50">
        <f t="shared" si="11"/>
        <v>0</v>
      </c>
      <c r="AB18" s="50">
        <f t="shared" si="12"/>
        <v>0</v>
      </c>
      <c r="AC18" s="30" t="str">
        <f t="shared" si="13"/>
        <v>ok</v>
      </c>
    </row>
    <row r="19" spans="1:29" x14ac:dyDescent="0.2">
      <c r="A19" s="94">
        <v>314</v>
      </c>
      <c r="B19" s="14" t="s">
        <v>770</v>
      </c>
      <c r="C19" s="14" t="s">
        <v>777</v>
      </c>
      <c r="D19" s="14" t="s">
        <v>552</v>
      </c>
      <c r="F19" s="234">
        <v>0</v>
      </c>
      <c r="G19" s="50"/>
      <c r="H19" s="50">
        <f t="shared" si="0"/>
        <v>0</v>
      </c>
      <c r="I19" s="50">
        <f t="shared" si="1"/>
        <v>0</v>
      </c>
      <c r="J19" s="50"/>
      <c r="K19" s="50">
        <f t="shared" si="2"/>
        <v>0</v>
      </c>
      <c r="L19" s="50"/>
      <c r="M19" s="50">
        <f t="shared" si="3"/>
        <v>0</v>
      </c>
      <c r="N19" s="50"/>
      <c r="O19" s="50">
        <f t="shared" si="4"/>
        <v>0</v>
      </c>
      <c r="P19" s="50">
        <f t="shared" si="5"/>
        <v>0</v>
      </c>
      <c r="Q19" s="50"/>
      <c r="R19" s="50">
        <f t="shared" si="6"/>
        <v>0</v>
      </c>
      <c r="S19" s="50">
        <f t="shared" si="7"/>
        <v>0</v>
      </c>
      <c r="T19" s="50"/>
      <c r="U19" s="50">
        <f t="shared" si="8"/>
        <v>0</v>
      </c>
      <c r="V19" s="50"/>
      <c r="W19" s="50">
        <f t="shared" si="9"/>
        <v>0</v>
      </c>
      <c r="X19" s="50"/>
      <c r="Y19" s="50">
        <f t="shared" si="10"/>
        <v>0</v>
      </c>
      <c r="Z19" s="50"/>
      <c r="AA19" s="50">
        <f t="shared" si="11"/>
        <v>0</v>
      </c>
      <c r="AB19" s="50">
        <f t="shared" si="12"/>
        <v>0</v>
      </c>
      <c r="AC19" s="30" t="str">
        <f t="shared" si="13"/>
        <v>ok</v>
      </c>
    </row>
    <row r="20" spans="1:29" x14ac:dyDescent="0.2">
      <c r="A20" s="94">
        <v>315</v>
      </c>
      <c r="B20" s="14" t="s">
        <v>771</v>
      </c>
      <c r="C20" s="14" t="s">
        <v>778</v>
      </c>
      <c r="D20" s="14" t="s">
        <v>552</v>
      </c>
      <c r="F20" s="234">
        <v>0</v>
      </c>
      <c r="G20" s="50"/>
      <c r="H20" s="50">
        <f t="shared" si="0"/>
        <v>0</v>
      </c>
      <c r="I20" s="50">
        <f t="shared" si="1"/>
        <v>0</v>
      </c>
      <c r="J20" s="50"/>
      <c r="K20" s="50">
        <f t="shared" si="2"/>
        <v>0</v>
      </c>
      <c r="L20" s="50"/>
      <c r="M20" s="50">
        <f t="shared" si="3"/>
        <v>0</v>
      </c>
      <c r="N20" s="50"/>
      <c r="O20" s="50">
        <f t="shared" si="4"/>
        <v>0</v>
      </c>
      <c r="P20" s="50">
        <f t="shared" si="5"/>
        <v>0</v>
      </c>
      <c r="Q20" s="50"/>
      <c r="R20" s="50">
        <f t="shared" si="6"/>
        <v>0</v>
      </c>
      <c r="S20" s="50">
        <f t="shared" si="7"/>
        <v>0</v>
      </c>
      <c r="T20" s="50"/>
      <c r="U20" s="50">
        <f t="shared" si="8"/>
        <v>0</v>
      </c>
      <c r="V20" s="50"/>
      <c r="W20" s="50">
        <f t="shared" si="9"/>
        <v>0</v>
      </c>
      <c r="X20" s="50"/>
      <c r="Y20" s="50">
        <f t="shared" si="10"/>
        <v>0</v>
      </c>
      <c r="Z20" s="50"/>
      <c r="AA20" s="50">
        <f t="shared" si="11"/>
        <v>0</v>
      </c>
      <c r="AB20" s="50">
        <f t="shared" si="12"/>
        <v>0</v>
      </c>
      <c r="AC20" s="30" t="str">
        <f t="shared" si="13"/>
        <v>ok</v>
      </c>
    </row>
    <row r="21" spans="1:29" x14ac:dyDescent="0.2">
      <c r="A21" s="94">
        <v>316</v>
      </c>
      <c r="B21" s="14" t="s">
        <v>773</v>
      </c>
      <c r="C21" s="14" t="s">
        <v>779</v>
      </c>
      <c r="D21" s="14" t="s">
        <v>552</v>
      </c>
      <c r="F21" s="234">
        <v>0</v>
      </c>
      <c r="G21" s="50"/>
      <c r="H21" s="50">
        <f t="shared" si="0"/>
        <v>0</v>
      </c>
      <c r="I21" s="50">
        <f t="shared" si="1"/>
        <v>0</v>
      </c>
      <c r="J21" s="50"/>
      <c r="K21" s="50">
        <f t="shared" si="2"/>
        <v>0</v>
      </c>
      <c r="L21" s="50"/>
      <c r="M21" s="50">
        <f t="shared" si="3"/>
        <v>0</v>
      </c>
      <c r="N21" s="50"/>
      <c r="O21" s="50">
        <f t="shared" si="4"/>
        <v>0</v>
      </c>
      <c r="P21" s="50">
        <f t="shared" si="5"/>
        <v>0</v>
      </c>
      <c r="Q21" s="50"/>
      <c r="R21" s="50">
        <f t="shared" si="6"/>
        <v>0</v>
      </c>
      <c r="S21" s="50">
        <f t="shared" si="7"/>
        <v>0</v>
      </c>
      <c r="T21" s="50"/>
      <c r="U21" s="50">
        <f t="shared" si="8"/>
        <v>0</v>
      </c>
      <c r="V21" s="50"/>
      <c r="W21" s="50">
        <f t="shared" si="9"/>
        <v>0</v>
      </c>
      <c r="X21" s="50"/>
      <c r="Y21" s="50">
        <f t="shared" si="10"/>
        <v>0</v>
      </c>
      <c r="Z21" s="50"/>
      <c r="AA21" s="50">
        <f t="shared" si="11"/>
        <v>0</v>
      </c>
      <c r="AB21" s="50">
        <f>SUM(H21:AA21)</f>
        <v>0</v>
      </c>
      <c r="AC21" s="30" t="str">
        <f>IF(ABS(AB21-F21)&lt;1,"ok","err")</f>
        <v>ok</v>
      </c>
    </row>
    <row r="22" spans="1:29" x14ac:dyDescent="0.2">
      <c r="A22" s="94">
        <v>317</v>
      </c>
      <c r="B22" s="14" t="s">
        <v>772</v>
      </c>
      <c r="C22" s="14" t="s">
        <v>780</v>
      </c>
      <c r="D22" s="14" t="s">
        <v>552</v>
      </c>
      <c r="F22" s="234">
        <v>0</v>
      </c>
      <c r="G22" s="50"/>
      <c r="H22" s="50">
        <f t="shared" si="0"/>
        <v>0</v>
      </c>
      <c r="I22" s="50">
        <f t="shared" si="1"/>
        <v>0</v>
      </c>
      <c r="J22" s="50"/>
      <c r="K22" s="50">
        <f t="shared" si="2"/>
        <v>0</v>
      </c>
      <c r="L22" s="50"/>
      <c r="M22" s="50">
        <f t="shared" si="3"/>
        <v>0</v>
      </c>
      <c r="N22" s="50"/>
      <c r="O22" s="50">
        <f t="shared" si="4"/>
        <v>0</v>
      </c>
      <c r="P22" s="50">
        <f t="shared" si="5"/>
        <v>0</v>
      </c>
      <c r="Q22" s="50"/>
      <c r="R22" s="50">
        <f t="shared" si="6"/>
        <v>0</v>
      </c>
      <c r="S22" s="50">
        <f t="shared" si="7"/>
        <v>0</v>
      </c>
      <c r="T22" s="50"/>
      <c r="U22" s="50">
        <f t="shared" si="8"/>
        <v>0</v>
      </c>
      <c r="V22" s="50"/>
      <c r="W22" s="50">
        <f t="shared" si="9"/>
        <v>0</v>
      </c>
      <c r="X22" s="50"/>
      <c r="Y22" s="50">
        <f t="shared" si="10"/>
        <v>0</v>
      </c>
      <c r="Z22" s="50"/>
      <c r="AA22" s="50">
        <f t="shared" si="11"/>
        <v>0</v>
      </c>
      <c r="AB22" s="50">
        <f t="shared" si="12"/>
        <v>0</v>
      </c>
      <c r="AC22" s="30" t="str">
        <f t="shared" si="13"/>
        <v>ok</v>
      </c>
    </row>
    <row r="23" spans="1:29" x14ac:dyDescent="0.2">
      <c r="Q23" s="14"/>
      <c r="AB23" s="50"/>
      <c r="AC23" s="30"/>
    </row>
    <row r="24" spans="1:29" x14ac:dyDescent="0.2">
      <c r="B24" s="14" t="s">
        <v>783</v>
      </c>
      <c r="C24" s="14" t="s">
        <v>782</v>
      </c>
      <c r="F24" s="226">
        <f>SUM(F15:F23)</f>
        <v>0</v>
      </c>
      <c r="G24" s="93"/>
      <c r="H24" s="93">
        <f>SUM(H15:H23)</f>
        <v>0</v>
      </c>
      <c r="I24" s="93">
        <f>SUM(I15:I23)</f>
        <v>0</v>
      </c>
      <c r="J24" s="93"/>
      <c r="K24" s="93">
        <f>SUM(K15:K23)</f>
        <v>0</v>
      </c>
      <c r="L24" s="93"/>
      <c r="M24" s="93">
        <f>SUM(M15:M23)</f>
        <v>0</v>
      </c>
      <c r="N24" s="93"/>
      <c r="O24" s="93">
        <f>SUM(O15:O23)</f>
        <v>0</v>
      </c>
      <c r="P24" s="93">
        <f>SUM(P15:P23)</f>
        <v>0</v>
      </c>
      <c r="Q24" s="93"/>
      <c r="R24" s="93">
        <f>SUM(R15:R23)</f>
        <v>0</v>
      </c>
      <c r="S24" s="93">
        <f>SUM(S15:S23)</f>
        <v>0</v>
      </c>
      <c r="T24" s="93"/>
      <c r="U24" s="93">
        <f>SUM(U15:U23)</f>
        <v>0</v>
      </c>
      <c r="V24" s="93"/>
      <c r="W24" s="93">
        <f>SUM(W15:W23)</f>
        <v>0</v>
      </c>
      <c r="X24" s="93"/>
      <c r="Y24" s="93">
        <f>SUM(Y15:Y23)</f>
        <v>0</v>
      </c>
      <c r="Z24" s="93"/>
      <c r="AA24" s="93">
        <f>SUM(AA15:AA23)</f>
        <v>0</v>
      </c>
      <c r="AB24" s="50">
        <f>SUM(H24:AA24)</f>
        <v>0</v>
      </c>
      <c r="AC24" s="30" t="str">
        <f>IF(ABS(AB24-F24)&lt;1,"ok","err")</f>
        <v>ok</v>
      </c>
    </row>
    <row r="25" spans="1:29" x14ac:dyDescent="0.2">
      <c r="Q25" s="14"/>
      <c r="AC25" s="30"/>
    </row>
    <row r="26" spans="1:29" x14ac:dyDescent="0.2">
      <c r="A26" s="28" t="s">
        <v>350</v>
      </c>
      <c r="Q26" s="14"/>
      <c r="AC26" s="30"/>
    </row>
    <row r="27" spans="1:29" x14ac:dyDescent="0.2">
      <c r="A27" s="94">
        <v>350</v>
      </c>
      <c r="B27" s="14" t="s">
        <v>17</v>
      </c>
      <c r="C27" s="14" t="s">
        <v>352</v>
      </c>
      <c r="D27" s="14" t="s">
        <v>391</v>
      </c>
      <c r="F27" s="233">
        <v>0</v>
      </c>
      <c r="G27" s="66"/>
      <c r="H27" s="50">
        <f t="shared" ref="H27:H33" si="14">IF(VLOOKUP($D27,$C$5:$AA$493,6,)=0,0,((VLOOKUP($D27,$C$5:$AA$493,6,)/VLOOKUP($D27,$C$5:$AA$493,4,))*$F27))</f>
        <v>0</v>
      </c>
      <c r="I27" s="50">
        <f t="shared" ref="I27:I33" si="15">IF(VLOOKUP($D27,$C$5:$AA$493,7,)=0,0,((VLOOKUP($D27,$C$5:$AA$493,7,)/VLOOKUP($D27,$C$5:$AA$493,4,))*$F27))</f>
        <v>0</v>
      </c>
      <c r="J27" s="50"/>
      <c r="K27" s="50">
        <f t="shared" ref="K27:K33" si="16">IF(VLOOKUP($D27,$C$5:$AA$493,9,)=0,0,((VLOOKUP($D27,$C$5:$AA$493,9,)/VLOOKUP($D27,$C$5:$AA$493,4,))*$F27))</f>
        <v>0</v>
      </c>
      <c r="L27" s="50"/>
      <c r="M27" s="50">
        <f t="shared" ref="M27:M33" si="17">IF(VLOOKUP($D27,$C$5:$AA$493,11,)=0,0,((VLOOKUP($D27,$C$5:$AA$493,11,)/VLOOKUP($D27,$C$5:$AA$493,4,))*$F27))</f>
        <v>0</v>
      </c>
      <c r="N27" s="50"/>
      <c r="O27" s="50">
        <f t="shared" ref="O27:O33" si="18">IF(VLOOKUP($D27,$C$5:$AA$493,13,)=0,0,((VLOOKUP($D27,$C$5:$AA$493,13,)/VLOOKUP($D27,$C$5:$AA$493,4,))*$F27))</f>
        <v>0</v>
      </c>
      <c r="P27" s="50">
        <f t="shared" ref="P27:P33" si="19">IF(VLOOKUP($D27,$C$5:$AA$493,14,)=0,0,((VLOOKUP($D27,$C$5:$AA$493,14,)/VLOOKUP($D27,$C$5:$AA$493,4,))*$F27))</f>
        <v>0</v>
      </c>
      <c r="Q27" s="50"/>
      <c r="R27" s="50">
        <f t="shared" ref="R27:R33" si="20">IF(VLOOKUP($D27,$C$5:$AA$493,16,)=0,0,((VLOOKUP($D27,$C$5:$AA$493,16,)/VLOOKUP($D27,$C$5:$AA$493,4,))*$F27))</f>
        <v>0</v>
      </c>
      <c r="S27" s="50">
        <f t="shared" ref="S27:S33" si="21">IF(VLOOKUP($D27,$C$5:$AA$493,17,)=0,0,((VLOOKUP($D27,$C$5:$AA$493,17,)/VLOOKUP($D27,$C$5:$AA$493,4,))*$F27))</f>
        <v>0</v>
      </c>
      <c r="T27" s="50"/>
      <c r="U27" s="50">
        <f t="shared" ref="U27:U33" si="22">IF(VLOOKUP($D27,$C$5:$AA$493,19,)=0,0,((VLOOKUP($D27,$C$5:$AA$493,19,)/VLOOKUP($D27,$C$5:$AA$493,4,))*$F27))</f>
        <v>0</v>
      </c>
      <c r="V27" s="50"/>
      <c r="W27" s="50">
        <f t="shared" ref="W27:W33" si="23">IF(VLOOKUP($D27,$C$5:$AA$493,21,)=0,0,((VLOOKUP($D27,$C$5:$AA$493,21,)/VLOOKUP($D27,$C$5:$AA$493,4,))*$F27))</f>
        <v>0</v>
      </c>
      <c r="X27" s="50"/>
      <c r="Y27" s="50">
        <f t="shared" ref="Y27:Y33" si="24">IF(VLOOKUP($D27,$C$5:$AA$493,23,)=0,0,((VLOOKUP($D27,$C$5:$AA$493,23,)/VLOOKUP($D27,$C$5:$AA$493,4,))*$F27))</f>
        <v>0</v>
      </c>
      <c r="Z27" s="50"/>
      <c r="AA27" s="50">
        <f t="shared" ref="AA27:AA33" si="25">IF(VLOOKUP($D27,$C$5:$AA$493,25,)=0,0,((VLOOKUP($D27,$C$5:$AA$493,25,)/VLOOKUP($D27,$C$5:$AA$493,4,))*$F27))</f>
        <v>0</v>
      </c>
      <c r="AB27" s="50">
        <f t="shared" ref="AB27:AB33" si="26">SUM(H27:AA27)</f>
        <v>0</v>
      </c>
      <c r="AC27" s="30" t="str">
        <f t="shared" ref="AC27:AC33" si="27">IF(ABS(AB27-F27)&lt;1,"ok","err")</f>
        <v>ok</v>
      </c>
    </row>
    <row r="28" spans="1:29" x14ac:dyDescent="0.2">
      <c r="A28" s="94">
        <v>352</v>
      </c>
      <c r="B28" s="14" t="s">
        <v>53</v>
      </c>
      <c r="C28" s="14" t="s">
        <v>418</v>
      </c>
      <c r="D28" s="14" t="s">
        <v>391</v>
      </c>
      <c r="F28" s="234">
        <v>0</v>
      </c>
      <c r="G28" s="50"/>
      <c r="H28" s="50">
        <f t="shared" si="14"/>
        <v>0</v>
      </c>
      <c r="I28" s="50">
        <f t="shared" si="15"/>
        <v>0</v>
      </c>
      <c r="J28" s="50"/>
      <c r="K28" s="50">
        <f t="shared" si="16"/>
        <v>0</v>
      </c>
      <c r="L28" s="50"/>
      <c r="M28" s="50">
        <f t="shared" si="17"/>
        <v>0</v>
      </c>
      <c r="N28" s="50"/>
      <c r="O28" s="50">
        <f t="shared" si="18"/>
        <v>0</v>
      </c>
      <c r="P28" s="50">
        <f t="shared" si="19"/>
        <v>0</v>
      </c>
      <c r="Q28" s="50"/>
      <c r="R28" s="50">
        <f t="shared" si="20"/>
        <v>0</v>
      </c>
      <c r="S28" s="50">
        <f t="shared" si="21"/>
        <v>0</v>
      </c>
      <c r="T28" s="50"/>
      <c r="U28" s="50">
        <f t="shared" si="22"/>
        <v>0</v>
      </c>
      <c r="V28" s="50"/>
      <c r="W28" s="50">
        <f t="shared" si="23"/>
        <v>0</v>
      </c>
      <c r="X28" s="50"/>
      <c r="Y28" s="50">
        <f t="shared" si="24"/>
        <v>0</v>
      </c>
      <c r="Z28" s="50"/>
      <c r="AA28" s="50">
        <f t="shared" si="25"/>
        <v>0</v>
      </c>
      <c r="AB28" s="50">
        <f t="shared" si="26"/>
        <v>0</v>
      </c>
      <c r="AC28" s="30" t="str">
        <f t="shared" si="27"/>
        <v>ok</v>
      </c>
    </row>
    <row r="29" spans="1:29" x14ac:dyDescent="0.2">
      <c r="A29" s="94">
        <v>353</v>
      </c>
      <c r="B29" s="14" t="s">
        <v>22</v>
      </c>
      <c r="C29" s="14" t="s">
        <v>353</v>
      </c>
      <c r="D29" s="14" t="s">
        <v>391</v>
      </c>
      <c r="F29" s="234">
        <v>0</v>
      </c>
      <c r="G29" s="50"/>
      <c r="H29" s="50">
        <f t="shared" si="14"/>
        <v>0</v>
      </c>
      <c r="I29" s="50">
        <f t="shared" si="15"/>
        <v>0</v>
      </c>
      <c r="J29" s="50"/>
      <c r="K29" s="50">
        <f t="shared" si="16"/>
        <v>0</v>
      </c>
      <c r="L29" s="50"/>
      <c r="M29" s="50">
        <f t="shared" si="17"/>
        <v>0</v>
      </c>
      <c r="N29" s="50"/>
      <c r="O29" s="50">
        <f t="shared" si="18"/>
        <v>0</v>
      </c>
      <c r="P29" s="50">
        <f t="shared" si="19"/>
        <v>0</v>
      </c>
      <c r="Q29" s="50"/>
      <c r="R29" s="50">
        <f t="shared" si="20"/>
        <v>0</v>
      </c>
      <c r="S29" s="50">
        <f t="shared" si="21"/>
        <v>0</v>
      </c>
      <c r="T29" s="50"/>
      <c r="U29" s="50">
        <f t="shared" si="22"/>
        <v>0</v>
      </c>
      <c r="V29" s="50"/>
      <c r="W29" s="50">
        <f t="shared" si="23"/>
        <v>0</v>
      </c>
      <c r="X29" s="50"/>
      <c r="Y29" s="50">
        <f t="shared" si="24"/>
        <v>0</v>
      </c>
      <c r="Z29" s="50"/>
      <c r="AA29" s="50">
        <f t="shared" si="25"/>
        <v>0</v>
      </c>
      <c r="AB29" s="50">
        <f t="shared" si="26"/>
        <v>0</v>
      </c>
      <c r="AC29" s="30" t="str">
        <f t="shared" si="27"/>
        <v>ok</v>
      </c>
    </row>
    <row r="30" spans="1:29" x14ac:dyDescent="0.2">
      <c r="A30" s="94">
        <v>354</v>
      </c>
      <c r="B30" s="14" t="s">
        <v>419</v>
      </c>
      <c r="C30" s="14" t="s">
        <v>421</v>
      </c>
      <c r="D30" s="14" t="s">
        <v>391</v>
      </c>
      <c r="F30" s="234">
        <v>0</v>
      </c>
      <c r="G30" s="50"/>
      <c r="H30" s="50">
        <f t="shared" si="14"/>
        <v>0</v>
      </c>
      <c r="I30" s="50">
        <f t="shared" si="15"/>
        <v>0</v>
      </c>
      <c r="J30" s="50"/>
      <c r="K30" s="50">
        <f t="shared" si="16"/>
        <v>0</v>
      </c>
      <c r="L30" s="50"/>
      <c r="M30" s="50">
        <f t="shared" si="17"/>
        <v>0</v>
      </c>
      <c r="N30" s="50"/>
      <c r="O30" s="50">
        <f t="shared" si="18"/>
        <v>0</v>
      </c>
      <c r="P30" s="50">
        <f t="shared" si="19"/>
        <v>0</v>
      </c>
      <c r="Q30" s="50"/>
      <c r="R30" s="50">
        <f t="shared" si="20"/>
        <v>0</v>
      </c>
      <c r="S30" s="50">
        <f t="shared" si="21"/>
        <v>0</v>
      </c>
      <c r="T30" s="50"/>
      <c r="U30" s="50">
        <f t="shared" si="22"/>
        <v>0</v>
      </c>
      <c r="V30" s="50"/>
      <c r="W30" s="50">
        <f t="shared" si="23"/>
        <v>0</v>
      </c>
      <c r="X30" s="50"/>
      <c r="Y30" s="50">
        <f t="shared" si="24"/>
        <v>0</v>
      </c>
      <c r="Z30" s="50"/>
      <c r="AA30" s="50">
        <f t="shared" si="25"/>
        <v>0</v>
      </c>
      <c r="AB30" s="50">
        <f t="shared" si="26"/>
        <v>0</v>
      </c>
      <c r="AC30" s="30" t="str">
        <f t="shared" si="27"/>
        <v>ok</v>
      </c>
    </row>
    <row r="31" spans="1:29" x14ac:dyDescent="0.2">
      <c r="A31" s="94">
        <v>355</v>
      </c>
      <c r="B31" s="14" t="s">
        <v>420</v>
      </c>
      <c r="C31" s="14" t="s">
        <v>354</v>
      </c>
      <c r="D31" s="14" t="s">
        <v>391</v>
      </c>
      <c r="F31" s="234">
        <v>0</v>
      </c>
      <c r="G31" s="50"/>
      <c r="H31" s="50">
        <f t="shared" si="14"/>
        <v>0</v>
      </c>
      <c r="I31" s="50">
        <f t="shared" si="15"/>
        <v>0</v>
      </c>
      <c r="J31" s="50"/>
      <c r="K31" s="50">
        <f t="shared" si="16"/>
        <v>0</v>
      </c>
      <c r="L31" s="50"/>
      <c r="M31" s="50">
        <f t="shared" si="17"/>
        <v>0</v>
      </c>
      <c r="N31" s="50"/>
      <c r="O31" s="50">
        <f t="shared" si="18"/>
        <v>0</v>
      </c>
      <c r="P31" s="50">
        <f t="shared" si="19"/>
        <v>0</v>
      </c>
      <c r="Q31" s="50"/>
      <c r="R31" s="50">
        <f t="shared" si="20"/>
        <v>0</v>
      </c>
      <c r="S31" s="50">
        <f t="shared" si="21"/>
        <v>0</v>
      </c>
      <c r="T31" s="50"/>
      <c r="U31" s="50">
        <f t="shared" si="22"/>
        <v>0</v>
      </c>
      <c r="V31" s="50"/>
      <c r="W31" s="50">
        <f t="shared" si="23"/>
        <v>0</v>
      </c>
      <c r="X31" s="50"/>
      <c r="Y31" s="50">
        <f t="shared" si="24"/>
        <v>0</v>
      </c>
      <c r="Z31" s="50"/>
      <c r="AA31" s="50">
        <f t="shared" si="25"/>
        <v>0</v>
      </c>
      <c r="AB31" s="50">
        <f t="shared" si="26"/>
        <v>0</v>
      </c>
      <c r="AC31" s="30" t="str">
        <f t="shared" si="27"/>
        <v>ok</v>
      </c>
    </row>
    <row r="32" spans="1:29" x14ac:dyDescent="0.2">
      <c r="A32" s="94">
        <v>356</v>
      </c>
      <c r="B32" s="14" t="s">
        <v>351</v>
      </c>
      <c r="C32" s="14" t="s">
        <v>355</v>
      </c>
      <c r="D32" s="14" t="s">
        <v>391</v>
      </c>
      <c r="F32" s="234">
        <v>0</v>
      </c>
      <c r="G32" s="50"/>
      <c r="H32" s="50">
        <f t="shared" si="14"/>
        <v>0</v>
      </c>
      <c r="I32" s="50">
        <f t="shared" si="15"/>
        <v>0</v>
      </c>
      <c r="J32" s="50"/>
      <c r="K32" s="50">
        <f t="shared" si="16"/>
        <v>0</v>
      </c>
      <c r="L32" s="50"/>
      <c r="M32" s="50">
        <f t="shared" si="17"/>
        <v>0</v>
      </c>
      <c r="N32" s="50"/>
      <c r="O32" s="50">
        <f t="shared" si="18"/>
        <v>0</v>
      </c>
      <c r="P32" s="50">
        <f t="shared" si="19"/>
        <v>0</v>
      </c>
      <c r="Q32" s="50"/>
      <c r="R32" s="50">
        <f t="shared" si="20"/>
        <v>0</v>
      </c>
      <c r="S32" s="50">
        <f t="shared" si="21"/>
        <v>0</v>
      </c>
      <c r="T32" s="50"/>
      <c r="U32" s="50">
        <f t="shared" si="22"/>
        <v>0</v>
      </c>
      <c r="V32" s="50"/>
      <c r="W32" s="50">
        <f t="shared" si="23"/>
        <v>0</v>
      </c>
      <c r="X32" s="50"/>
      <c r="Y32" s="50">
        <f t="shared" si="24"/>
        <v>0</v>
      </c>
      <c r="Z32" s="50"/>
      <c r="AA32" s="50">
        <f t="shared" si="25"/>
        <v>0</v>
      </c>
      <c r="AB32" s="50">
        <f t="shared" si="26"/>
        <v>0</v>
      </c>
      <c r="AC32" s="30" t="str">
        <f t="shared" si="27"/>
        <v>ok</v>
      </c>
    </row>
    <row r="33" spans="1:29" x14ac:dyDescent="0.2">
      <c r="A33" s="94">
        <v>359</v>
      </c>
      <c r="B33" s="14" t="s">
        <v>422</v>
      </c>
      <c r="C33" s="14" t="s">
        <v>423</v>
      </c>
      <c r="D33" s="14" t="s">
        <v>391</v>
      </c>
      <c r="F33" s="234">
        <v>0</v>
      </c>
      <c r="G33" s="50"/>
      <c r="H33" s="50">
        <f t="shared" si="14"/>
        <v>0</v>
      </c>
      <c r="I33" s="50">
        <f t="shared" si="15"/>
        <v>0</v>
      </c>
      <c r="J33" s="50"/>
      <c r="K33" s="50">
        <f t="shared" si="16"/>
        <v>0</v>
      </c>
      <c r="L33" s="50"/>
      <c r="M33" s="50">
        <f t="shared" si="17"/>
        <v>0</v>
      </c>
      <c r="N33" s="50"/>
      <c r="O33" s="50">
        <f t="shared" si="18"/>
        <v>0</v>
      </c>
      <c r="P33" s="50">
        <f t="shared" si="19"/>
        <v>0</v>
      </c>
      <c r="Q33" s="50"/>
      <c r="R33" s="50">
        <f t="shared" si="20"/>
        <v>0</v>
      </c>
      <c r="S33" s="50">
        <f t="shared" si="21"/>
        <v>0</v>
      </c>
      <c r="T33" s="50"/>
      <c r="U33" s="50">
        <f t="shared" si="22"/>
        <v>0</v>
      </c>
      <c r="V33" s="50"/>
      <c r="W33" s="50">
        <f t="shared" si="23"/>
        <v>0</v>
      </c>
      <c r="X33" s="50"/>
      <c r="Y33" s="50">
        <f t="shared" si="24"/>
        <v>0</v>
      </c>
      <c r="Z33" s="50"/>
      <c r="AA33" s="50">
        <f t="shared" si="25"/>
        <v>0</v>
      </c>
      <c r="AB33" s="50">
        <f t="shared" si="26"/>
        <v>0</v>
      </c>
      <c r="AC33" s="30" t="str">
        <f t="shared" si="27"/>
        <v>ok</v>
      </c>
    </row>
    <row r="34" spans="1:29" x14ac:dyDescent="0.2">
      <c r="Q34" s="14"/>
      <c r="AB34" s="50"/>
      <c r="AC34" s="30"/>
    </row>
    <row r="35" spans="1:29" x14ac:dyDescent="0.2">
      <c r="B35" s="14" t="s">
        <v>359</v>
      </c>
      <c r="C35" s="14" t="s">
        <v>390</v>
      </c>
      <c r="F35" s="226">
        <f>SUM(F27:F34)</f>
        <v>0</v>
      </c>
      <c r="G35" s="93"/>
      <c r="H35" s="93">
        <f t="shared" ref="H35:AA35" si="28">SUM(H27:H34)</f>
        <v>0</v>
      </c>
      <c r="I35" s="93">
        <f t="shared" si="28"/>
        <v>0</v>
      </c>
      <c r="J35" s="93"/>
      <c r="K35" s="93">
        <f t="shared" si="28"/>
        <v>0</v>
      </c>
      <c r="L35" s="93"/>
      <c r="M35" s="93">
        <f t="shared" si="28"/>
        <v>0</v>
      </c>
      <c r="N35" s="93"/>
      <c r="O35" s="93">
        <f t="shared" si="28"/>
        <v>0</v>
      </c>
      <c r="P35" s="93">
        <f t="shared" si="28"/>
        <v>0</v>
      </c>
      <c r="Q35" s="93"/>
      <c r="R35" s="93">
        <f t="shared" si="28"/>
        <v>0</v>
      </c>
      <c r="S35" s="93">
        <f t="shared" si="28"/>
        <v>0</v>
      </c>
      <c r="T35" s="93"/>
      <c r="U35" s="93">
        <f t="shared" si="28"/>
        <v>0</v>
      </c>
      <c r="V35" s="93"/>
      <c r="W35" s="93">
        <f t="shared" si="28"/>
        <v>0</v>
      </c>
      <c r="X35" s="93"/>
      <c r="Y35" s="93">
        <f t="shared" si="28"/>
        <v>0</v>
      </c>
      <c r="Z35" s="93"/>
      <c r="AA35" s="93">
        <f t="shared" si="28"/>
        <v>0</v>
      </c>
      <c r="AB35" s="50">
        <f>SUM(H35:AA35)</f>
        <v>0</v>
      </c>
      <c r="AC35" s="30" t="str">
        <f>IF(ABS(AB35-F35)&lt;1,"ok","err")</f>
        <v>ok</v>
      </c>
    </row>
    <row r="36" spans="1:29" x14ac:dyDescent="0.2">
      <c r="Q36" s="14"/>
      <c r="AC36" s="30"/>
    </row>
    <row r="37" spans="1:29" x14ac:dyDescent="0.2">
      <c r="A37" s="28" t="s">
        <v>366</v>
      </c>
      <c r="Q37" s="14"/>
      <c r="AC37" s="30"/>
    </row>
    <row r="38" spans="1:29" x14ac:dyDescent="0.2">
      <c r="Q38" s="14"/>
      <c r="AC38" s="30"/>
    </row>
    <row r="39" spans="1:29" x14ac:dyDescent="0.2">
      <c r="A39" s="28" t="s">
        <v>21</v>
      </c>
      <c r="Q39" s="14"/>
      <c r="AC39" s="30"/>
    </row>
    <row r="40" spans="1:29" x14ac:dyDescent="0.2">
      <c r="A40" s="94">
        <v>360</v>
      </c>
      <c r="B40" s="14" t="s">
        <v>17</v>
      </c>
      <c r="C40" s="14" t="s">
        <v>18</v>
      </c>
      <c r="D40" s="14" t="s">
        <v>24</v>
      </c>
      <c r="F40" s="233">
        <v>52264.44</v>
      </c>
      <c r="G40" s="193"/>
      <c r="H40" s="50">
        <f>IF(VLOOKUP($D40,$C$5:$AA$493,6,)=0,0,((VLOOKUP($D40,$C$5:$AA$493,6,)/VLOOKUP($D40,$C$5:$AA$493,4,))*$F63))</f>
        <v>0</v>
      </c>
      <c r="I40" s="50">
        <f>IF(VLOOKUP($D40,$C$5:$AA$493,7,)=0,0,((VLOOKUP($D40,$C$5:$AA$493,7,)/VLOOKUP($D40,$C$5:$AA$493,4,))*$F63))</f>
        <v>0</v>
      </c>
      <c r="J40" s="50"/>
      <c r="K40" s="50">
        <f>IF(VLOOKUP($D40,$C$5:$AA$493,9,)=0,0,((VLOOKUP($D40,$C$5:$AA$493,9,)/VLOOKUP($D40,$C$5:$AA$493,4,))*$F63))</f>
        <v>0</v>
      </c>
      <c r="L40" s="50"/>
      <c r="M40" s="50">
        <f t="shared" ref="M40:M52" si="29">IF(VLOOKUP($D40,$C$5:$AA$493,11,)=0,0,((VLOOKUP($D40,$C$5:$AA$493,11,)/VLOOKUP($D40,$C$5:$AA$493,4,))*$F40))</f>
        <v>52264.44</v>
      </c>
      <c r="N40" s="50"/>
      <c r="O40" s="50">
        <f>IF(VLOOKUP($D40,$C$5:$AA$493,13,)=0,0,((VLOOKUP($D40,$C$5:$AA$493,13,)/VLOOKUP($D40,$C$5:$AA$493,4,))*$F63))</f>
        <v>0</v>
      </c>
      <c r="P40" s="50">
        <f>IF(VLOOKUP($D40,$C$5:$AA$493,14,)=0,0,((VLOOKUP($D40,$C$5:$AA$493,14,)/VLOOKUP($D40,$C$5:$AA$493,4,))*$F63))</f>
        <v>0</v>
      </c>
      <c r="Q40" s="50"/>
      <c r="R40" s="50">
        <f>IF(VLOOKUP($D40,$C$5:$AA$493,16,)=0,0,((VLOOKUP($D40,$C$5:$AA$493,16,)/VLOOKUP($D40,$C$5:$AA$493,4,))*$F63))</f>
        <v>0</v>
      </c>
      <c r="S40" s="50">
        <f>IF(VLOOKUP($D40,$C$5:$AA$493,17,)=0,0,((VLOOKUP($D40,$C$5:$AA$493,17,)/VLOOKUP($D40,$C$5:$AA$493,4,))*$F63))</f>
        <v>0</v>
      </c>
      <c r="T40" s="50"/>
      <c r="U40" s="50">
        <f>IF(VLOOKUP($D40,$C$5:$AA$493,19,)=0,0,((VLOOKUP($D40,$C$5:$AA$493,19,)/VLOOKUP($D40,$C$5:$AA$493,4,))*$F63))</f>
        <v>0</v>
      </c>
      <c r="V40" s="50"/>
      <c r="W40" s="50">
        <f>IF(VLOOKUP($D40,$C$5:$AA$493,21,)=0,0,((VLOOKUP($D40,$C$5:$AA$493,21,)/VLOOKUP($D40,$C$5:$AA$493,4,))*$F63))</f>
        <v>0</v>
      </c>
      <c r="X40" s="50"/>
      <c r="Y40" s="50">
        <f>IF(VLOOKUP($D40,$C$5:$AA$493,23,)=0,0,((VLOOKUP($D40,$C$5:$AA$493,23,)/VLOOKUP($D40,$C$5:$AA$493,4,))*$F63))</f>
        <v>0</v>
      </c>
      <c r="Z40" s="50"/>
      <c r="AA40" s="50">
        <f>IF(VLOOKUP($D40,$C$5:$AA$493,25,)=0,0,((VLOOKUP($D40,$C$5:$AA$493,25,)/VLOOKUP($D40,$C$5:$AA$493,4,))*$F63))</f>
        <v>0</v>
      </c>
      <c r="AB40" s="50">
        <f t="shared" ref="AB40:AB52" si="30">SUM(H40:AA40)</f>
        <v>52264.44</v>
      </c>
      <c r="AC40" s="30" t="str">
        <f>IF(ABS(AB40-F40)&lt;1,"ok","err")</f>
        <v>ok</v>
      </c>
    </row>
    <row r="41" spans="1:29" x14ac:dyDescent="0.2">
      <c r="A41" s="94">
        <v>361</v>
      </c>
      <c r="B41" s="14" t="s">
        <v>53</v>
      </c>
      <c r="C41" s="14" t="s">
        <v>424</v>
      </c>
      <c r="D41" s="14" t="s">
        <v>24</v>
      </c>
      <c r="F41" s="234">
        <v>17823.849999999999</v>
      </c>
      <c r="G41" s="194"/>
      <c r="H41" s="50">
        <f t="shared" ref="H41:H52" si="31">IF(VLOOKUP($D41,$C$5:$AA$493,6,)=0,0,((VLOOKUP($D41,$C$5:$AA$493,6,)/VLOOKUP($D41,$C$5:$AA$493,4,))*$F41))</f>
        <v>0</v>
      </c>
      <c r="I41" s="50">
        <f t="shared" ref="I41:I52" si="32">IF(VLOOKUP($D41,$C$5:$AA$493,7,)=0,0,((VLOOKUP($D41,$C$5:$AA$493,7,)/VLOOKUP($D41,$C$5:$AA$493,4,))*$F41))</f>
        <v>0</v>
      </c>
      <c r="J41" s="50"/>
      <c r="K41" s="50">
        <f t="shared" ref="K41:K52" si="33">IF(VLOOKUP($D41,$C$5:$AA$493,9,)=0,0,((VLOOKUP($D41,$C$5:$AA$493,9,)/VLOOKUP($D41,$C$5:$AA$493,4,))*$F41))</f>
        <v>0</v>
      </c>
      <c r="L41" s="50"/>
      <c r="M41" s="50">
        <f t="shared" si="29"/>
        <v>17823.849999999999</v>
      </c>
      <c r="N41" s="50"/>
      <c r="O41" s="50">
        <f t="shared" ref="O41:O52" si="34">IF(VLOOKUP($D41,$C$5:$AA$493,13,)=0,0,((VLOOKUP($D41,$C$5:$AA$493,13,)/VLOOKUP($D41,$C$5:$AA$493,4,))*$F41))</f>
        <v>0</v>
      </c>
      <c r="P41" s="50">
        <f t="shared" ref="P41:P52" si="35">IF(VLOOKUP($D41,$C$5:$AA$493,14,)=0,0,((VLOOKUP($D41,$C$5:$AA$493,14,)/VLOOKUP($D41,$C$5:$AA$493,4,))*$F41))</f>
        <v>0</v>
      </c>
      <c r="Q41" s="50"/>
      <c r="R41" s="50">
        <f t="shared" ref="R41:R52" si="36">IF(VLOOKUP($D41,$C$5:$AA$493,16,)=0,0,((VLOOKUP($D41,$C$5:$AA$493,16,)/VLOOKUP($D41,$C$5:$AA$493,4,))*$F41))</f>
        <v>0</v>
      </c>
      <c r="S41" s="50">
        <f t="shared" ref="S41:S52" si="37">IF(VLOOKUP($D41,$C$5:$AA$493,17,)=0,0,((VLOOKUP($D41,$C$5:$AA$493,17,)/VLOOKUP($D41,$C$5:$AA$493,4,))*$F41))</f>
        <v>0</v>
      </c>
      <c r="T41" s="50"/>
      <c r="U41" s="50">
        <f t="shared" ref="U41:U52" si="38">IF(VLOOKUP($D41,$C$5:$AA$493,19,)=0,0,((VLOOKUP($D41,$C$5:$AA$493,19,)/VLOOKUP($D41,$C$5:$AA$493,4,))*$F41))</f>
        <v>0</v>
      </c>
      <c r="V41" s="50"/>
      <c r="W41" s="50">
        <f t="shared" ref="W41:W52" si="39">IF(VLOOKUP($D41,$C$5:$AA$493,21,)=0,0,((VLOOKUP($D41,$C$5:$AA$493,21,)/VLOOKUP($D41,$C$5:$AA$493,4,))*$F41))</f>
        <v>0</v>
      </c>
      <c r="X41" s="50"/>
      <c r="Y41" s="50">
        <f t="shared" ref="Y41:Y52" si="40">IF(VLOOKUP($D41,$C$5:$AA$493,23,)=0,0,((VLOOKUP($D41,$C$5:$AA$493,23,)/VLOOKUP($D41,$C$5:$AA$493,4,))*$F41))</f>
        <v>0</v>
      </c>
      <c r="Z41" s="50"/>
      <c r="AA41" s="50">
        <f t="shared" ref="AA41:AA52" si="41">IF(VLOOKUP($D41,$C$5:$AA$493,25,)=0,0,((VLOOKUP($D41,$C$5:$AA$493,25,)/VLOOKUP($D41,$C$5:$AA$493,4,))*$F41))</f>
        <v>0</v>
      </c>
      <c r="AB41" s="50">
        <f t="shared" si="30"/>
        <v>17823.849999999999</v>
      </c>
      <c r="AC41" s="30" t="str">
        <f t="shared" ref="AC41:AC52" si="42">IF(ABS(AB41-F41)&lt;1,"ok","err")</f>
        <v>ok</v>
      </c>
    </row>
    <row r="42" spans="1:29" x14ac:dyDescent="0.2">
      <c r="A42" s="94">
        <v>362</v>
      </c>
      <c r="B42" s="14" t="s">
        <v>22</v>
      </c>
      <c r="C42" s="14" t="s">
        <v>23</v>
      </c>
      <c r="D42" s="14" t="s">
        <v>24</v>
      </c>
      <c r="F42" s="234">
        <v>944144.49</v>
      </c>
      <c r="G42" s="194"/>
      <c r="H42" s="50">
        <f t="shared" si="31"/>
        <v>0</v>
      </c>
      <c r="I42" s="50">
        <f t="shared" si="32"/>
        <v>0</v>
      </c>
      <c r="J42" s="50"/>
      <c r="K42" s="50">
        <f t="shared" si="33"/>
        <v>0</v>
      </c>
      <c r="L42" s="50"/>
      <c r="M42" s="50">
        <f t="shared" si="29"/>
        <v>944144.49</v>
      </c>
      <c r="N42" s="50"/>
      <c r="O42" s="50">
        <f t="shared" si="34"/>
        <v>0</v>
      </c>
      <c r="P42" s="50">
        <f t="shared" si="35"/>
        <v>0</v>
      </c>
      <c r="Q42" s="50"/>
      <c r="R42" s="50">
        <f t="shared" si="36"/>
        <v>0</v>
      </c>
      <c r="S42" s="50">
        <f t="shared" si="37"/>
        <v>0</v>
      </c>
      <c r="T42" s="50"/>
      <c r="U42" s="50">
        <f t="shared" si="38"/>
        <v>0</v>
      </c>
      <c r="V42" s="50"/>
      <c r="W42" s="50">
        <f t="shared" si="39"/>
        <v>0</v>
      </c>
      <c r="X42" s="50"/>
      <c r="Y42" s="50">
        <f t="shared" si="40"/>
        <v>0</v>
      </c>
      <c r="Z42" s="50"/>
      <c r="AA42" s="50">
        <f t="shared" si="41"/>
        <v>0</v>
      </c>
      <c r="AB42" s="50">
        <f t="shared" si="30"/>
        <v>944144.49</v>
      </c>
      <c r="AC42" s="30" t="str">
        <f t="shared" si="42"/>
        <v>ok</v>
      </c>
    </row>
    <row r="43" spans="1:29" x14ac:dyDescent="0.2">
      <c r="A43" s="94">
        <v>364</v>
      </c>
      <c r="B43" s="14" t="s">
        <v>25</v>
      </c>
      <c r="C43" s="14" t="s">
        <v>26</v>
      </c>
      <c r="D43" s="14" t="s">
        <v>27</v>
      </c>
      <c r="F43" s="234">
        <v>73680362.329999998</v>
      </c>
      <c r="G43" s="194"/>
      <c r="H43" s="50">
        <f t="shared" si="31"/>
        <v>0</v>
      </c>
      <c r="I43" s="50">
        <f t="shared" si="32"/>
        <v>0</v>
      </c>
      <c r="J43" s="50"/>
      <c r="K43" s="50">
        <f t="shared" si="33"/>
        <v>0</v>
      </c>
      <c r="L43" s="50"/>
      <c r="M43" s="50">
        <f t="shared" si="29"/>
        <v>0</v>
      </c>
      <c r="N43" s="50"/>
      <c r="O43" s="50">
        <f t="shared" si="34"/>
        <v>52643507.177498564</v>
      </c>
      <c r="P43" s="50">
        <f t="shared" si="35"/>
        <v>21036855.152501434</v>
      </c>
      <c r="Q43" s="50"/>
      <c r="R43" s="50">
        <f t="shared" si="36"/>
        <v>0</v>
      </c>
      <c r="S43" s="50">
        <f t="shared" si="37"/>
        <v>0</v>
      </c>
      <c r="T43" s="50"/>
      <c r="U43" s="50">
        <f t="shared" si="38"/>
        <v>0</v>
      </c>
      <c r="V43" s="50"/>
      <c r="W43" s="50">
        <f t="shared" si="39"/>
        <v>0</v>
      </c>
      <c r="X43" s="50"/>
      <c r="Y43" s="50">
        <f t="shared" si="40"/>
        <v>0</v>
      </c>
      <c r="Z43" s="50"/>
      <c r="AA43" s="50">
        <f t="shared" si="41"/>
        <v>0</v>
      </c>
      <c r="AB43" s="50">
        <f t="shared" si="30"/>
        <v>73680362.329999998</v>
      </c>
      <c r="AC43" s="30" t="str">
        <f t="shared" si="42"/>
        <v>ok</v>
      </c>
    </row>
    <row r="44" spans="1:29" x14ac:dyDescent="0.2">
      <c r="A44" s="94">
        <v>365</v>
      </c>
      <c r="B44" s="14" t="s">
        <v>28</v>
      </c>
      <c r="C44" s="14" t="s">
        <v>29</v>
      </c>
      <c r="D44" s="14" t="s">
        <v>30</v>
      </c>
      <c r="F44" s="234">
        <v>74544839.650000006</v>
      </c>
      <c r="G44" s="194"/>
      <c r="H44" s="50">
        <f t="shared" si="31"/>
        <v>0</v>
      </c>
      <c r="I44" s="50">
        <f t="shared" si="32"/>
        <v>0</v>
      </c>
      <c r="J44" s="50"/>
      <c r="K44" s="50">
        <f t="shared" si="33"/>
        <v>0</v>
      </c>
      <c r="L44" s="50"/>
      <c r="M44" s="50">
        <f t="shared" si="29"/>
        <v>0</v>
      </c>
      <c r="N44" s="50"/>
      <c r="O44" s="50">
        <f t="shared" si="34"/>
        <v>53261163.179193817</v>
      </c>
      <c r="P44" s="50">
        <f t="shared" si="35"/>
        <v>21283676.470806193</v>
      </c>
      <c r="Q44" s="50"/>
      <c r="R44" s="50">
        <f t="shared" si="36"/>
        <v>0</v>
      </c>
      <c r="S44" s="50">
        <f t="shared" si="37"/>
        <v>0</v>
      </c>
      <c r="T44" s="50"/>
      <c r="U44" s="50">
        <f t="shared" si="38"/>
        <v>0</v>
      </c>
      <c r="V44" s="50"/>
      <c r="W44" s="50">
        <f t="shared" si="39"/>
        <v>0</v>
      </c>
      <c r="X44" s="50"/>
      <c r="Y44" s="50">
        <f t="shared" si="40"/>
        <v>0</v>
      </c>
      <c r="Z44" s="50"/>
      <c r="AA44" s="50">
        <f t="shared" si="41"/>
        <v>0</v>
      </c>
      <c r="AB44" s="50">
        <f t="shared" si="30"/>
        <v>74544839.650000006</v>
      </c>
      <c r="AC44" s="30" t="str">
        <f t="shared" si="42"/>
        <v>ok</v>
      </c>
    </row>
    <row r="45" spans="1:29" x14ac:dyDescent="0.2">
      <c r="A45" s="94">
        <v>366</v>
      </c>
      <c r="B45" s="14" t="s">
        <v>31</v>
      </c>
      <c r="C45" s="14" t="s">
        <v>32</v>
      </c>
      <c r="D45" s="14" t="s">
        <v>33</v>
      </c>
      <c r="F45" s="234">
        <v>668536.43000000005</v>
      </c>
      <c r="G45" s="194"/>
      <c r="H45" s="50">
        <f t="shared" si="31"/>
        <v>0</v>
      </c>
      <c r="I45" s="50">
        <f t="shared" si="32"/>
        <v>0</v>
      </c>
      <c r="J45" s="50"/>
      <c r="K45" s="50">
        <f t="shared" si="33"/>
        <v>0</v>
      </c>
      <c r="L45" s="50"/>
      <c r="M45" s="50">
        <f t="shared" si="29"/>
        <v>0</v>
      </c>
      <c r="N45" s="50"/>
      <c r="O45" s="50">
        <f t="shared" si="34"/>
        <v>336178.11903930223</v>
      </c>
      <c r="P45" s="50">
        <f t="shared" si="35"/>
        <v>332358.31096069783</v>
      </c>
      <c r="Q45" s="50"/>
      <c r="R45" s="50">
        <f t="shared" si="36"/>
        <v>0</v>
      </c>
      <c r="S45" s="50">
        <f t="shared" si="37"/>
        <v>0</v>
      </c>
      <c r="T45" s="50"/>
      <c r="U45" s="50">
        <f t="shared" si="38"/>
        <v>0</v>
      </c>
      <c r="V45" s="50"/>
      <c r="W45" s="50">
        <f t="shared" si="39"/>
        <v>0</v>
      </c>
      <c r="X45" s="50"/>
      <c r="Y45" s="50">
        <f t="shared" si="40"/>
        <v>0</v>
      </c>
      <c r="Z45" s="50"/>
      <c r="AA45" s="50">
        <f t="shared" si="41"/>
        <v>0</v>
      </c>
      <c r="AB45" s="50">
        <f t="shared" si="30"/>
        <v>668536.43000000005</v>
      </c>
      <c r="AC45" s="30" t="str">
        <f t="shared" si="42"/>
        <v>ok</v>
      </c>
    </row>
    <row r="46" spans="1:29" x14ac:dyDescent="0.2">
      <c r="A46" s="94">
        <v>367</v>
      </c>
      <c r="B46" s="14" t="s">
        <v>34</v>
      </c>
      <c r="C46" s="14" t="s">
        <v>35</v>
      </c>
      <c r="D46" s="14" t="s">
        <v>33</v>
      </c>
      <c r="F46" s="234">
        <v>11064793.970000001</v>
      </c>
      <c r="G46" s="194"/>
      <c r="H46" s="50">
        <f t="shared" si="31"/>
        <v>0</v>
      </c>
      <c r="I46" s="50">
        <f t="shared" si="32"/>
        <v>0</v>
      </c>
      <c r="J46" s="50"/>
      <c r="K46" s="50">
        <f t="shared" si="33"/>
        <v>0</v>
      </c>
      <c r="L46" s="50"/>
      <c r="M46" s="50">
        <f t="shared" si="29"/>
        <v>0</v>
      </c>
      <c r="N46" s="50"/>
      <c r="O46" s="50">
        <f t="shared" si="34"/>
        <v>5564007.3711346043</v>
      </c>
      <c r="P46" s="50">
        <f t="shared" si="35"/>
        <v>5500786.5988653963</v>
      </c>
      <c r="Q46" s="50"/>
      <c r="R46" s="50">
        <f t="shared" si="36"/>
        <v>0</v>
      </c>
      <c r="S46" s="50">
        <f t="shared" si="37"/>
        <v>0</v>
      </c>
      <c r="T46" s="50"/>
      <c r="U46" s="50">
        <f t="shared" si="38"/>
        <v>0</v>
      </c>
      <c r="V46" s="50"/>
      <c r="W46" s="50">
        <f t="shared" si="39"/>
        <v>0</v>
      </c>
      <c r="X46" s="50"/>
      <c r="Y46" s="50">
        <f t="shared" si="40"/>
        <v>0</v>
      </c>
      <c r="Z46" s="50"/>
      <c r="AA46" s="50">
        <f t="shared" si="41"/>
        <v>0</v>
      </c>
      <c r="AB46" s="50">
        <f t="shared" si="30"/>
        <v>11064793.970000001</v>
      </c>
      <c r="AC46" s="30" t="str">
        <f t="shared" si="42"/>
        <v>ok</v>
      </c>
    </row>
    <row r="47" spans="1:29" x14ac:dyDescent="0.2">
      <c r="A47" s="94">
        <v>368</v>
      </c>
      <c r="B47" s="14" t="s">
        <v>36</v>
      </c>
      <c r="C47" s="14" t="s">
        <v>37</v>
      </c>
      <c r="D47" s="14" t="s">
        <v>38</v>
      </c>
      <c r="F47" s="234">
        <v>49484220.289999999</v>
      </c>
      <c r="G47" s="194"/>
      <c r="H47" s="50">
        <f t="shared" si="31"/>
        <v>0</v>
      </c>
      <c r="I47" s="50">
        <f t="shared" si="32"/>
        <v>0</v>
      </c>
      <c r="J47" s="50"/>
      <c r="K47" s="50">
        <f t="shared" si="33"/>
        <v>0</v>
      </c>
      <c r="L47" s="50"/>
      <c r="M47" s="50">
        <f t="shared" si="29"/>
        <v>0</v>
      </c>
      <c r="N47" s="50"/>
      <c r="O47" s="50">
        <f t="shared" si="34"/>
        <v>22209382.720665388</v>
      </c>
      <c r="P47" s="50">
        <f t="shared" si="35"/>
        <v>27274837.569334611</v>
      </c>
      <c r="Q47" s="50"/>
      <c r="R47" s="50">
        <f t="shared" si="36"/>
        <v>0</v>
      </c>
      <c r="S47" s="50">
        <f t="shared" si="37"/>
        <v>0</v>
      </c>
      <c r="T47" s="50"/>
      <c r="U47" s="50">
        <f t="shared" si="38"/>
        <v>0</v>
      </c>
      <c r="V47" s="50"/>
      <c r="W47" s="50">
        <f t="shared" si="39"/>
        <v>0</v>
      </c>
      <c r="X47" s="50"/>
      <c r="Y47" s="50">
        <f t="shared" si="40"/>
        <v>0</v>
      </c>
      <c r="Z47" s="50"/>
      <c r="AA47" s="50">
        <f t="shared" si="41"/>
        <v>0</v>
      </c>
      <c r="AB47" s="50">
        <f t="shared" si="30"/>
        <v>49484220.289999999</v>
      </c>
      <c r="AC47" s="30" t="str">
        <f t="shared" si="42"/>
        <v>ok</v>
      </c>
    </row>
    <row r="48" spans="1:29" x14ac:dyDescent="0.2">
      <c r="A48" s="94">
        <v>369</v>
      </c>
      <c r="B48" s="14" t="s">
        <v>39</v>
      </c>
      <c r="C48" s="14" t="s">
        <v>40</v>
      </c>
      <c r="D48" s="14" t="s">
        <v>41</v>
      </c>
      <c r="F48" s="234">
        <v>34665175.979999997</v>
      </c>
      <c r="G48" s="194"/>
      <c r="H48" s="50">
        <f t="shared" si="31"/>
        <v>0</v>
      </c>
      <c r="I48" s="50">
        <f t="shared" si="32"/>
        <v>0</v>
      </c>
      <c r="J48" s="50"/>
      <c r="K48" s="50">
        <f t="shared" si="33"/>
        <v>0</v>
      </c>
      <c r="L48" s="50"/>
      <c r="M48" s="50">
        <f t="shared" si="29"/>
        <v>0</v>
      </c>
      <c r="N48" s="50"/>
      <c r="O48" s="50">
        <f t="shared" si="34"/>
        <v>0</v>
      </c>
      <c r="P48" s="50">
        <f t="shared" si="35"/>
        <v>0</v>
      </c>
      <c r="Q48" s="50"/>
      <c r="R48" s="50">
        <f t="shared" si="36"/>
        <v>0</v>
      </c>
      <c r="S48" s="50">
        <f t="shared" si="37"/>
        <v>34665175.979999997</v>
      </c>
      <c r="T48" s="50"/>
      <c r="U48" s="50">
        <f t="shared" si="38"/>
        <v>0</v>
      </c>
      <c r="V48" s="50"/>
      <c r="W48" s="50">
        <f t="shared" si="39"/>
        <v>0</v>
      </c>
      <c r="X48" s="50"/>
      <c r="Y48" s="50">
        <f t="shared" si="40"/>
        <v>0</v>
      </c>
      <c r="Z48" s="50"/>
      <c r="AA48" s="50">
        <f t="shared" si="41"/>
        <v>0</v>
      </c>
      <c r="AB48" s="50">
        <f t="shared" si="30"/>
        <v>34665175.979999997</v>
      </c>
      <c r="AC48" s="30" t="str">
        <f t="shared" si="42"/>
        <v>ok</v>
      </c>
    </row>
    <row r="49" spans="1:30" x14ac:dyDescent="0.2">
      <c r="A49" s="94">
        <v>370</v>
      </c>
      <c r="B49" s="14" t="s">
        <v>42</v>
      </c>
      <c r="C49" s="14" t="s">
        <v>43</v>
      </c>
      <c r="D49" s="14" t="s">
        <v>44</v>
      </c>
      <c r="F49" s="234">
        <v>15082808.550000001</v>
      </c>
      <c r="G49" s="194"/>
      <c r="H49" s="50">
        <f t="shared" si="31"/>
        <v>0</v>
      </c>
      <c r="I49" s="50">
        <f t="shared" si="32"/>
        <v>0</v>
      </c>
      <c r="J49" s="50"/>
      <c r="K49" s="50">
        <f t="shared" si="33"/>
        <v>0</v>
      </c>
      <c r="L49" s="50"/>
      <c r="M49" s="50">
        <f t="shared" si="29"/>
        <v>0</v>
      </c>
      <c r="N49" s="50"/>
      <c r="O49" s="50">
        <f t="shared" si="34"/>
        <v>0</v>
      </c>
      <c r="P49" s="50">
        <f t="shared" si="35"/>
        <v>0</v>
      </c>
      <c r="Q49" s="50"/>
      <c r="R49" s="50">
        <f t="shared" si="36"/>
        <v>0</v>
      </c>
      <c r="S49" s="50">
        <f t="shared" si="37"/>
        <v>0</v>
      </c>
      <c r="T49" s="50"/>
      <c r="U49" s="50">
        <f t="shared" si="38"/>
        <v>15082808.550000001</v>
      </c>
      <c r="V49" s="50"/>
      <c r="W49" s="50">
        <f t="shared" si="39"/>
        <v>0</v>
      </c>
      <c r="X49" s="50"/>
      <c r="Y49" s="50">
        <f t="shared" si="40"/>
        <v>0</v>
      </c>
      <c r="Z49" s="50"/>
      <c r="AA49" s="50">
        <f t="shared" si="41"/>
        <v>0</v>
      </c>
      <c r="AB49" s="50">
        <f t="shared" si="30"/>
        <v>15082808.550000001</v>
      </c>
      <c r="AC49" s="30" t="str">
        <f t="shared" si="42"/>
        <v>ok</v>
      </c>
    </row>
    <row r="50" spans="1:30" x14ac:dyDescent="0.2">
      <c r="A50" s="94">
        <v>371</v>
      </c>
      <c r="B50" s="14" t="s">
        <v>45</v>
      </c>
      <c r="C50" s="14" t="s">
        <v>46</v>
      </c>
      <c r="D50" s="14" t="s">
        <v>546</v>
      </c>
      <c r="F50" s="234">
        <v>13643824.73</v>
      </c>
      <c r="G50" s="194"/>
      <c r="H50" s="50">
        <f t="shared" si="31"/>
        <v>0</v>
      </c>
      <c r="I50" s="50">
        <f t="shared" si="32"/>
        <v>0</v>
      </c>
      <c r="J50" s="50"/>
      <c r="K50" s="50">
        <f t="shared" si="33"/>
        <v>0</v>
      </c>
      <c r="L50" s="50"/>
      <c r="M50" s="50">
        <f t="shared" si="29"/>
        <v>0</v>
      </c>
      <c r="N50" s="50"/>
      <c r="O50" s="50">
        <f t="shared" si="34"/>
        <v>0</v>
      </c>
      <c r="P50" s="50">
        <f t="shared" si="35"/>
        <v>0</v>
      </c>
      <c r="Q50" s="50"/>
      <c r="R50" s="50">
        <f t="shared" si="36"/>
        <v>0</v>
      </c>
      <c r="S50" s="50">
        <f t="shared" si="37"/>
        <v>0</v>
      </c>
      <c r="T50" s="50"/>
      <c r="U50" s="50">
        <f t="shared" si="38"/>
        <v>0</v>
      </c>
      <c r="V50" s="50"/>
      <c r="W50" s="50">
        <f t="shared" si="39"/>
        <v>13643824.73</v>
      </c>
      <c r="X50" s="50"/>
      <c r="Y50" s="50">
        <f t="shared" si="40"/>
        <v>0</v>
      </c>
      <c r="Z50" s="50"/>
      <c r="AA50" s="50">
        <f t="shared" si="41"/>
        <v>0</v>
      </c>
      <c r="AB50" s="50">
        <f t="shared" si="30"/>
        <v>13643824.73</v>
      </c>
      <c r="AC50" s="30" t="str">
        <f t="shared" si="42"/>
        <v>ok</v>
      </c>
    </row>
    <row r="51" spans="1:30" x14ac:dyDescent="0.2">
      <c r="A51" s="94">
        <v>372</v>
      </c>
      <c r="B51" s="14" t="s">
        <v>574</v>
      </c>
      <c r="C51" s="14" t="s">
        <v>575</v>
      </c>
      <c r="D51" s="14" t="s">
        <v>546</v>
      </c>
      <c r="F51" s="234">
        <v>0</v>
      </c>
      <c r="G51" s="194"/>
      <c r="H51" s="50">
        <f t="shared" si="31"/>
        <v>0</v>
      </c>
      <c r="I51" s="50">
        <f t="shared" si="32"/>
        <v>0</v>
      </c>
      <c r="J51" s="50"/>
      <c r="K51" s="50">
        <f t="shared" si="33"/>
        <v>0</v>
      </c>
      <c r="L51" s="50"/>
      <c r="M51" s="50">
        <f t="shared" si="29"/>
        <v>0</v>
      </c>
      <c r="N51" s="50"/>
      <c r="O51" s="50">
        <f t="shared" si="34"/>
        <v>0</v>
      </c>
      <c r="P51" s="50">
        <f t="shared" si="35"/>
        <v>0</v>
      </c>
      <c r="Q51" s="50"/>
      <c r="R51" s="50">
        <f t="shared" si="36"/>
        <v>0</v>
      </c>
      <c r="S51" s="50">
        <f t="shared" si="37"/>
        <v>0</v>
      </c>
      <c r="T51" s="50"/>
      <c r="U51" s="50">
        <f t="shared" si="38"/>
        <v>0</v>
      </c>
      <c r="V51" s="50"/>
      <c r="W51" s="50">
        <f t="shared" si="39"/>
        <v>0</v>
      </c>
      <c r="X51" s="50"/>
      <c r="Y51" s="50">
        <f t="shared" si="40"/>
        <v>0</v>
      </c>
      <c r="Z51" s="50"/>
      <c r="AA51" s="50">
        <f t="shared" si="41"/>
        <v>0</v>
      </c>
      <c r="AB51" s="50">
        <f t="shared" si="30"/>
        <v>0</v>
      </c>
      <c r="AC51" s="30" t="str">
        <f t="shared" si="42"/>
        <v>ok</v>
      </c>
    </row>
    <row r="52" spans="1:30" x14ac:dyDescent="0.2">
      <c r="A52" s="94">
        <v>373</v>
      </c>
      <c r="B52" s="14" t="s">
        <v>47</v>
      </c>
      <c r="C52" s="14" t="s">
        <v>48</v>
      </c>
      <c r="D52" s="14" t="s">
        <v>49</v>
      </c>
      <c r="F52" s="234">
        <v>1328314.6299999999</v>
      </c>
      <c r="G52" s="194"/>
      <c r="H52" s="50">
        <f t="shared" si="31"/>
        <v>0</v>
      </c>
      <c r="I52" s="50">
        <f t="shared" si="32"/>
        <v>0</v>
      </c>
      <c r="J52" s="50"/>
      <c r="K52" s="50">
        <f t="shared" si="33"/>
        <v>0</v>
      </c>
      <c r="L52" s="50"/>
      <c r="M52" s="50">
        <f t="shared" si="29"/>
        <v>0</v>
      </c>
      <c r="N52" s="50"/>
      <c r="O52" s="50">
        <f t="shared" si="34"/>
        <v>0</v>
      </c>
      <c r="P52" s="50">
        <f t="shared" si="35"/>
        <v>0</v>
      </c>
      <c r="Q52" s="50"/>
      <c r="R52" s="50">
        <f t="shared" si="36"/>
        <v>0</v>
      </c>
      <c r="S52" s="50">
        <f t="shared" si="37"/>
        <v>0</v>
      </c>
      <c r="T52" s="50"/>
      <c r="U52" s="50">
        <f t="shared" si="38"/>
        <v>0</v>
      </c>
      <c r="V52" s="50"/>
      <c r="W52" s="50">
        <f t="shared" si="39"/>
        <v>1328314.6299999999</v>
      </c>
      <c r="X52" s="50"/>
      <c r="Y52" s="50">
        <f t="shared" si="40"/>
        <v>0</v>
      </c>
      <c r="Z52" s="50"/>
      <c r="AA52" s="50">
        <f t="shared" si="41"/>
        <v>0</v>
      </c>
      <c r="AB52" s="50">
        <f t="shared" si="30"/>
        <v>1328314.6299999999</v>
      </c>
      <c r="AC52" s="30" t="str">
        <f t="shared" si="42"/>
        <v>ok</v>
      </c>
    </row>
    <row r="53" spans="1:30" x14ac:dyDescent="0.2">
      <c r="A53" s="94"/>
      <c r="F53" s="234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30"/>
    </row>
    <row r="54" spans="1:30" x14ac:dyDescent="0.2">
      <c r="B54" s="14" t="s">
        <v>50</v>
      </c>
      <c r="C54" s="14" t="s">
        <v>16</v>
      </c>
      <c r="F54" s="233">
        <f>SUM(F40:F53)</f>
        <v>275177109.33999997</v>
      </c>
      <c r="G54" s="66"/>
      <c r="H54" s="66">
        <f>SUM(H40:H53)</f>
        <v>0</v>
      </c>
      <c r="I54" s="66">
        <f>SUM(I40:I53)</f>
        <v>0</v>
      </c>
      <c r="J54" s="66"/>
      <c r="K54" s="66"/>
      <c r="L54" s="66">
        <f>SUM(L40:L53)</f>
        <v>0</v>
      </c>
      <c r="M54" s="66">
        <f>SUM(M40:M53)</f>
        <v>1014232.78</v>
      </c>
      <c r="N54" s="66"/>
      <c r="O54" s="66">
        <f>SUM(O40:O53)</f>
        <v>134014238.56753168</v>
      </c>
      <c r="P54" s="66">
        <f>SUM(P40:P53)</f>
        <v>75428514.102468342</v>
      </c>
      <c r="Q54" s="66"/>
      <c r="R54" s="66">
        <f>SUM(R40:R52)</f>
        <v>0</v>
      </c>
      <c r="S54" s="66">
        <f>SUM(S40:S52)</f>
        <v>34665175.979999997</v>
      </c>
      <c r="T54" s="66"/>
      <c r="U54" s="66">
        <f>SUM(U40:U52)</f>
        <v>15082808.550000001</v>
      </c>
      <c r="V54" s="66"/>
      <c r="W54" s="66">
        <f>SUM(W40:W52)</f>
        <v>14972139.359999999</v>
      </c>
      <c r="X54" s="66"/>
      <c r="Y54" s="66">
        <f>SUM(Y40:Y52)</f>
        <v>0</v>
      </c>
      <c r="Z54" s="66"/>
      <c r="AA54" s="66">
        <f>SUM(AA40:AA52)</f>
        <v>0</v>
      </c>
      <c r="AB54" s="50">
        <f>SUM(H54:AA54)</f>
        <v>275177109.34000003</v>
      </c>
      <c r="AC54" s="30" t="str">
        <f>IF(ABS(AB54-F54)&lt;1,"ok","err")</f>
        <v>ok</v>
      </c>
      <c r="AD54" s="36"/>
    </row>
    <row r="55" spans="1:30" x14ac:dyDescent="0.2">
      <c r="Q55" s="14"/>
      <c r="AC55" s="30"/>
      <c r="AD55" s="36"/>
    </row>
    <row r="56" spans="1:30" x14ac:dyDescent="0.2">
      <c r="B56" s="14" t="s">
        <v>751</v>
      </c>
      <c r="C56" s="14" t="s">
        <v>392</v>
      </c>
      <c r="F56" s="226">
        <f t="shared" ref="F56:M56" si="43">F35+F54</f>
        <v>275177109.33999997</v>
      </c>
      <c r="G56" s="93"/>
      <c r="H56" s="93">
        <f t="shared" si="43"/>
        <v>0</v>
      </c>
      <c r="I56" s="93">
        <f t="shared" si="43"/>
        <v>0</v>
      </c>
      <c r="J56" s="93">
        <f t="shared" si="43"/>
        <v>0</v>
      </c>
      <c r="K56" s="93">
        <f t="shared" si="43"/>
        <v>0</v>
      </c>
      <c r="L56" s="93">
        <f t="shared" si="43"/>
        <v>0</v>
      </c>
      <c r="M56" s="93">
        <f t="shared" si="43"/>
        <v>1014232.78</v>
      </c>
      <c r="N56" s="93"/>
      <c r="O56" s="93">
        <f t="shared" ref="O56:AA56" si="44">O35+O54</f>
        <v>134014238.56753168</v>
      </c>
      <c r="P56" s="93">
        <f t="shared" si="44"/>
        <v>75428514.102468342</v>
      </c>
      <c r="Q56" s="93">
        <f t="shared" si="44"/>
        <v>0</v>
      </c>
      <c r="R56" s="93">
        <f t="shared" si="44"/>
        <v>0</v>
      </c>
      <c r="S56" s="93">
        <f t="shared" si="44"/>
        <v>34665175.979999997</v>
      </c>
      <c r="T56" s="93">
        <f t="shared" si="44"/>
        <v>0</v>
      </c>
      <c r="U56" s="93">
        <f t="shared" si="44"/>
        <v>15082808.550000001</v>
      </c>
      <c r="V56" s="93">
        <f t="shared" si="44"/>
        <v>0</v>
      </c>
      <c r="W56" s="93">
        <f t="shared" si="44"/>
        <v>14972139.359999999</v>
      </c>
      <c r="X56" s="93">
        <f t="shared" si="44"/>
        <v>0</v>
      </c>
      <c r="Y56" s="93">
        <f t="shared" si="44"/>
        <v>0</v>
      </c>
      <c r="Z56" s="93">
        <f t="shared" si="44"/>
        <v>0</v>
      </c>
      <c r="AA56" s="93">
        <f t="shared" si="44"/>
        <v>0</v>
      </c>
      <c r="AB56" s="50">
        <f>SUM(H56:AA56)</f>
        <v>275177109.34000003</v>
      </c>
      <c r="AC56" s="30" t="str">
        <f>IF(ABS(AB56-F56)&lt;1,"ok","err")</f>
        <v>ok</v>
      </c>
      <c r="AD56" s="36"/>
    </row>
    <row r="57" spans="1:30" x14ac:dyDescent="0.2">
      <c r="Q57" s="14"/>
      <c r="AC57" s="30"/>
    </row>
    <row r="58" spans="1:30" x14ac:dyDescent="0.2">
      <c r="B58" s="14" t="s">
        <v>784</v>
      </c>
      <c r="C58" s="14" t="s">
        <v>785</v>
      </c>
      <c r="F58" s="226">
        <f>F56+F24</f>
        <v>275177109.33999997</v>
      </c>
      <c r="G58" s="93"/>
      <c r="H58" s="93">
        <f t="shared" ref="H58:Y58" si="45">H56+H24</f>
        <v>0</v>
      </c>
      <c r="I58" s="93">
        <f t="shared" si="45"/>
        <v>0</v>
      </c>
      <c r="J58" s="93">
        <f t="shared" si="45"/>
        <v>0</v>
      </c>
      <c r="K58" s="93">
        <f t="shared" si="45"/>
        <v>0</v>
      </c>
      <c r="L58" s="93">
        <f t="shared" si="45"/>
        <v>0</v>
      </c>
      <c r="M58" s="93">
        <f t="shared" si="45"/>
        <v>1014232.78</v>
      </c>
      <c r="N58" s="93"/>
      <c r="O58" s="93">
        <f t="shared" si="45"/>
        <v>134014238.56753168</v>
      </c>
      <c r="P58" s="93">
        <f t="shared" si="45"/>
        <v>75428514.102468342</v>
      </c>
      <c r="Q58" s="93">
        <f t="shared" si="45"/>
        <v>0</v>
      </c>
      <c r="R58" s="93">
        <f t="shared" si="45"/>
        <v>0</v>
      </c>
      <c r="S58" s="93">
        <f t="shared" si="45"/>
        <v>34665175.979999997</v>
      </c>
      <c r="T58" s="93">
        <f t="shared" si="45"/>
        <v>0</v>
      </c>
      <c r="U58" s="93">
        <f t="shared" si="45"/>
        <v>15082808.550000001</v>
      </c>
      <c r="V58" s="93">
        <f t="shared" si="45"/>
        <v>0</v>
      </c>
      <c r="W58" s="93">
        <f t="shared" si="45"/>
        <v>14972139.359999999</v>
      </c>
      <c r="X58" s="93">
        <f t="shared" si="45"/>
        <v>0</v>
      </c>
      <c r="Y58" s="93">
        <f t="shared" si="45"/>
        <v>0</v>
      </c>
      <c r="AA58" s="93">
        <f>AA56+AA24</f>
        <v>0</v>
      </c>
      <c r="AB58" s="50">
        <f>SUM(H58:AA58)</f>
        <v>275177109.34000003</v>
      </c>
      <c r="AC58" s="30" t="str">
        <f>IF(ABS(AB58-F58)&lt;1,"ok","err")</f>
        <v>ok</v>
      </c>
    </row>
    <row r="59" spans="1:30" x14ac:dyDescent="0.2">
      <c r="Q59" s="14"/>
      <c r="AC59" s="30"/>
    </row>
    <row r="60" spans="1:30" x14ac:dyDescent="0.2">
      <c r="A60" s="28" t="s">
        <v>366</v>
      </c>
      <c r="Q60" s="14"/>
      <c r="AC60" s="30"/>
    </row>
    <row r="61" spans="1:30" x14ac:dyDescent="0.2">
      <c r="Q61" s="14"/>
      <c r="AC61" s="30"/>
    </row>
    <row r="62" spans="1:30" x14ac:dyDescent="0.2">
      <c r="A62" s="28" t="s">
        <v>51</v>
      </c>
      <c r="Q62" s="14"/>
      <c r="AC62" s="30"/>
    </row>
    <row r="63" spans="1:30" x14ac:dyDescent="0.2">
      <c r="A63" s="94">
        <v>389</v>
      </c>
      <c r="B63" s="14" t="s">
        <v>17</v>
      </c>
      <c r="C63" s="14" t="s">
        <v>52</v>
      </c>
      <c r="D63" s="14" t="s">
        <v>392</v>
      </c>
      <c r="F63" s="233">
        <v>2878535.84</v>
      </c>
      <c r="G63" s="193"/>
      <c r="H63" s="50">
        <f t="shared" ref="H63:H73" si="46">IF(VLOOKUP($D63,$C$5:$AA$493,6,)=0,0,((VLOOKUP($D63,$C$5:$AA$493,6,)/VLOOKUP($D63,$C$5:$AA$493,4,))*$F63))</f>
        <v>0</v>
      </c>
      <c r="I63" s="50">
        <f t="shared" ref="I63:I73" si="47">IF(VLOOKUP($D63,$C$5:$AA$493,7,)=0,0,((VLOOKUP($D63,$C$5:$AA$493,7,)/VLOOKUP($D63,$C$5:$AA$493,4,))*$F63))</f>
        <v>0</v>
      </c>
      <c r="J63" s="50"/>
      <c r="K63" s="50">
        <f t="shared" ref="K63:K73" si="48">IF(VLOOKUP($D63,$C$5:$AA$493,9,)=0,0,((VLOOKUP($D63,$C$5:$AA$493,9,)/VLOOKUP($D63,$C$5:$AA$493,4,))*$F63))</f>
        <v>0</v>
      </c>
      <c r="L63" s="50"/>
      <c r="M63" s="50">
        <f t="shared" ref="M63:M73" si="49">IF(VLOOKUP($D63,$C$5:$AA$493,11,)=0,0,((VLOOKUP($D63,$C$5:$AA$493,11,)/VLOOKUP($D63,$C$5:$AA$493,4,))*$F63))</f>
        <v>10609.550388602956</v>
      </c>
      <c r="N63" s="50"/>
      <c r="O63" s="50">
        <f t="shared" ref="O63:O73" si="50">IF(VLOOKUP($D63,$C$5:$AA$493,13,)=0,0,((VLOOKUP($D63,$C$5:$AA$493,13,)/VLOOKUP($D63,$C$5:$AA$493,4,))*$F63))</f>
        <v>1401878.1929652134</v>
      </c>
      <c r="P63" s="50">
        <f t="shared" ref="P63:P73" si="51">IF(VLOOKUP($D63,$C$5:$AA$493,14,)=0,0,((VLOOKUP($D63,$C$5:$AA$493,14,)/VLOOKUP($D63,$C$5:$AA$493,4,))*$F63))</f>
        <v>789032.49519068655</v>
      </c>
      <c r="Q63" s="50"/>
      <c r="R63" s="50">
        <f t="shared" ref="R63:R73" si="52">IF(VLOOKUP($D63,$C$5:$AA$493,16,)=0,0,((VLOOKUP($D63,$C$5:$AA$493,16,)/VLOOKUP($D63,$C$5:$AA$493,4,))*$F63))</f>
        <v>0</v>
      </c>
      <c r="S63" s="50">
        <f t="shared" ref="S63:S73" si="53">IF(VLOOKUP($D63,$C$5:$AA$493,17,)=0,0,((VLOOKUP($D63,$C$5:$AA$493,17,)/VLOOKUP($D63,$C$5:$AA$493,4,))*$F63))</f>
        <v>362620.82880973222</v>
      </c>
      <c r="T63" s="50"/>
      <c r="U63" s="50">
        <f t="shared" ref="U63:U73" si="54">IF(VLOOKUP($D63,$C$5:$AA$493,19,)=0,0,((VLOOKUP($D63,$C$5:$AA$493,19,)/VLOOKUP($D63,$C$5:$AA$493,4,))*$F63))</f>
        <v>157776.22304110156</v>
      </c>
      <c r="V63" s="50"/>
      <c r="W63" s="50">
        <f t="shared" ref="W63:W73" si="55">IF(VLOOKUP($D63,$C$5:$AA$493,21,)=0,0,((VLOOKUP($D63,$C$5:$AA$493,21,)/VLOOKUP($D63,$C$5:$AA$493,4,))*$F63))</f>
        <v>156618.54960466336</v>
      </c>
      <c r="X63" s="50"/>
      <c r="Y63" s="50">
        <f t="shared" ref="Y63:Y73" si="56">IF(VLOOKUP($D63,$C$5:$AA$493,23,)=0,0,((VLOOKUP($D63,$C$5:$AA$493,23,)/VLOOKUP($D63,$C$5:$AA$493,4,))*$F63))</f>
        <v>0</v>
      </c>
      <c r="Z63" s="50"/>
      <c r="AA63" s="50">
        <f t="shared" ref="AA63:AA73" si="57">IF(VLOOKUP($D63,$C$5:$AA$493,25,)=0,0,((VLOOKUP($D63,$C$5:$AA$493,25,)/VLOOKUP($D63,$C$5:$AA$493,4,))*$F63))</f>
        <v>0</v>
      </c>
      <c r="AB63" s="50">
        <f>SUM(H63:AA63)</f>
        <v>2878535.84</v>
      </c>
      <c r="AC63" s="30" t="str">
        <f>IF(ABS(AB63-F63)&lt;1,"ok","err")</f>
        <v>ok</v>
      </c>
    </row>
    <row r="64" spans="1:30" x14ac:dyDescent="0.2">
      <c r="A64" s="94">
        <v>390</v>
      </c>
      <c r="B64" s="14" t="s">
        <v>53</v>
      </c>
      <c r="C64" s="14" t="s">
        <v>54</v>
      </c>
      <c r="D64" s="14" t="s">
        <v>392</v>
      </c>
      <c r="F64" s="234">
        <v>20742007.129999999</v>
      </c>
      <c r="G64" s="194"/>
      <c r="H64" s="50">
        <f t="shared" si="46"/>
        <v>0</v>
      </c>
      <c r="I64" s="50">
        <f t="shared" si="47"/>
        <v>0</v>
      </c>
      <c r="J64" s="50"/>
      <c r="K64" s="50">
        <f t="shared" si="48"/>
        <v>0</v>
      </c>
      <c r="L64" s="50"/>
      <c r="M64" s="50">
        <f t="shared" si="49"/>
        <v>76449.758501703007</v>
      </c>
      <c r="N64" s="50"/>
      <c r="O64" s="50">
        <f t="shared" si="50"/>
        <v>10101582.571880007</v>
      </c>
      <c r="P64" s="50">
        <f t="shared" si="51"/>
        <v>5685570.2172000436</v>
      </c>
      <c r="Q64" s="50"/>
      <c r="R64" s="50">
        <f t="shared" si="52"/>
        <v>0</v>
      </c>
      <c r="S64" s="50">
        <f t="shared" si="53"/>
        <v>2612954.7223764895</v>
      </c>
      <c r="T64" s="50"/>
      <c r="U64" s="50">
        <f t="shared" si="54"/>
        <v>1136895.8822006534</v>
      </c>
      <c r="V64" s="50"/>
      <c r="W64" s="50">
        <f t="shared" si="55"/>
        <v>1128553.9778411048</v>
      </c>
      <c r="X64" s="50"/>
      <c r="Y64" s="50">
        <f t="shared" si="56"/>
        <v>0</v>
      </c>
      <c r="Z64" s="50"/>
      <c r="AA64" s="50">
        <f t="shared" si="57"/>
        <v>0</v>
      </c>
      <c r="AB64" s="50">
        <f t="shared" ref="AB64:AB73" si="58">SUM(H64:AA64)</f>
        <v>20742007.130000003</v>
      </c>
      <c r="AC64" s="30" t="str">
        <f t="shared" ref="AC64:AC73" si="59">IF(ABS(AB64-F64)&lt;1,"ok","err")</f>
        <v>ok</v>
      </c>
    </row>
    <row r="65" spans="1:29" x14ac:dyDescent="0.2">
      <c r="A65" s="94">
        <v>391</v>
      </c>
      <c r="B65" s="14" t="s">
        <v>55</v>
      </c>
      <c r="C65" s="14" t="s">
        <v>56</v>
      </c>
      <c r="D65" s="14" t="s">
        <v>392</v>
      </c>
      <c r="F65" s="234">
        <v>3492959.46</v>
      </c>
      <c r="G65" s="194"/>
      <c r="H65" s="50">
        <f t="shared" si="46"/>
        <v>0</v>
      </c>
      <c r="I65" s="50">
        <f t="shared" si="47"/>
        <v>0</v>
      </c>
      <c r="J65" s="50"/>
      <c r="K65" s="50">
        <f t="shared" si="48"/>
        <v>0</v>
      </c>
      <c r="L65" s="50"/>
      <c r="M65" s="50">
        <f t="shared" si="49"/>
        <v>12874.159453306434</v>
      </c>
      <c r="N65" s="50"/>
      <c r="O65" s="50">
        <f t="shared" si="50"/>
        <v>1701109.1638468355</v>
      </c>
      <c r="P65" s="50">
        <f t="shared" si="51"/>
        <v>957451.52102178207</v>
      </c>
      <c r="Q65" s="50"/>
      <c r="R65" s="50">
        <f t="shared" si="52"/>
        <v>0</v>
      </c>
      <c r="S65" s="50">
        <f t="shared" si="53"/>
        <v>440022.26297936065</v>
      </c>
      <c r="T65" s="50"/>
      <c r="U65" s="50">
        <f t="shared" si="54"/>
        <v>191453.56579422884</v>
      </c>
      <c r="V65" s="50"/>
      <c r="W65" s="50">
        <f t="shared" si="55"/>
        <v>190048.78690448689</v>
      </c>
      <c r="X65" s="50"/>
      <c r="Y65" s="50">
        <f t="shared" si="56"/>
        <v>0</v>
      </c>
      <c r="Z65" s="50"/>
      <c r="AA65" s="50">
        <f t="shared" si="57"/>
        <v>0</v>
      </c>
      <c r="AB65" s="50">
        <f t="shared" si="58"/>
        <v>3492959.4600000004</v>
      </c>
      <c r="AC65" s="30" t="str">
        <f t="shared" si="59"/>
        <v>ok</v>
      </c>
    </row>
    <row r="66" spans="1:29" x14ac:dyDescent="0.2">
      <c r="A66" s="94">
        <v>392</v>
      </c>
      <c r="B66" s="14" t="s">
        <v>57</v>
      </c>
      <c r="C66" s="14" t="s">
        <v>58</v>
      </c>
      <c r="D66" s="14" t="s">
        <v>392</v>
      </c>
      <c r="F66" s="234">
        <v>10725487.16</v>
      </c>
      <c r="G66" s="194"/>
      <c r="H66" s="50">
        <f t="shared" si="46"/>
        <v>0</v>
      </c>
      <c r="I66" s="50">
        <f t="shared" si="47"/>
        <v>0</v>
      </c>
      <c r="J66" s="50"/>
      <c r="K66" s="50">
        <f t="shared" si="48"/>
        <v>0</v>
      </c>
      <c r="L66" s="50"/>
      <c r="M66" s="50">
        <f t="shared" si="49"/>
        <v>39531.415549904719</v>
      </c>
      <c r="N66" s="50"/>
      <c r="O66" s="50">
        <f t="shared" si="50"/>
        <v>5223428.643685882</v>
      </c>
      <c r="P66" s="50">
        <f t="shared" si="51"/>
        <v>2939952.2418280784</v>
      </c>
      <c r="Q66" s="50"/>
      <c r="R66" s="50">
        <f t="shared" si="52"/>
        <v>0</v>
      </c>
      <c r="S66" s="50">
        <f t="shared" si="53"/>
        <v>1351133.096660468</v>
      </c>
      <c r="T66" s="50"/>
      <c r="U66" s="50">
        <f t="shared" si="54"/>
        <v>587877.63934203133</v>
      </c>
      <c r="V66" s="50"/>
      <c r="W66" s="50">
        <f t="shared" si="55"/>
        <v>583564.122933637</v>
      </c>
      <c r="X66" s="50"/>
      <c r="Y66" s="50">
        <f t="shared" si="56"/>
        <v>0</v>
      </c>
      <c r="Z66" s="50"/>
      <c r="AA66" s="50">
        <f t="shared" si="57"/>
        <v>0</v>
      </c>
      <c r="AB66" s="50">
        <f t="shared" si="58"/>
        <v>10725487.160000002</v>
      </c>
      <c r="AC66" s="30" t="str">
        <f t="shared" si="59"/>
        <v>ok</v>
      </c>
    </row>
    <row r="67" spans="1:29" x14ac:dyDescent="0.2">
      <c r="A67" s="94">
        <v>393</v>
      </c>
      <c r="B67" s="14" t="s">
        <v>59</v>
      </c>
      <c r="C67" s="14" t="s">
        <v>60</v>
      </c>
      <c r="D67" s="14" t="s">
        <v>392</v>
      </c>
      <c r="F67" s="234">
        <v>349676.21</v>
      </c>
      <c r="G67" s="194"/>
      <c r="H67" s="50">
        <f t="shared" si="46"/>
        <v>0</v>
      </c>
      <c r="I67" s="50">
        <f t="shared" si="47"/>
        <v>0</v>
      </c>
      <c r="J67" s="50"/>
      <c r="K67" s="50">
        <f t="shared" si="48"/>
        <v>0</v>
      </c>
      <c r="L67" s="50"/>
      <c r="M67" s="50">
        <f t="shared" si="49"/>
        <v>1288.817501640247</v>
      </c>
      <c r="N67" s="50"/>
      <c r="O67" s="50">
        <f t="shared" si="50"/>
        <v>170296.10907944248</v>
      </c>
      <c r="P67" s="50">
        <f t="shared" si="51"/>
        <v>95849.385875675784</v>
      </c>
      <c r="Q67" s="50"/>
      <c r="R67" s="50">
        <f t="shared" si="52"/>
        <v>0</v>
      </c>
      <c r="S67" s="50">
        <f t="shared" si="53"/>
        <v>44050.12969553507</v>
      </c>
      <c r="T67" s="50"/>
      <c r="U67" s="50">
        <f t="shared" si="54"/>
        <v>19166.199334564157</v>
      </c>
      <c r="V67" s="50"/>
      <c r="W67" s="50">
        <f t="shared" si="55"/>
        <v>19025.568513142323</v>
      </c>
      <c r="X67" s="50"/>
      <c r="Y67" s="50">
        <f t="shared" si="56"/>
        <v>0</v>
      </c>
      <c r="Z67" s="50"/>
      <c r="AA67" s="50">
        <f t="shared" si="57"/>
        <v>0</v>
      </c>
      <c r="AB67" s="50">
        <f t="shared" si="58"/>
        <v>349676.21000000008</v>
      </c>
      <c r="AC67" s="30" t="str">
        <f t="shared" si="59"/>
        <v>ok</v>
      </c>
    </row>
    <row r="68" spans="1:29" x14ac:dyDescent="0.2">
      <c r="A68" s="94">
        <v>394</v>
      </c>
      <c r="B68" s="14" t="s">
        <v>61</v>
      </c>
      <c r="C68" s="14" t="s">
        <v>62</v>
      </c>
      <c r="D68" s="14" t="s">
        <v>392</v>
      </c>
      <c r="F68" s="234">
        <v>500272.95</v>
      </c>
      <c r="G68" s="194"/>
      <c r="H68" s="50">
        <f t="shared" si="46"/>
        <v>0</v>
      </c>
      <c r="I68" s="50">
        <f t="shared" si="47"/>
        <v>0</v>
      </c>
      <c r="J68" s="50"/>
      <c r="K68" s="50">
        <f t="shared" si="48"/>
        <v>0</v>
      </c>
      <c r="L68" s="50"/>
      <c r="M68" s="50">
        <f t="shared" si="49"/>
        <v>1843.8787515947859</v>
      </c>
      <c r="N68" s="50"/>
      <c r="O68" s="50">
        <f t="shared" si="50"/>
        <v>243638.35578832906</v>
      </c>
      <c r="P68" s="50">
        <f t="shared" si="51"/>
        <v>137129.30321371491</v>
      </c>
      <c r="Q68" s="50"/>
      <c r="R68" s="50">
        <f t="shared" si="52"/>
        <v>0</v>
      </c>
      <c r="S68" s="50">
        <f t="shared" si="53"/>
        <v>63021.411524301104</v>
      </c>
      <c r="T68" s="50"/>
      <c r="U68" s="50">
        <f t="shared" si="54"/>
        <v>27420.598848833462</v>
      </c>
      <c r="V68" s="50"/>
      <c r="W68" s="50">
        <f t="shared" si="55"/>
        <v>27219.401873226729</v>
      </c>
      <c r="X68" s="50"/>
      <c r="Y68" s="50">
        <f t="shared" si="56"/>
        <v>0</v>
      </c>
      <c r="Z68" s="50"/>
      <c r="AA68" s="50">
        <f t="shared" si="57"/>
        <v>0</v>
      </c>
      <c r="AB68" s="50">
        <f t="shared" si="58"/>
        <v>500272.95000000007</v>
      </c>
      <c r="AC68" s="30" t="str">
        <f t="shared" si="59"/>
        <v>ok</v>
      </c>
    </row>
    <row r="69" spans="1:29" x14ac:dyDescent="0.2">
      <c r="A69" s="94">
        <v>395</v>
      </c>
      <c r="B69" s="14" t="s">
        <v>63</v>
      </c>
      <c r="C69" s="14" t="s">
        <v>64</v>
      </c>
      <c r="D69" s="14" t="s">
        <v>392</v>
      </c>
      <c r="F69" s="234">
        <v>199321.82</v>
      </c>
      <c r="G69" s="194"/>
      <c r="H69" s="50">
        <f t="shared" si="46"/>
        <v>0</v>
      </c>
      <c r="I69" s="50">
        <f t="shared" si="47"/>
        <v>0</v>
      </c>
      <c r="J69" s="50"/>
      <c r="K69" s="50">
        <f t="shared" si="48"/>
        <v>0</v>
      </c>
      <c r="L69" s="50"/>
      <c r="M69" s="50">
        <f t="shared" si="49"/>
        <v>734.64949209666565</v>
      </c>
      <c r="N69" s="50"/>
      <c r="O69" s="50">
        <f t="shared" si="50"/>
        <v>97071.889450623479</v>
      </c>
      <c r="P69" s="50">
        <f t="shared" si="51"/>
        <v>54635.898846598655</v>
      </c>
      <c r="Q69" s="50"/>
      <c r="R69" s="50">
        <f t="shared" si="52"/>
        <v>0</v>
      </c>
      <c r="S69" s="50">
        <f t="shared" si="53"/>
        <v>25109.377678710531</v>
      </c>
      <c r="T69" s="50"/>
      <c r="U69" s="50">
        <f t="shared" si="54"/>
        <v>10925.083333087248</v>
      </c>
      <c r="V69" s="50"/>
      <c r="W69" s="50">
        <f t="shared" si="55"/>
        <v>10844.921198883452</v>
      </c>
      <c r="X69" s="50"/>
      <c r="Y69" s="50">
        <f t="shared" si="56"/>
        <v>0</v>
      </c>
      <c r="Z69" s="50"/>
      <c r="AA69" s="50">
        <f t="shared" si="57"/>
        <v>0</v>
      </c>
      <c r="AB69" s="50">
        <f t="shared" si="58"/>
        <v>199321.82</v>
      </c>
      <c r="AC69" s="30" t="str">
        <f t="shared" si="59"/>
        <v>ok</v>
      </c>
    </row>
    <row r="70" spans="1:29" x14ac:dyDescent="0.2">
      <c r="A70" s="94">
        <v>396</v>
      </c>
      <c r="B70" s="14" t="s">
        <v>65</v>
      </c>
      <c r="C70" s="14" t="s">
        <v>66</v>
      </c>
      <c r="D70" s="14" t="s">
        <v>392</v>
      </c>
      <c r="F70" s="234">
        <v>59749.06</v>
      </c>
      <c r="G70" s="194"/>
      <c r="H70" s="50">
        <f t="shared" si="46"/>
        <v>0</v>
      </c>
      <c r="I70" s="50">
        <f t="shared" si="47"/>
        <v>0</v>
      </c>
      <c r="J70" s="50"/>
      <c r="K70" s="50">
        <f t="shared" si="48"/>
        <v>0</v>
      </c>
      <c r="L70" s="50"/>
      <c r="M70" s="50">
        <f t="shared" si="49"/>
        <v>220.21982632033561</v>
      </c>
      <c r="N70" s="50"/>
      <c r="O70" s="50">
        <f t="shared" si="50"/>
        <v>29098.440637852236</v>
      </c>
      <c r="P70" s="50">
        <f t="shared" si="51"/>
        <v>16377.753315414006</v>
      </c>
      <c r="Q70" s="50"/>
      <c r="R70" s="50">
        <f t="shared" si="52"/>
        <v>0</v>
      </c>
      <c r="S70" s="50">
        <f t="shared" si="53"/>
        <v>7526.8312996938121</v>
      </c>
      <c r="T70" s="50"/>
      <c r="U70" s="50">
        <f t="shared" si="54"/>
        <v>3274.9222316634978</v>
      </c>
      <c r="V70" s="50"/>
      <c r="W70" s="50">
        <f t="shared" si="55"/>
        <v>3250.8926890561165</v>
      </c>
      <c r="X70" s="50"/>
      <c r="Y70" s="50">
        <f t="shared" si="56"/>
        <v>0</v>
      </c>
      <c r="Z70" s="50"/>
      <c r="AA70" s="50">
        <f t="shared" si="57"/>
        <v>0</v>
      </c>
      <c r="AB70" s="50">
        <f t="shared" si="58"/>
        <v>59749.060000000005</v>
      </c>
      <c r="AC70" s="30" t="str">
        <f t="shared" si="59"/>
        <v>ok</v>
      </c>
    </row>
    <row r="71" spans="1:29" x14ac:dyDescent="0.2">
      <c r="A71" s="94">
        <v>397</v>
      </c>
      <c r="B71" s="14" t="s">
        <v>67</v>
      </c>
      <c r="C71" s="14" t="s">
        <v>68</v>
      </c>
      <c r="D71" s="14" t="s">
        <v>392</v>
      </c>
      <c r="F71" s="234">
        <v>2310044.63</v>
      </c>
      <c r="G71" s="194"/>
      <c r="H71" s="50">
        <f t="shared" si="46"/>
        <v>0</v>
      </c>
      <c r="I71" s="50">
        <f t="shared" si="47"/>
        <v>0</v>
      </c>
      <c r="J71" s="50"/>
      <c r="K71" s="50">
        <f t="shared" si="48"/>
        <v>0</v>
      </c>
      <c r="L71" s="50"/>
      <c r="M71" s="50">
        <f t="shared" si="49"/>
        <v>8514.2364952825028</v>
      </c>
      <c r="N71" s="50"/>
      <c r="O71" s="50">
        <f t="shared" si="50"/>
        <v>1125016.8042282898</v>
      </c>
      <c r="P71" s="50">
        <f t="shared" si="51"/>
        <v>633203.95496994967</v>
      </c>
      <c r="Q71" s="50"/>
      <c r="R71" s="50">
        <f t="shared" si="52"/>
        <v>0</v>
      </c>
      <c r="S71" s="50">
        <f t="shared" si="53"/>
        <v>291005.68652918743</v>
      </c>
      <c r="T71" s="50"/>
      <c r="U71" s="50">
        <f t="shared" si="54"/>
        <v>126616.49430002544</v>
      </c>
      <c r="V71" s="50"/>
      <c r="W71" s="50">
        <f t="shared" si="55"/>
        <v>125687.45347726544</v>
      </c>
      <c r="X71" s="50"/>
      <c r="Y71" s="50">
        <f t="shared" si="56"/>
        <v>0</v>
      </c>
      <c r="Z71" s="50"/>
      <c r="AA71" s="50">
        <f t="shared" si="57"/>
        <v>0</v>
      </c>
      <c r="AB71" s="50">
        <f t="shared" si="58"/>
        <v>2310044.6300000004</v>
      </c>
      <c r="AC71" s="30" t="str">
        <f t="shared" si="59"/>
        <v>ok</v>
      </c>
    </row>
    <row r="72" spans="1:29" x14ac:dyDescent="0.2">
      <c r="A72" s="94">
        <v>398</v>
      </c>
      <c r="B72" s="14" t="s">
        <v>362</v>
      </c>
      <c r="C72" s="14" t="s">
        <v>363</v>
      </c>
      <c r="D72" s="14" t="s">
        <v>392</v>
      </c>
      <c r="F72" s="234">
        <v>1180337.47</v>
      </c>
      <c r="G72" s="194"/>
      <c r="H72" s="50">
        <f t="shared" si="46"/>
        <v>0</v>
      </c>
      <c r="I72" s="50">
        <f t="shared" si="47"/>
        <v>0</v>
      </c>
      <c r="J72" s="50"/>
      <c r="K72" s="50">
        <f t="shared" si="48"/>
        <v>0</v>
      </c>
      <c r="L72" s="50"/>
      <c r="M72" s="50">
        <f t="shared" si="49"/>
        <v>4350.4234651186871</v>
      </c>
      <c r="N72" s="50"/>
      <c r="O72" s="50">
        <f t="shared" si="50"/>
        <v>574837.15732812695</v>
      </c>
      <c r="P72" s="50">
        <f t="shared" si="51"/>
        <v>323541.08855603554</v>
      </c>
      <c r="Q72" s="50"/>
      <c r="R72" s="50">
        <f t="shared" si="52"/>
        <v>0</v>
      </c>
      <c r="S72" s="50">
        <f t="shared" si="53"/>
        <v>148691.89596283869</v>
      </c>
      <c r="T72" s="50"/>
      <c r="U72" s="50">
        <f t="shared" si="54"/>
        <v>64695.803103319893</v>
      </c>
      <c r="V72" s="50"/>
      <c r="W72" s="50">
        <f t="shared" si="55"/>
        <v>64221.101584560383</v>
      </c>
      <c r="X72" s="50"/>
      <c r="Y72" s="50">
        <f t="shared" si="56"/>
        <v>0</v>
      </c>
      <c r="Z72" s="50"/>
      <c r="AA72" s="50">
        <f t="shared" si="57"/>
        <v>0</v>
      </c>
      <c r="AB72" s="50">
        <f t="shared" si="58"/>
        <v>1180337.4700000002</v>
      </c>
      <c r="AC72" s="30" t="str">
        <f t="shared" si="59"/>
        <v>ok</v>
      </c>
    </row>
    <row r="73" spans="1:29" x14ac:dyDescent="0.2">
      <c r="A73" s="94">
        <v>399</v>
      </c>
      <c r="B73" s="14" t="s">
        <v>583</v>
      </c>
      <c r="C73" s="14" t="s">
        <v>584</v>
      </c>
      <c r="D73" s="14" t="s">
        <v>392</v>
      </c>
      <c r="F73" s="234">
        <v>0</v>
      </c>
      <c r="G73" s="194"/>
      <c r="H73" s="50">
        <f t="shared" si="46"/>
        <v>0</v>
      </c>
      <c r="I73" s="50">
        <f t="shared" si="47"/>
        <v>0</v>
      </c>
      <c r="J73" s="50"/>
      <c r="K73" s="50">
        <f t="shared" si="48"/>
        <v>0</v>
      </c>
      <c r="L73" s="50"/>
      <c r="M73" s="50">
        <f t="shared" si="49"/>
        <v>0</v>
      </c>
      <c r="N73" s="50"/>
      <c r="O73" s="50">
        <f t="shared" si="50"/>
        <v>0</v>
      </c>
      <c r="P73" s="50">
        <f t="shared" si="51"/>
        <v>0</v>
      </c>
      <c r="Q73" s="50"/>
      <c r="R73" s="50">
        <f t="shared" si="52"/>
        <v>0</v>
      </c>
      <c r="S73" s="50">
        <f t="shared" si="53"/>
        <v>0</v>
      </c>
      <c r="T73" s="50"/>
      <c r="U73" s="50">
        <f t="shared" si="54"/>
        <v>0</v>
      </c>
      <c r="V73" s="50"/>
      <c r="W73" s="50">
        <f t="shared" si="55"/>
        <v>0</v>
      </c>
      <c r="X73" s="50"/>
      <c r="Y73" s="50">
        <f t="shared" si="56"/>
        <v>0</v>
      </c>
      <c r="Z73" s="50"/>
      <c r="AA73" s="50">
        <f t="shared" si="57"/>
        <v>0</v>
      </c>
      <c r="AB73" s="50">
        <f t="shared" si="58"/>
        <v>0</v>
      </c>
      <c r="AC73" s="30" t="str">
        <f t="shared" si="59"/>
        <v>ok</v>
      </c>
    </row>
    <row r="74" spans="1:29" x14ac:dyDescent="0.2">
      <c r="Q74" s="14"/>
      <c r="AB74" s="50"/>
      <c r="AC74" s="30"/>
    </row>
    <row r="75" spans="1:29" x14ac:dyDescent="0.2">
      <c r="B75" s="14" t="s">
        <v>69</v>
      </c>
      <c r="C75" s="14" t="s">
        <v>70</v>
      </c>
      <c r="F75" s="233">
        <f>SUM(F63:F74)</f>
        <v>42438391.730000012</v>
      </c>
      <c r="G75" s="66"/>
      <c r="H75" s="66">
        <f t="shared" ref="H75:W75" si="60">SUM(H63:H74)</f>
        <v>0</v>
      </c>
      <c r="I75" s="66">
        <f t="shared" si="60"/>
        <v>0</v>
      </c>
      <c r="J75" s="66"/>
      <c r="K75" s="66">
        <f>SUM(K63:K74)</f>
        <v>0</v>
      </c>
      <c r="L75" s="66"/>
      <c r="M75" s="66">
        <f t="shared" si="60"/>
        <v>156417.10942557035</v>
      </c>
      <c r="N75" s="66"/>
      <c r="O75" s="66">
        <f t="shared" si="60"/>
        <v>20667957.328890607</v>
      </c>
      <c r="P75" s="66">
        <f t="shared" si="60"/>
        <v>11632743.860017981</v>
      </c>
      <c r="Q75" s="66"/>
      <c r="R75" s="66">
        <f t="shared" si="60"/>
        <v>0</v>
      </c>
      <c r="S75" s="66">
        <f t="shared" si="60"/>
        <v>5346136.2435163185</v>
      </c>
      <c r="T75" s="66"/>
      <c r="U75" s="66">
        <f t="shared" si="60"/>
        <v>2326102.4115295084</v>
      </c>
      <c r="V75" s="66"/>
      <c r="W75" s="66">
        <f t="shared" si="60"/>
        <v>2309034.7766200267</v>
      </c>
      <c r="X75" s="66"/>
      <c r="Y75" s="66">
        <f>SUM(Y63:Y74)</f>
        <v>0</v>
      </c>
      <c r="Z75" s="66"/>
      <c r="AA75" s="66">
        <f>SUM(AA63:AA74)</f>
        <v>0</v>
      </c>
      <c r="AB75" s="50">
        <f>SUM(H75:AA75)</f>
        <v>42438391.730000019</v>
      </c>
      <c r="AC75" s="30" t="str">
        <f>IF(ABS(AB75-F75)&lt;1,"ok","err")</f>
        <v>ok</v>
      </c>
    </row>
    <row r="76" spans="1:29" x14ac:dyDescent="0.2">
      <c r="Q76" s="14"/>
      <c r="AB76" s="50"/>
      <c r="AC76" s="30"/>
    </row>
    <row r="77" spans="1:29" hidden="1" x14ac:dyDescent="0.2">
      <c r="A77" s="92">
        <v>106</v>
      </c>
      <c r="B77" s="14" t="s">
        <v>364</v>
      </c>
      <c r="C77" s="14" t="s">
        <v>365</v>
      </c>
      <c r="D77" s="14" t="s">
        <v>392</v>
      </c>
      <c r="F77" s="233">
        <v>0</v>
      </c>
      <c r="G77" s="66"/>
      <c r="H77" s="50">
        <f>IF(VLOOKUP($D77,$C$5:$AA$493,6,)=0,0,((VLOOKUP($D77,$C$5:$AA$493,6,)/VLOOKUP($D77,$C$5:$AA$493,4,))*$F77))</f>
        <v>0</v>
      </c>
      <c r="I77" s="50">
        <f>IF(VLOOKUP($D77,$C$5:$AA$493,7,)=0,0,((VLOOKUP($D77,$C$5:$AA$493,7,)/VLOOKUP($D77,$C$5:$AA$493,4,))*$F77))</f>
        <v>0</v>
      </c>
      <c r="J77" s="50"/>
      <c r="K77" s="50">
        <f>IF(VLOOKUP($D77,$C$5:$AA$493,9,)=0,0,((VLOOKUP($D77,$C$5:$AA$493,9,)/VLOOKUP($D77,$C$5:$AA$493,4,))*$F77))</f>
        <v>0</v>
      </c>
      <c r="L77" s="50"/>
      <c r="M77" s="50">
        <f>IF(VLOOKUP($D77,$C$5:$AA$493,11,)=0,0,((VLOOKUP($D77,$C$5:$AA$493,11,)/VLOOKUP($D77,$C$5:$AA$493,4,))*$F77))</f>
        <v>0</v>
      </c>
      <c r="N77" s="50"/>
      <c r="O77" s="50">
        <f>IF(VLOOKUP($D77,$C$5:$AA$493,13,)=0,0,((VLOOKUP($D77,$C$5:$AA$493,13,)/VLOOKUP($D77,$C$5:$AA$493,4,))*$F77))</f>
        <v>0</v>
      </c>
      <c r="P77" s="50">
        <f>IF(VLOOKUP($D77,$C$5:$AA$493,14,)=0,0,((VLOOKUP($D77,$C$5:$AA$493,14,)/VLOOKUP($D77,$C$5:$AA$493,4,))*$F77))</f>
        <v>0</v>
      </c>
      <c r="Q77" s="50"/>
      <c r="R77" s="50">
        <f>IF(VLOOKUP($D77,$C$5:$AA$493,16,)=0,0,((VLOOKUP($D77,$C$5:$AA$493,16,)/VLOOKUP($D77,$C$5:$AA$493,4,))*$F77))</f>
        <v>0</v>
      </c>
      <c r="S77" s="50">
        <f>IF(VLOOKUP($D77,$C$5:$AA$493,17,)=0,0,((VLOOKUP($D77,$C$5:$AA$493,17,)/VLOOKUP($D77,$C$5:$AA$493,4,))*$F77))</f>
        <v>0</v>
      </c>
      <c r="T77" s="50"/>
      <c r="U77" s="50">
        <f>IF(VLOOKUP($D77,$C$5:$AA$493,19,)=0,0,((VLOOKUP($D77,$C$5:$AA$493,19,)/VLOOKUP($D77,$C$5:$AA$493,4,))*$F77))</f>
        <v>0</v>
      </c>
      <c r="V77" s="50"/>
      <c r="W77" s="50">
        <f>IF(VLOOKUP($D77,$C$5:$AA$493,21,)=0,0,((VLOOKUP($D77,$C$5:$AA$493,21,)/VLOOKUP($D77,$C$5:$AA$493,4,))*$F77))</f>
        <v>0</v>
      </c>
      <c r="X77" s="50"/>
      <c r="Y77" s="50">
        <f>IF(VLOOKUP($D77,$C$5:$AA$493,23,)=0,0,((VLOOKUP($D77,$C$5:$AA$493,23,)/VLOOKUP($D77,$C$5:$AA$493,4,))*$F77))</f>
        <v>0</v>
      </c>
      <c r="Z77" s="50"/>
      <c r="AA77" s="50">
        <f>IF(VLOOKUP($D77,$C$5:$AA$493,25,)=0,0,((VLOOKUP($D77,$C$5:$AA$493,25,)/VLOOKUP($D77,$C$5:$AA$493,4,))*$F77))</f>
        <v>0</v>
      </c>
      <c r="AB77" s="50">
        <f>SUM(H77:AA77)</f>
        <v>0</v>
      </c>
      <c r="AC77" s="30" t="str">
        <f>IF(ABS(AB77-F77)&lt;1,"ok","err")</f>
        <v>ok</v>
      </c>
    </row>
    <row r="78" spans="1:29" hidden="1" x14ac:dyDescent="0.2">
      <c r="A78" s="92">
        <v>102</v>
      </c>
      <c r="B78" s="14" t="s">
        <v>704</v>
      </c>
      <c r="C78" s="14" t="s">
        <v>705</v>
      </c>
      <c r="D78" s="14" t="s">
        <v>16</v>
      </c>
      <c r="F78" s="233">
        <v>0</v>
      </c>
      <c r="G78" s="66"/>
      <c r="H78" s="50">
        <f>IF(VLOOKUP($D78,$C$5:$AA$493,6,)=0,0,((VLOOKUP($D78,$C$5:$AA$493,6,)/VLOOKUP($D78,$C$5:$AA$493,4,))*$F78))</f>
        <v>0</v>
      </c>
      <c r="I78" s="50">
        <f>IF(VLOOKUP($D78,$C$5:$AA$493,7,)=0,0,((VLOOKUP($D78,$C$5:$AA$493,7,)/VLOOKUP($D78,$C$5:$AA$493,4,))*$F78))</f>
        <v>0</v>
      </c>
      <c r="J78" s="50"/>
      <c r="K78" s="50">
        <f>IF(VLOOKUP($D78,$C$5:$AA$493,9,)=0,0,((VLOOKUP($D78,$C$5:$AA$493,9,)/VLOOKUP($D78,$C$5:$AA$493,4,))*$F78))</f>
        <v>0</v>
      </c>
      <c r="L78" s="50"/>
      <c r="M78" s="50">
        <f>IF(VLOOKUP($D78,$C$5:$AA$493,11,)=0,0,((VLOOKUP($D78,$C$5:$AA$493,11,)/VLOOKUP($D78,$C$5:$AA$493,4,))*$F78))</f>
        <v>0</v>
      </c>
      <c r="N78" s="50"/>
      <c r="O78" s="50">
        <f>IF(VLOOKUP($D78,$C$5:$AA$493,13,)=0,0,((VLOOKUP($D78,$C$5:$AA$493,13,)/VLOOKUP($D78,$C$5:$AA$493,4,))*$F78))</f>
        <v>0</v>
      </c>
      <c r="P78" s="50">
        <f>IF(VLOOKUP($D78,$C$5:$AA$493,14,)=0,0,((VLOOKUP($D78,$C$5:$AA$493,14,)/VLOOKUP($D78,$C$5:$AA$493,4,))*$F78))</f>
        <v>0</v>
      </c>
      <c r="Q78" s="50"/>
      <c r="R78" s="50">
        <f>IF(VLOOKUP($D78,$C$5:$AA$493,16,)=0,0,((VLOOKUP($D78,$C$5:$AA$493,16,)/VLOOKUP($D78,$C$5:$AA$493,4,))*$F78))</f>
        <v>0</v>
      </c>
      <c r="S78" s="50">
        <f>IF(VLOOKUP($D78,$C$5:$AA$493,17,)=0,0,((VLOOKUP($D78,$C$5:$AA$493,17,)/VLOOKUP($D78,$C$5:$AA$493,4,))*$F78))</f>
        <v>0</v>
      </c>
      <c r="T78" s="50"/>
      <c r="U78" s="50">
        <f>IF(VLOOKUP($D78,$C$5:$AA$493,19,)=0,0,((VLOOKUP($D78,$C$5:$AA$493,19,)/VLOOKUP($D78,$C$5:$AA$493,4,))*$F78))</f>
        <v>0</v>
      </c>
      <c r="V78" s="50"/>
      <c r="W78" s="50">
        <f>IF(VLOOKUP($D78,$C$5:$AA$493,21,)=0,0,((VLOOKUP($D78,$C$5:$AA$493,21,)/VLOOKUP($D78,$C$5:$AA$493,4,))*$F78))</f>
        <v>0</v>
      </c>
      <c r="X78" s="50"/>
      <c r="Y78" s="50">
        <f>IF(VLOOKUP($D78,$C$5:$AA$493,23,)=0,0,((VLOOKUP($D78,$C$5:$AA$493,23,)/VLOOKUP($D78,$C$5:$AA$493,4,))*$F78))</f>
        <v>0</v>
      </c>
      <c r="Z78" s="50"/>
      <c r="AA78" s="50">
        <f>IF(VLOOKUP($D78,$C$5:$AA$493,25,)=0,0,((VLOOKUP($D78,$C$5:$AA$493,25,)/VLOOKUP($D78,$C$5:$AA$493,4,))*$F78))</f>
        <v>0</v>
      </c>
      <c r="AB78" s="50">
        <f>SUM(H78:AA78)</f>
        <v>0</v>
      </c>
      <c r="AC78" s="30" t="str">
        <f>IF(ABS(AB78-F78)&lt;1,"ok","err")</f>
        <v>ok</v>
      </c>
    </row>
    <row r="79" spans="1:29" hidden="1" x14ac:dyDescent="0.2">
      <c r="Q79" s="14"/>
      <c r="AB79" s="50"/>
      <c r="AC79" s="30"/>
    </row>
    <row r="80" spans="1:29" hidden="1" x14ac:dyDescent="0.2">
      <c r="A80" s="92">
        <v>114</v>
      </c>
      <c r="B80" s="14" t="s">
        <v>830</v>
      </c>
      <c r="D80" s="14" t="s">
        <v>782</v>
      </c>
      <c r="F80" s="233">
        <v>0</v>
      </c>
      <c r="G80" s="66"/>
      <c r="H80" s="50">
        <f>IF(VLOOKUP($D80,$C$5:$AA$493,6,)=0,0,((VLOOKUP($D80,$C$5:$AA$493,6,)/VLOOKUP($D80,$C$5:$AA$493,4,))*$F80))</f>
        <v>0</v>
      </c>
      <c r="I80" s="50">
        <f>IF(VLOOKUP($D80,$C$5:$AA$493,7,)=0,0,((VLOOKUP($D80,$C$5:$AA$493,7,)/VLOOKUP($D80,$C$5:$AA$493,4,))*$F80))</f>
        <v>0</v>
      </c>
      <c r="J80" s="50"/>
      <c r="K80" s="50">
        <f>IF(VLOOKUP($D80,$C$5:$AA$493,9,)=0,0,((VLOOKUP($D80,$C$5:$AA$493,9,)/VLOOKUP($D80,$C$5:$AA$493,4,))*$F80))</f>
        <v>0</v>
      </c>
      <c r="L80" s="50"/>
      <c r="M80" s="50">
        <f>IF(VLOOKUP($D80,$C$5:$AA$493,11,)=0,0,((VLOOKUP($D80,$C$5:$AA$493,11,)/VLOOKUP($D80,$C$5:$AA$493,4,))*$F80))</f>
        <v>0</v>
      </c>
      <c r="N80" s="50"/>
      <c r="O80" s="50">
        <f>IF(VLOOKUP($D80,$C$5:$AA$493,13,)=0,0,((VLOOKUP($D80,$C$5:$AA$493,13,)/VLOOKUP($D80,$C$5:$AA$493,4,))*$F80))</f>
        <v>0</v>
      </c>
      <c r="P80" s="50">
        <f>IF(VLOOKUP($D80,$C$5:$AA$493,14,)=0,0,((VLOOKUP($D80,$C$5:$AA$493,14,)/VLOOKUP($D80,$C$5:$AA$493,4,))*$F80))</f>
        <v>0</v>
      </c>
      <c r="Q80" s="50"/>
      <c r="R80" s="50">
        <f>IF(VLOOKUP($D80,$C$5:$AA$493,16,)=0,0,((VLOOKUP($D80,$C$5:$AA$493,16,)/VLOOKUP($D80,$C$5:$AA$493,4,))*$F80))</f>
        <v>0</v>
      </c>
      <c r="S80" s="50">
        <f>IF(VLOOKUP($D80,$C$5:$AA$493,17,)=0,0,((VLOOKUP($D80,$C$5:$AA$493,17,)/VLOOKUP($D80,$C$5:$AA$493,4,))*$F80))</f>
        <v>0</v>
      </c>
      <c r="T80" s="50"/>
      <c r="U80" s="50">
        <f>IF(VLOOKUP($D80,$C$5:$AA$493,19,)=0,0,((VLOOKUP($D80,$C$5:$AA$493,19,)/VLOOKUP($D80,$C$5:$AA$493,4,))*$F80))</f>
        <v>0</v>
      </c>
      <c r="V80" s="50"/>
      <c r="W80" s="50">
        <f>IF(VLOOKUP($D80,$C$5:$AA$493,21,)=0,0,((VLOOKUP($D80,$C$5:$AA$493,21,)/VLOOKUP($D80,$C$5:$AA$493,4,))*$F80))</f>
        <v>0</v>
      </c>
      <c r="X80" s="50"/>
      <c r="Y80" s="50">
        <f>IF(VLOOKUP($D80,$C$5:$AA$493,23,)=0,0,((VLOOKUP($D80,$C$5:$AA$493,23,)/VLOOKUP($D80,$C$5:$AA$493,4,))*$F80))</f>
        <v>0</v>
      </c>
      <c r="Z80" s="50"/>
      <c r="AA80" s="50">
        <f>IF(VLOOKUP($D80,$C$5:$AA$493,25,)=0,0,((VLOOKUP($D80,$C$5:$AA$493,25,)/VLOOKUP($D80,$C$5:$AA$493,4,))*$F80))</f>
        <v>0</v>
      </c>
      <c r="AB80" s="50">
        <f>SUM(H80:AA80)</f>
        <v>0</v>
      </c>
      <c r="AC80" s="30" t="str">
        <f>IF(ABS(AB80-F80)&lt;1,"ok","err")</f>
        <v>ok</v>
      </c>
    </row>
    <row r="81" spans="1:29" hidden="1" x14ac:dyDescent="0.2">
      <c r="Q81" s="14"/>
      <c r="AB81" s="50"/>
      <c r="AC81" s="30"/>
    </row>
    <row r="82" spans="1:29" x14ac:dyDescent="0.2">
      <c r="B82" s="14" t="s">
        <v>71</v>
      </c>
      <c r="C82" s="14" t="s">
        <v>72</v>
      </c>
      <c r="F82" s="226">
        <f>F12+F24+F35+F54+F75+F77+F78+F80</f>
        <v>317615501.06999999</v>
      </c>
      <c r="G82" s="93"/>
      <c r="H82" s="93">
        <f>H12+H24+H35+H54+H75+H77+H78+H80</f>
        <v>0</v>
      </c>
      <c r="I82" s="93">
        <f>I12+I24+I35+I54+I75+I77+I78+I80</f>
        <v>0</v>
      </c>
      <c r="J82" s="93"/>
      <c r="K82" s="93">
        <f>K12+K24+K35+K54+K75+K77+K78+K80</f>
        <v>0</v>
      </c>
      <c r="L82" s="93"/>
      <c r="M82" s="93">
        <f>M12+M24+M35+M54+M75+M77+M78+M80</f>
        <v>1170649.8894255704</v>
      </c>
      <c r="N82" s="93"/>
      <c r="O82" s="93">
        <f>O12+O24+O35+O54+O75+O77+O78+O80</f>
        <v>154682195.89642227</v>
      </c>
      <c r="P82" s="93">
        <f>P12+P24+P35+P54+P75+P77+P78+P80</f>
        <v>87061257.962486327</v>
      </c>
      <c r="Q82" s="93"/>
      <c r="R82" s="93">
        <f>R12+R24+R35+R54+R75+R77+R78+R80</f>
        <v>0</v>
      </c>
      <c r="S82" s="93">
        <f>S12+S24+S35+S54+S75+S77+S78+S80</f>
        <v>40011312.223516315</v>
      </c>
      <c r="T82" s="93"/>
      <c r="U82" s="93">
        <f>U12+U24+U35+U54+U75+U77+U78+U80</f>
        <v>17408910.961529508</v>
      </c>
      <c r="V82" s="93"/>
      <c r="W82" s="93">
        <f>W12+W24+W35+W54+W75+W77+W78+W80</f>
        <v>17281174.136620026</v>
      </c>
      <c r="X82" s="93"/>
      <c r="Y82" s="93">
        <f>Y12+Y24+Y35+Y54+Y75+Y77+Y78+Y80</f>
        <v>0</v>
      </c>
      <c r="Z82" s="93"/>
      <c r="AA82" s="93">
        <f>AA12+AA24+AA35+AA54+AA75+AA77+AA78+AA80</f>
        <v>0</v>
      </c>
      <c r="AB82" s="50">
        <f>SUM(H82:AA82)</f>
        <v>317615501.07000005</v>
      </c>
      <c r="AC82" s="30" t="str">
        <f>IF(ABS(AB82-F82)&lt;1,"ok","err")</f>
        <v>ok</v>
      </c>
    </row>
    <row r="83" spans="1:29" x14ac:dyDescent="0.2">
      <c r="D83" s="93"/>
      <c r="F83" s="235"/>
      <c r="G83" s="50"/>
      <c r="AC83" s="30"/>
    </row>
    <row r="84" spans="1:29" x14ac:dyDescent="0.2">
      <c r="A84" s="28" t="s">
        <v>73</v>
      </c>
      <c r="F84" s="234"/>
      <c r="G84" s="50"/>
      <c r="AC84" s="30"/>
    </row>
    <row r="85" spans="1:29" x14ac:dyDescent="0.2">
      <c r="B85" s="14" t="s">
        <v>787</v>
      </c>
      <c r="C85" s="14" t="s">
        <v>553</v>
      </c>
      <c r="D85" s="14" t="s">
        <v>782</v>
      </c>
      <c r="F85" s="233">
        <v>0</v>
      </c>
      <c r="G85" s="66"/>
      <c r="H85" s="50">
        <f>IF(VLOOKUP($D85,$C$5:$AA$493,6,)=0,0,((VLOOKUP($D85,$C$5:$AA$493,6,)/VLOOKUP($D85,$C$5:$AA$493,4,))*$F85))</f>
        <v>0</v>
      </c>
      <c r="I85" s="50">
        <f>IF(VLOOKUP($D85,$C$5:$AA$493,7,)=0,0,((VLOOKUP($D85,$C$5:$AA$493,7,)/VLOOKUP($D85,$C$5:$AA$493,4,))*$F85))</f>
        <v>0</v>
      </c>
      <c r="J85" s="50"/>
      <c r="K85" s="50">
        <f>IF(VLOOKUP($D85,$C$5:$AA$493,9,)=0,0,((VLOOKUP($D85,$C$5:$AA$493,9,)/VLOOKUP($D85,$C$5:$AA$493,4,))*$F85))</f>
        <v>0</v>
      </c>
      <c r="L85" s="50"/>
      <c r="M85" s="50">
        <f>IF(VLOOKUP($D85,$C$5:$AA$493,11,)=0,0,((VLOOKUP($D85,$C$5:$AA$493,11,)/VLOOKUP($D85,$C$5:$AA$493,4,))*$F85))</f>
        <v>0</v>
      </c>
      <c r="N85" s="50"/>
      <c r="O85" s="50">
        <f>IF(VLOOKUP($D85,$C$5:$AA$493,13,)=0,0,((VLOOKUP($D85,$C$5:$AA$493,13,)/VLOOKUP($D85,$C$5:$AA$493,4,))*$F85))</f>
        <v>0</v>
      </c>
      <c r="P85" s="50">
        <f>IF(VLOOKUP($D85,$C$5:$AA$493,14,)=0,0,((VLOOKUP($D85,$C$5:$AA$493,14,)/VLOOKUP($D85,$C$5:$AA$493,4,))*$F85))</f>
        <v>0</v>
      </c>
      <c r="Q85" s="50"/>
      <c r="R85" s="50">
        <f>IF(VLOOKUP($D85,$C$5:$AA$493,16,)=0,0,((VLOOKUP($D85,$C$5:$AA$493,16,)/VLOOKUP($D85,$C$5:$AA$493,4,))*$F85))</f>
        <v>0</v>
      </c>
      <c r="S85" s="50">
        <f>IF(VLOOKUP($D85,$C$5:$AA$493,17,)=0,0,((VLOOKUP($D85,$C$5:$AA$493,17,)/VLOOKUP($D85,$C$5:$AA$493,4,))*$F85))</f>
        <v>0</v>
      </c>
      <c r="T85" s="50"/>
      <c r="U85" s="50">
        <f>IF(VLOOKUP($D85,$C$5:$AA$493,19,)=0,0,((VLOOKUP($D85,$C$5:$AA$493,19,)/VLOOKUP($D85,$C$5:$AA$493,4,))*$F85))</f>
        <v>0</v>
      </c>
      <c r="V85" s="50"/>
      <c r="W85" s="50">
        <f>IF(VLOOKUP($D85,$C$5:$AA$493,21,)=0,0,((VLOOKUP($D85,$C$5:$AA$493,21,)/VLOOKUP($D85,$C$5:$AA$493,4,))*$F85))</f>
        <v>0</v>
      </c>
      <c r="X85" s="50"/>
      <c r="Y85" s="50">
        <f>IF(VLOOKUP($D85,$C$5:$AA$493,23,)=0,0,((VLOOKUP($D85,$C$5:$AA$493,23,)/VLOOKUP($D85,$C$5:$AA$493,4,))*$F85))</f>
        <v>0</v>
      </c>
      <c r="Z85" s="50"/>
      <c r="AA85" s="50">
        <f>IF(VLOOKUP($D85,$C$5:$AA$493,25,)=0,0,((VLOOKUP($D85,$C$5:$AA$493,25,)/VLOOKUP($D85,$C$5:$AA$493,4,))*$F85))</f>
        <v>0</v>
      </c>
      <c r="AB85" s="50">
        <f>SUM(H85:AA85)</f>
        <v>0</v>
      </c>
      <c r="AC85" s="30" t="str">
        <f>IF(ABS(AB85-F85)&lt;1,"ok","err")</f>
        <v>ok</v>
      </c>
    </row>
    <row r="86" spans="1:29" x14ac:dyDescent="0.2">
      <c r="B86" s="14" t="s">
        <v>425</v>
      </c>
      <c r="C86" s="14" t="s">
        <v>554</v>
      </c>
      <c r="D86" s="14" t="s">
        <v>390</v>
      </c>
      <c r="F86" s="234">
        <v>0</v>
      </c>
      <c r="G86" s="50"/>
      <c r="H86" s="50">
        <f>IF(VLOOKUP($D86,$C$5:$AA$493,6,)=0,0,((VLOOKUP($D86,$C$5:$AA$493,6,)/VLOOKUP($D86,$C$5:$AA$493,4,))*$F86))</f>
        <v>0</v>
      </c>
      <c r="I86" s="50">
        <f>IF(VLOOKUP($D86,$C$5:$AA$493,7,)=0,0,((VLOOKUP($D86,$C$5:$AA$493,7,)/VLOOKUP($D86,$C$5:$AA$493,4,))*$F86))</f>
        <v>0</v>
      </c>
      <c r="J86" s="50"/>
      <c r="K86" s="50">
        <f>IF(VLOOKUP($D86,$C$5:$AA$493,9,)=0,0,((VLOOKUP($D86,$C$5:$AA$493,9,)/VLOOKUP($D86,$C$5:$AA$493,4,))*$F86))</f>
        <v>0</v>
      </c>
      <c r="L86" s="50"/>
      <c r="M86" s="50">
        <f>IF(VLOOKUP($D86,$C$5:$AA$493,11,)=0,0,((VLOOKUP($D86,$C$5:$AA$493,11,)/VLOOKUP($D86,$C$5:$AA$493,4,))*$F86))</f>
        <v>0</v>
      </c>
      <c r="N86" s="50"/>
      <c r="O86" s="50">
        <f>IF(VLOOKUP($D86,$C$5:$AA$493,13,)=0,0,((VLOOKUP($D86,$C$5:$AA$493,13,)/VLOOKUP($D86,$C$5:$AA$493,4,))*$F86))</f>
        <v>0</v>
      </c>
      <c r="P86" s="50">
        <f>IF(VLOOKUP($D86,$C$5:$AA$493,14,)=0,0,((VLOOKUP($D86,$C$5:$AA$493,14,)/VLOOKUP($D86,$C$5:$AA$493,4,))*$F86))</f>
        <v>0</v>
      </c>
      <c r="Q86" s="50"/>
      <c r="R86" s="50">
        <f>IF(VLOOKUP($D86,$C$5:$AA$493,16,)=0,0,((VLOOKUP($D86,$C$5:$AA$493,16,)/VLOOKUP($D86,$C$5:$AA$493,4,))*$F86))</f>
        <v>0</v>
      </c>
      <c r="S86" s="50">
        <f>IF(VLOOKUP($D86,$C$5:$AA$493,17,)=0,0,((VLOOKUP($D86,$C$5:$AA$493,17,)/VLOOKUP($D86,$C$5:$AA$493,4,))*$F86))</f>
        <v>0</v>
      </c>
      <c r="T86" s="50"/>
      <c r="U86" s="50">
        <f>IF(VLOOKUP($D86,$C$5:$AA$493,19,)=0,0,((VLOOKUP($D86,$C$5:$AA$493,19,)/VLOOKUP($D86,$C$5:$AA$493,4,))*$F86))</f>
        <v>0</v>
      </c>
      <c r="V86" s="50"/>
      <c r="W86" s="50">
        <f>IF(VLOOKUP($D86,$C$5:$AA$493,21,)=0,0,((VLOOKUP($D86,$C$5:$AA$493,21,)/VLOOKUP($D86,$C$5:$AA$493,4,))*$F86))</f>
        <v>0</v>
      </c>
      <c r="X86" s="50"/>
      <c r="Y86" s="50">
        <f>IF(VLOOKUP($D86,$C$5:$AA$493,23,)=0,0,((VLOOKUP($D86,$C$5:$AA$493,23,)/VLOOKUP($D86,$C$5:$AA$493,4,))*$F86))</f>
        <v>0</v>
      </c>
      <c r="Z86" s="50"/>
      <c r="AA86" s="50">
        <f>IF(VLOOKUP($D86,$C$5:$AA$493,25,)=0,0,((VLOOKUP($D86,$C$5:$AA$493,25,)/VLOOKUP($D86,$C$5:$AA$493,4,))*$F86))</f>
        <v>0</v>
      </c>
      <c r="AB86" s="50">
        <f>SUM(H86:AA86)</f>
        <v>0</v>
      </c>
      <c r="AC86" s="30" t="str">
        <f>IF(ABS(AB86-F86)&lt;1,"ok","err")</f>
        <v>ok</v>
      </c>
    </row>
    <row r="87" spans="1:29" x14ac:dyDescent="0.2">
      <c r="B87" s="14" t="s">
        <v>839</v>
      </c>
      <c r="C87" s="14" t="s">
        <v>555</v>
      </c>
      <c r="D87" s="14" t="s">
        <v>16</v>
      </c>
      <c r="F87" s="233">
        <v>5305944.25</v>
      </c>
      <c r="G87" s="194"/>
      <c r="H87" s="50">
        <f>IF(VLOOKUP($D87,$C$5:$AA$493,6,)=0,0,((VLOOKUP($D87,$C$5:$AA$493,6,)/VLOOKUP($D87,$C$5:$AA$493,4,))*$F87))</f>
        <v>0</v>
      </c>
      <c r="I87" s="50">
        <f>IF(VLOOKUP($D87,$C$5:$AA$493,7,)=0,0,((VLOOKUP($D87,$C$5:$AA$493,7,)/VLOOKUP($D87,$C$5:$AA$493,4,))*$F87))</f>
        <v>0</v>
      </c>
      <c r="J87" s="50"/>
      <c r="K87" s="50">
        <f>IF(VLOOKUP($D87,$C$5:$AA$493,9,)=0,0,((VLOOKUP($D87,$C$5:$AA$493,9,)/VLOOKUP($D87,$C$5:$AA$493,4,))*$F87))</f>
        <v>0</v>
      </c>
      <c r="L87" s="50"/>
      <c r="M87" s="50">
        <f>IF(VLOOKUP($D87,$C$5:$AA$493,11,)=0,0,((VLOOKUP($D87,$C$5:$AA$493,11,)/VLOOKUP($D87,$C$5:$AA$493,4,))*$F87))</f>
        <v>19556.359902572251</v>
      </c>
      <c r="N87" s="50"/>
      <c r="O87" s="50">
        <f>IF(VLOOKUP($D87,$C$5:$AA$493,13,)=0,0,((VLOOKUP($D87,$C$5:$AA$493,13,)/VLOOKUP($D87,$C$5:$AA$493,4,))*$F87))</f>
        <v>2584052.4317265982</v>
      </c>
      <c r="P87" s="50">
        <f>IF(VLOOKUP($D87,$C$5:$AA$493,14,)=0,0,((VLOOKUP($D87,$C$5:$AA$493,14,)/VLOOKUP($D87,$C$5:$AA$493,4,))*$F87))</f>
        <v>1454406.9150517078</v>
      </c>
      <c r="Q87" s="50"/>
      <c r="R87" s="50">
        <f>IF(VLOOKUP($D87,$C$5:$AA$493,16,)=0,0,((VLOOKUP($D87,$C$5:$AA$493,16,)/VLOOKUP($D87,$C$5:$AA$493,4,))*$F87))</f>
        <v>0</v>
      </c>
      <c r="S87" s="50">
        <f>IF(VLOOKUP($D87,$C$5:$AA$493,17,)=0,0,((VLOOKUP($D87,$C$5:$AA$493,17,)/VLOOKUP($D87,$C$5:$AA$493,4,))*$F87))</f>
        <v>668411.3064762929</v>
      </c>
      <c r="T87" s="50"/>
      <c r="U87" s="50">
        <f>IF(VLOOKUP($D87,$C$5:$AA$493,19,)=0,0,((VLOOKUP($D87,$C$5:$AA$493,19,)/VLOOKUP($D87,$C$5:$AA$493,4,))*$F87))</f>
        <v>290825.57590516243</v>
      </c>
      <c r="V87" s="50"/>
      <c r="W87" s="50">
        <f>IF(VLOOKUP($D87,$C$5:$AA$493,21,)=0,0,((VLOOKUP($D87,$C$5:$AA$493,21,)/VLOOKUP($D87,$C$5:$AA$493,4,))*$F87))</f>
        <v>288691.6609376673</v>
      </c>
      <c r="X87" s="50"/>
      <c r="Y87" s="50">
        <f>IF(VLOOKUP($D87,$C$5:$AA$493,23,)=0,0,((VLOOKUP($D87,$C$5:$AA$493,23,)/VLOOKUP($D87,$C$5:$AA$493,4,))*$F87))</f>
        <v>0</v>
      </c>
      <c r="Z87" s="50"/>
      <c r="AA87" s="50">
        <f>IF(VLOOKUP($D87,$C$5:$AA$493,25,)=0,0,((VLOOKUP($D87,$C$5:$AA$493,25,)/VLOOKUP($D87,$C$5:$AA$493,4,))*$F87))</f>
        <v>0</v>
      </c>
      <c r="AB87" s="50">
        <f>SUM(H87:AA87)</f>
        <v>5305944.2500000009</v>
      </c>
      <c r="AC87" s="30" t="str">
        <f>IF(ABS(AB87-F87)&lt;1,"ok","err")</f>
        <v>ok</v>
      </c>
    </row>
    <row r="88" spans="1:29" x14ac:dyDescent="0.2">
      <c r="B88" s="14" t="s">
        <v>449</v>
      </c>
      <c r="C88" s="14" t="s">
        <v>556</v>
      </c>
      <c r="D88" s="14" t="s">
        <v>70</v>
      </c>
      <c r="F88" s="234">
        <v>0</v>
      </c>
      <c r="G88" s="50"/>
      <c r="H88" s="50">
        <f>IF(VLOOKUP($D88,$C$5:$AA$493,6,)=0,0,((VLOOKUP($D88,$C$5:$AA$493,6,)/VLOOKUP($D88,$C$5:$AA$493,4,))*$F88))</f>
        <v>0</v>
      </c>
      <c r="I88" s="50">
        <f>IF(VLOOKUP($D88,$C$5:$AA$493,7,)=0,0,((VLOOKUP($D88,$C$5:$AA$493,7,)/VLOOKUP($D88,$C$5:$AA$493,4,))*$F88))</f>
        <v>0</v>
      </c>
      <c r="J88" s="50"/>
      <c r="K88" s="50">
        <f>IF(VLOOKUP($D88,$C$5:$AA$493,9,)=0,0,((VLOOKUP($D88,$C$5:$AA$493,9,)/VLOOKUP($D88,$C$5:$AA$493,4,))*$F88))</f>
        <v>0</v>
      </c>
      <c r="L88" s="50"/>
      <c r="M88" s="50">
        <f>IF(VLOOKUP($D88,$C$5:$AA$493,11,)=0,0,((VLOOKUP($D88,$C$5:$AA$493,11,)/VLOOKUP($D88,$C$5:$AA$493,4,))*$F88))</f>
        <v>0</v>
      </c>
      <c r="N88" s="50"/>
      <c r="O88" s="50">
        <f>IF(VLOOKUP($D88,$C$5:$AA$493,13,)=0,0,((VLOOKUP($D88,$C$5:$AA$493,13,)/VLOOKUP($D88,$C$5:$AA$493,4,))*$F88))</f>
        <v>0</v>
      </c>
      <c r="P88" s="50">
        <f>IF(VLOOKUP($D88,$C$5:$AA$493,14,)=0,0,((VLOOKUP($D88,$C$5:$AA$493,14,)/VLOOKUP($D88,$C$5:$AA$493,4,))*$F88))</f>
        <v>0</v>
      </c>
      <c r="Q88" s="50"/>
      <c r="R88" s="50">
        <f>IF(VLOOKUP($D88,$C$5:$AA$493,16,)=0,0,((VLOOKUP($D88,$C$5:$AA$493,16,)/VLOOKUP($D88,$C$5:$AA$493,4,))*$F88))</f>
        <v>0</v>
      </c>
      <c r="S88" s="50">
        <f>IF(VLOOKUP($D88,$C$5:$AA$493,17,)=0,0,((VLOOKUP($D88,$C$5:$AA$493,17,)/VLOOKUP($D88,$C$5:$AA$493,4,))*$F88))</f>
        <v>0</v>
      </c>
      <c r="T88" s="50"/>
      <c r="U88" s="50">
        <f>IF(VLOOKUP($D88,$C$5:$AA$493,19,)=0,0,((VLOOKUP($D88,$C$5:$AA$493,19,)/VLOOKUP($D88,$C$5:$AA$493,4,))*$F88))</f>
        <v>0</v>
      </c>
      <c r="V88" s="50"/>
      <c r="W88" s="50">
        <f>IF(VLOOKUP($D88,$C$5:$AA$493,21,)=0,0,((VLOOKUP($D88,$C$5:$AA$493,21,)/VLOOKUP($D88,$C$5:$AA$493,4,))*$F88))</f>
        <v>0</v>
      </c>
      <c r="X88" s="50"/>
      <c r="Y88" s="50">
        <f>IF(VLOOKUP($D88,$C$5:$AA$493,23,)=0,0,((VLOOKUP($D88,$C$5:$AA$493,23,)/VLOOKUP($D88,$C$5:$AA$493,4,))*$F88))</f>
        <v>0</v>
      </c>
      <c r="Z88" s="50"/>
      <c r="AA88" s="50">
        <f>IF(VLOOKUP($D88,$C$5:$AA$493,25,)=0,0,((VLOOKUP($D88,$C$5:$AA$493,25,)/VLOOKUP($D88,$C$5:$AA$493,4,))*$F88))</f>
        <v>0</v>
      </c>
      <c r="AB88" s="50">
        <f>SUM(H88:AA88)</f>
        <v>0</v>
      </c>
      <c r="AC88" s="30" t="str">
        <f>IF(ABS(AB88-F88)&lt;1,"ok","err")</f>
        <v>ok</v>
      </c>
    </row>
    <row r="89" spans="1:29" x14ac:dyDescent="0.2">
      <c r="B89" s="14" t="s">
        <v>931</v>
      </c>
      <c r="C89" s="14" t="s">
        <v>557</v>
      </c>
      <c r="D89" s="14" t="s">
        <v>16</v>
      </c>
      <c r="F89" s="234">
        <v>0</v>
      </c>
      <c r="G89" s="50"/>
      <c r="H89" s="50">
        <f>IF(VLOOKUP($D89,$C$5:$AA$493,6,)=0,0,((VLOOKUP($D89,$C$5:$AA$493,6,)/VLOOKUP($D89,$C$5:$AA$493,4,))*$F89))</f>
        <v>0</v>
      </c>
      <c r="I89" s="50">
        <f>IF(VLOOKUP($D89,$C$5:$AA$493,7,)=0,0,((VLOOKUP($D89,$C$5:$AA$493,7,)/VLOOKUP($D89,$C$5:$AA$493,4,))*$F89))</f>
        <v>0</v>
      </c>
      <c r="J89" s="50"/>
      <c r="K89" s="50">
        <f>IF(VLOOKUP($D89,$C$5:$AA$493,9,)=0,0,((VLOOKUP($D89,$C$5:$AA$493,9,)/VLOOKUP($D89,$C$5:$AA$493,4,))*$F89))</f>
        <v>0</v>
      </c>
      <c r="L89" s="50"/>
      <c r="M89" s="50">
        <f>IF(VLOOKUP($D89,$C$5:$AA$493,11,)=0,0,((VLOOKUP($D89,$C$5:$AA$493,11,)/VLOOKUP($D89,$C$5:$AA$493,4,))*$F89))</f>
        <v>0</v>
      </c>
      <c r="N89" s="50"/>
      <c r="O89" s="50">
        <f>IF(VLOOKUP($D89,$C$5:$AA$493,13,)=0,0,((VLOOKUP($D89,$C$5:$AA$493,13,)/VLOOKUP($D89,$C$5:$AA$493,4,))*$F89))</f>
        <v>0</v>
      </c>
      <c r="P89" s="50">
        <f>IF(VLOOKUP($D89,$C$5:$AA$493,14,)=0,0,((VLOOKUP($D89,$C$5:$AA$493,14,)/VLOOKUP($D89,$C$5:$AA$493,4,))*$F89))</f>
        <v>0</v>
      </c>
      <c r="Q89" s="50"/>
      <c r="R89" s="50">
        <f>IF(VLOOKUP($D89,$C$5:$AA$493,16,)=0,0,((VLOOKUP($D89,$C$5:$AA$493,16,)/VLOOKUP($D89,$C$5:$AA$493,4,))*$F89))</f>
        <v>0</v>
      </c>
      <c r="S89" s="50">
        <f>IF(VLOOKUP($D89,$C$5:$AA$493,17,)=0,0,((VLOOKUP($D89,$C$5:$AA$493,17,)/VLOOKUP($D89,$C$5:$AA$493,4,))*$F89))</f>
        <v>0</v>
      </c>
      <c r="T89" s="50"/>
      <c r="U89" s="50">
        <f>IF(VLOOKUP($D89,$C$5:$AA$493,19,)=0,0,((VLOOKUP($D89,$C$5:$AA$493,19,)/VLOOKUP($D89,$C$5:$AA$493,4,))*$F89))</f>
        <v>0</v>
      </c>
      <c r="V89" s="50"/>
      <c r="W89" s="50">
        <f>IF(VLOOKUP($D89,$C$5:$AA$493,21,)=0,0,((VLOOKUP($D89,$C$5:$AA$493,21,)/VLOOKUP($D89,$C$5:$AA$493,4,))*$F89))</f>
        <v>0</v>
      </c>
      <c r="X89" s="50"/>
      <c r="Y89" s="50">
        <f>IF(VLOOKUP($D89,$C$5:$AA$493,23,)=0,0,((VLOOKUP($D89,$C$5:$AA$493,23,)/VLOOKUP($D89,$C$5:$AA$493,4,))*$F89))</f>
        <v>0</v>
      </c>
      <c r="Z89" s="50"/>
      <c r="AA89" s="50">
        <f>IF(VLOOKUP($D89,$C$5:$AA$493,25,)=0,0,((VLOOKUP($D89,$C$5:$AA$493,25,)/VLOOKUP($D89,$C$5:$AA$493,4,))*$F89))</f>
        <v>0</v>
      </c>
      <c r="AB89" s="50">
        <f>SUM(H89:AA89)</f>
        <v>0</v>
      </c>
      <c r="AC89" s="30" t="str">
        <f>IF(ABS(AB89-F89)&lt;1,"ok","err")</f>
        <v>ok</v>
      </c>
    </row>
    <row r="90" spans="1:29" x14ac:dyDescent="0.2">
      <c r="F90" s="234"/>
      <c r="G90" s="50"/>
      <c r="AB90" s="50"/>
      <c r="AC90" s="30"/>
    </row>
    <row r="91" spans="1:29" x14ac:dyDescent="0.2">
      <c r="A91" s="95" t="s">
        <v>74</v>
      </c>
      <c r="C91" s="14" t="s">
        <v>75</v>
      </c>
      <c r="F91" s="233">
        <f>SUM(F85:F89)</f>
        <v>5305944.25</v>
      </c>
      <c r="G91" s="66"/>
      <c r="H91" s="66">
        <f>SUM(H85:H89)</f>
        <v>0</v>
      </c>
      <c r="I91" s="66">
        <f>SUM(I85:I89)</f>
        <v>0</v>
      </c>
      <c r="J91" s="66"/>
      <c r="K91" s="66">
        <f>SUM(K85:K89)</f>
        <v>0</v>
      </c>
      <c r="L91" s="66"/>
      <c r="M91" s="66">
        <f>SUM(M85:M89)</f>
        <v>19556.359902572251</v>
      </c>
      <c r="N91" s="66"/>
      <c r="O91" s="66">
        <f>SUM(O85:O89)</f>
        <v>2584052.4317265982</v>
      </c>
      <c r="P91" s="66">
        <f>SUM(P85:P89)</f>
        <v>1454406.9150517078</v>
      </c>
      <c r="Q91" s="66"/>
      <c r="R91" s="66">
        <f>SUM(R85:R89)</f>
        <v>0</v>
      </c>
      <c r="S91" s="66">
        <f>SUM(S85:S89)</f>
        <v>668411.3064762929</v>
      </c>
      <c r="T91" s="66"/>
      <c r="U91" s="66">
        <f>SUM(U85:U89)</f>
        <v>290825.57590516243</v>
      </c>
      <c r="V91" s="66"/>
      <c r="W91" s="66">
        <f>SUM(W85:W89)</f>
        <v>288691.6609376673</v>
      </c>
      <c r="X91" s="66"/>
      <c r="Y91" s="66">
        <f>SUM(Y85:Y89)</f>
        <v>0</v>
      </c>
      <c r="Z91" s="66"/>
      <c r="AA91" s="66">
        <f>SUM(AA85:AA89)</f>
        <v>0</v>
      </c>
      <c r="AB91" s="50">
        <f>SUM(H91:AA91)</f>
        <v>5305944.2500000009</v>
      </c>
      <c r="AC91" s="30" t="str">
        <f>IF(ABS(AB91-F91)&lt;1,"ok","err")</f>
        <v>ok</v>
      </c>
    </row>
    <row r="92" spans="1:29" x14ac:dyDescent="0.2">
      <c r="A92" s="95"/>
      <c r="F92" s="233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50"/>
      <c r="AC92" s="30"/>
    </row>
    <row r="93" spans="1:29" x14ac:dyDescent="0.2">
      <c r="A93" s="13" t="s">
        <v>367</v>
      </c>
      <c r="D93" s="93"/>
      <c r="F93" s="233">
        <f>F82+F91</f>
        <v>322921445.31999999</v>
      </c>
      <c r="G93" s="66"/>
      <c r="H93" s="66">
        <f>H82+H91</f>
        <v>0</v>
      </c>
      <c r="I93" s="66">
        <f>I82+I91</f>
        <v>0</v>
      </c>
      <c r="J93" s="66"/>
      <c r="K93" s="66">
        <f>K82+K91</f>
        <v>0</v>
      </c>
      <c r="L93" s="66"/>
      <c r="M93" s="66">
        <f>M82+M91</f>
        <v>1190206.2493281427</v>
      </c>
      <c r="N93" s="66"/>
      <c r="O93" s="66">
        <f>O82+O91</f>
        <v>157266248.32814887</v>
      </c>
      <c r="P93" s="66">
        <f>P82+P91</f>
        <v>88515664.87753804</v>
      </c>
      <c r="Q93" s="66"/>
      <c r="R93" s="66">
        <f>R82+R91</f>
        <v>0</v>
      </c>
      <c r="S93" s="66">
        <f>S82+S91</f>
        <v>40679723.52999261</v>
      </c>
      <c r="T93" s="66"/>
      <c r="U93" s="66">
        <f>U82+U91</f>
        <v>17699736.537434671</v>
      </c>
      <c r="V93" s="66"/>
      <c r="W93" s="66">
        <f>W82+W91</f>
        <v>17569865.797557693</v>
      </c>
      <c r="X93" s="66"/>
      <c r="Y93" s="66">
        <f>Y82+Y91</f>
        <v>0</v>
      </c>
      <c r="Z93" s="66"/>
      <c r="AA93" s="66">
        <f>AA82+AA91</f>
        <v>0</v>
      </c>
      <c r="AB93" s="50">
        <f>SUM(H93:AA93)</f>
        <v>322921445.32000005</v>
      </c>
      <c r="AC93" s="30" t="str">
        <f>IF(ABS(AB93-F93)&lt;1,"ok","err")</f>
        <v>ok</v>
      </c>
    </row>
    <row r="94" spans="1:29" x14ac:dyDescent="0.2">
      <c r="AC94" s="30"/>
    </row>
    <row r="95" spans="1:29" x14ac:dyDescent="0.2">
      <c r="A95" s="28" t="s">
        <v>76</v>
      </c>
      <c r="F95" s="226"/>
      <c r="G95" s="93"/>
      <c r="AC95" s="30"/>
    </row>
    <row r="96" spans="1:29" x14ac:dyDescent="0.2">
      <c r="AC96" s="30"/>
    </row>
    <row r="97" spans="1:29" x14ac:dyDescent="0.2">
      <c r="A97" s="28" t="s">
        <v>77</v>
      </c>
      <c r="AC97" s="30"/>
    </row>
    <row r="98" spans="1:29" x14ac:dyDescent="0.2">
      <c r="A98" s="14" t="s">
        <v>15</v>
      </c>
      <c r="F98" s="226">
        <f>F82</f>
        <v>317615501.06999999</v>
      </c>
      <c r="G98" s="93"/>
      <c r="H98" s="93">
        <f>H82</f>
        <v>0</v>
      </c>
      <c r="I98" s="93">
        <f>I82</f>
        <v>0</v>
      </c>
      <c r="J98" s="93"/>
      <c r="K98" s="93">
        <f>K82</f>
        <v>0</v>
      </c>
      <c r="L98" s="93"/>
      <c r="M98" s="93">
        <f>M82</f>
        <v>1170649.8894255704</v>
      </c>
      <c r="N98" s="93"/>
      <c r="O98" s="93">
        <f>O82</f>
        <v>154682195.89642227</v>
      </c>
      <c r="P98" s="93">
        <f>P82</f>
        <v>87061257.962486327</v>
      </c>
      <c r="Q98" s="93"/>
      <c r="R98" s="93">
        <f>R82</f>
        <v>0</v>
      </c>
      <c r="S98" s="93">
        <f>S82</f>
        <v>40011312.223516315</v>
      </c>
      <c r="T98" s="93"/>
      <c r="U98" s="93">
        <f>U82</f>
        <v>17408910.961529508</v>
      </c>
      <c r="V98" s="93"/>
      <c r="W98" s="93">
        <f>W82</f>
        <v>17281174.136620026</v>
      </c>
      <c r="X98" s="93"/>
      <c r="Y98" s="93">
        <f>Y82</f>
        <v>0</v>
      </c>
      <c r="Z98" s="93"/>
      <c r="AA98" s="93">
        <f>AA82</f>
        <v>0</v>
      </c>
      <c r="AB98" s="50">
        <f>SUM(H98:AA98)</f>
        <v>317615501.07000005</v>
      </c>
      <c r="AC98" s="30" t="str">
        <f>IF(ABS(AB98-F98)&lt;1,"ok","err")</f>
        <v>ok</v>
      </c>
    </row>
    <row r="99" spans="1:29" x14ac:dyDescent="0.2">
      <c r="A99" s="14" t="s">
        <v>73</v>
      </c>
      <c r="F99" s="234">
        <f>F91</f>
        <v>5305944.25</v>
      </c>
      <c r="G99" s="50"/>
      <c r="H99" s="48">
        <f>H91</f>
        <v>0</v>
      </c>
      <c r="I99" s="48">
        <f>I91</f>
        <v>0</v>
      </c>
      <c r="J99" s="48"/>
      <c r="K99" s="48">
        <f>K91</f>
        <v>0</v>
      </c>
      <c r="L99" s="48"/>
      <c r="M99" s="48">
        <f>M91</f>
        <v>19556.359902572251</v>
      </c>
      <c r="N99" s="48"/>
      <c r="O99" s="48">
        <f>O91</f>
        <v>2584052.4317265982</v>
      </c>
      <c r="P99" s="48">
        <f>P91</f>
        <v>1454406.9150517078</v>
      </c>
      <c r="Q99" s="48"/>
      <c r="R99" s="48">
        <f>R91</f>
        <v>0</v>
      </c>
      <c r="S99" s="48">
        <f>S91</f>
        <v>668411.3064762929</v>
      </c>
      <c r="T99" s="48"/>
      <c r="U99" s="48">
        <f>U91</f>
        <v>290825.57590516243</v>
      </c>
      <c r="V99" s="48"/>
      <c r="W99" s="48">
        <f>W91</f>
        <v>288691.6609376673</v>
      </c>
      <c r="X99" s="48"/>
      <c r="Y99" s="48">
        <f>Y91</f>
        <v>0</v>
      </c>
      <c r="Z99" s="48"/>
      <c r="AA99" s="50">
        <f>AA91</f>
        <v>0</v>
      </c>
      <c r="AB99" s="50">
        <f>SUM(H99:AA99)</f>
        <v>5305944.2500000009</v>
      </c>
      <c r="AC99" s="30" t="str">
        <f>IF(ABS(AB99-F99)&lt;1,"ok","err")</f>
        <v>ok</v>
      </c>
    </row>
    <row r="100" spans="1:29" x14ac:dyDescent="0.2">
      <c r="Q100" s="14"/>
      <c r="AB100" s="50"/>
      <c r="AC100" s="30"/>
    </row>
    <row r="101" spans="1:29" x14ac:dyDescent="0.2">
      <c r="A101" s="95" t="s">
        <v>78</v>
      </c>
      <c r="C101" s="14" t="s">
        <v>79</v>
      </c>
      <c r="F101" s="226">
        <f>F98+F99</f>
        <v>322921445.31999999</v>
      </c>
      <c r="G101" s="93"/>
      <c r="H101" s="93">
        <f t="shared" ref="H101:AA101" si="61">H98+H99</f>
        <v>0</v>
      </c>
      <c r="I101" s="93">
        <f t="shared" si="61"/>
        <v>0</v>
      </c>
      <c r="J101" s="93"/>
      <c r="K101" s="93">
        <f t="shared" si="61"/>
        <v>0</v>
      </c>
      <c r="L101" s="93"/>
      <c r="M101" s="93">
        <f t="shared" si="61"/>
        <v>1190206.2493281427</v>
      </c>
      <c r="N101" s="93"/>
      <c r="O101" s="93">
        <f t="shared" si="61"/>
        <v>157266248.32814887</v>
      </c>
      <c r="P101" s="93">
        <f t="shared" si="61"/>
        <v>88515664.87753804</v>
      </c>
      <c r="Q101" s="93"/>
      <c r="R101" s="93">
        <f t="shared" si="61"/>
        <v>0</v>
      </c>
      <c r="S101" s="93">
        <f t="shared" si="61"/>
        <v>40679723.52999261</v>
      </c>
      <c r="T101" s="93"/>
      <c r="U101" s="93">
        <f t="shared" si="61"/>
        <v>17699736.537434671</v>
      </c>
      <c r="V101" s="93"/>
      <c r="W101" s="93">
        <f t="shared" si="61"/>
        <v>17569865.797557693</v>
      </c>
      <c r="X101" s="93"/>
      <c r="Y101" s="93">
        <f t="shared" si="61"/>
        <v>0</v>
      </c>
      <c r="Z101" s="93"/>
      <c r="AA101" s="93">
        <f t="shared" si="61"/>
        <v>0</v>
      </c>
      <c r="AB101" s="50">
        <f>SUM(H101:AA101)</f>
        <v>322921445.32000005</v>
      </c>
      <c r="AC101" s="30" t="str">
        <f>IF(ABS(AB101-F101)&lt;1,"ok","err")</f>
        <v>ok</v>
      </c>
    </row>
    <row r="102" spans="1:29" x14ac:dyDescent="0.2">
      <c r="Q102" s="14"/>
      <c r="AC102" s="30"/>
    </row>
    <row r="103" spans="1:29" x14ac:dyDescent="0.2">
      <c r="A103" s="28" t="s">
        <v>80</v>
      </c>
      <c r="Q103" s="14"/>
      <c r="AC103" s="30"/>
    </row>
    <row r="104" spans="1:29" x14ac:dyDescent="0.2">
      <c r="A104" s="14" t="s">
        <v>369</v>
      </c>
      <c r="C104" s="14" t="s">
        <v>393</v>
      </c>
      <c r="D104" s="14" t="s">
        <v>79</v>
      </c>
      <c r="F104" s="233">
        <v>0</v>
      </c>
      <c r="G104" s="193"/>
      <c r="H104" s="50">
        <f t="shared" ref="H104:H122" si="62">IF(VLOOKUP($D104,$C$5:$AA$493,6,)=0,0,((VLOOKUP($D104,$C$5:$AA$493,6,)/VLOOKUP($D104,$C$5:$AA$493,4,))*$F104))</f>
        <v>0</v>
      </c>
      <c r="I104" s="50">
        <f t="shared" ref="I104:I122" si="63">IF(VLOOKUP($D104,$C$5:$AA$493,7,)=0,0,((VLOOKUP($D104,$C$5:$AA$493,7,)/VLOOKUP($D104,$C$5:$AA$493,4,))*$F104))</f>
        <v>0</v>
      </c>
      <c r="J104" s="50"/>
      <c r="K104" s="50">
        <f t="shared" ref="K104:K122" si="64">IF(VLOOKUP($D104,$C$5:$AA$493,9,)=0,0,((VLOOKUP($D104,$C$5:$AA$493,9,)/VLOOKUP($D104,$C$5:$AA$493,4,))*$F104))</f>
        <v>0</v>
      </c>
      <c r="L104" s="50"/>
      <c r="M104" s="50">
        <f t="shared" ref="M104:M122" si="65">IF(VLOOKUP($D104,$C$5:$AA$493,11,)=0,0,((VLOOKUP($D104,$C$5:$AA$493,11,)/VLOOKUP($D104,$C$5:$AA$493,4,))*$F104))</f>
        <v>0</v>
      </c>
      <c r="N104" s="50"/>
      <c r="O104" s="50">
        <f t="shared" ref="O104:O122" si="66">IF(VLOOKUP($D104,$C$5:$AA$493,13,)=0,0,((VLOOKUP($D104,$C$5:$AA$493,13,)/VLOOKUP($D104,$C$5:$AA$493,4,))*$F104))</f>
        <v>0</v>
      </c>
      <c r="P104" s="50">
        <f t="shared" ref="P104:P122" si="67">IF(VLOOKUP($D104,$C$5:$AA$493,14,)=0,0,((VLOOKUP($D104,$C$5:$AA$493,14,)/VLOOKUP($D104,$C$5:$AA$493,4,))*$F104))</f>
        <v>0</v>
      </c>
      <c r="Q104" s="50"/>
      <c r="R104" s="50">
        <f t="shared" ref="R104:R122" si="68">IF(VLOOKUP($D104,$C$5:$AA$493,16,)=0,0,((VLOOKUP($D104,$C$5:$AA$493,16,)/VLOOKUP($D104,$C$5:$AA$493,4,))*$F104))</f>
        <v>0</v>
      </c>
      <c r="S104" s="50">
        <f t="shared" ref="S104:S122" si="69">IF(VLOOKUP($D104,$C$5:$AA$493,17,)=0,0,((VLOOKUP($D104,$C$5:$AA$493,17,)/VLOOKUP($D104,$C$5:$AA$493,4,))*$F104))</f>
        <v>0</v>
      </c>
      <c r="T104" s="50"/>
      <c r="U104" s="50">
        <f t="shared" ref="U104:U122" si="70">IF(VLOOKUP($D104,$C$5:$AA$493,19,)=0,0,((VLOOKUP($D104,$C$5:$AA$493,19,)/VLOOKUP($D104,$C$5:$AA$493,4,))*$F104))</f>
        <v>0</v>
      </c>
      <c r="V104" s="50"/>
      <c r="W104" s="50">
        <f t="shared" ref="W104:W122" si="71">IF(VLOOKUP($D104,$C$5:$AA$493,21,)=0,0,((VLOOKUP($D104,$C$5:$AA$493,21,)/VLOOKUP($D104,$C$5:$AA$493,4,))*$F104))</f>
        <v>0</v>
      </c>
      <c r="X104" s="50"/>
      <c r="Y104" s="50">
        <f t="shared" ref="Y104:Y122" si="72">IF(VLOOKUP($D104,$C$5:$AA$493,23,)=0,0,((VLOOKUP($D104,$C$5:$AA$493,23,)/VLOOKUP($D104,$C$5:$AA$493,4,))*$F104))</f>
        <v>0</v>
      </c>
      <c r="Z104" s="50"/>
      <c r="AA104" s="50">
        <f t="shared" ref="AA104:AA122" si="73">IF(VLOOKUP($D104,$C$5:$AA$493,25,)=0,0,((VLOOKUP($D104,$C$5:$AA$493,25,)/VLOOKUP($D104,$C$5:$AA$493,4,))*$F104))</f>
        <v>0</v>
      </c>
      <c r="AB104" s="50">
        <f t="shared" ref="AB104:AB122" si="74">SUM(H104:AA104)</f>
        <v>0</v>
      </c>
      <c r="AC104" s="30" t="str">
        <f t="shared" ref="AC104:AC110" si="75">IF(ABS(AB104-F104)&lt;1,"ok","err")</f>
        <v>ok</v>
      </c>
    </row>
    <row r="105" spans="1:29" x14ac:dyDescent="0.2">
      <c r="A105" s="14" t="s">
        <v>370</v>
      </c>
      <c r="C105" s="14" t="s">
        <v>394</v>
      </c>
      <c r="D105" s="14" t="s">
        <v>16</v>
      </c>
      <c r="F105" s="234">
        <v>-649006.34</v>
      </c>
      <c r="G105" s="194"/>
      <c r="H105" s="50">
        <f t="shared" si="62"/>
        <v>0</v>
      </c>
      <c r="I105" s="50">
        <f t="shared" si="63"/>
        <v>0</v>
      </c>
      <c r="J105" s="50"/>
      <c r="K105" s="50">
        <f t="shared" si="64"/>
        <v>0</v>
      </c>
      <c r="L105" s="50"/>
      <c r="M105" s="50">
        <f t="shared" si="65"/>
        <v>-2392.0721677562242</v>
      </c>
      <c r="N105" s="50"/>
      <c r="O105" s="50">
        <f t="shared" si="66"/>
        <v>-316073.13082548487</v>
      </c>
      <c r="P105" s="50">
        <f t="shared" si="67"/>
        <v>-177898.45960187004</v>
      </c>
      <c r="Q105" s="50"/>
      <c r="R105" s="50">
        <f t="shared" si="68"/>
        <v>0</v>
      </c>
      <c r="S105" s="50">
        <f t="shared" si="69"/>
        <v>-81757.959599895374</v>
      </c>
      <c r="T105" s="50"/>
      <c r="U105" s="50">
        <f t="shared" si="70"/>
        <v>-35572.865771554541</v>
      </c>
      <c r="V105" s="50"/>
      <c r="W105" s="50">
        <f t="shared" si="71"/>
        <v>-35311.85203343899</v>
      </c>
      <c r="X105" s="50"/>
      <c r="Y105" s="50">
        <f t="shared" si="72"/>
        <v>0</v>
      </c>
      <c r="Z105" s="50"/>
      <c r="AA105" s="50">
        <f t="shared" si="73"/>
        <v>0</v>
      </c>
      <c r="AB105" s="50">
        <f t="shared" si="74"/>
        <v>-649006.34</v>
      </c>
      <c r="AC105" s="30" t="str">
        <f t="shared" si="75"/>
        <v>ok</v>
      </c>
    </row>
    <row r="106" spans="1:29" x14ac:dyDescent="0.2">
      <c r="A106" s="14" t="s">
        <v>833</v>
      </c>
      <c r="C106" s="14" t="s">
        <v>838</v>
      </c>
      <c r="D106" s="14" t="s">
        <v>782</v>
      </c>
      <c r="F106" s="234">
        <v>0</v>
      </c>
      <c r="G106" s="194"/>
      <c r="H106" s="50">
        <f t="shared" si="62"/>
        <v>0</v>
      </c>
      <c r="I106" s="50">
        <f t="shared" si="63"/>
        <v>0</v>
      </c>
      <c r="J106" s="50"/>
      <c r="K106" s="50">
        <f t="shared" si="64"/>
        <v>0</v>
      </c>
      <c r="L106" s="50"/>
      <c r="M106" s="50">
        <f t="shared" si="65"/>
        <v>0</v>
      </c>
      <c r="N106" s="50"/>
      <c r="O106" s="50">
        <f t="shared" si="66"/>
        <v>0</v>
      </c>
      <c r="P106" s="50">
        <f t="shared" si="67"/>
        <v>0</v>
      </c>
      <c r="Q106" s="50"/>
      <c r="R106" s="50">
        <f t="shared" si="68"/>
        <v>0</v>
      </c>
      <c r="S106" s="50">
        <f t="shared" si="69"/>
        <v>0</v>
      </c>
      <c r="T106" s="50"/>
      <c r="U106" s="50">
        <f t="shared" si="70"/>
        <v>0</v>
      </c>
      <c r="V106" s="50"/>
      <c r="W106" s="50">
        <f t="shared" si="71"/>
        <v>0</v>
      </c>
      <c r="X106" s="50"/>
      <c r="Y106" s="50">
        <f t="shared" si="72"/>
        <v>0</v>
      </c>
      <c r="Z106" s="50"/>
      <c r="AA106" s="50">
        <f t="shared" si="73"/>
        <v>0</v>
      </c>
      <c r="AB106" s="50">
        <f t="shared" si="74"/>
        <v>0</v>
      </c>
      <c r="AC106" s="30" t="str">
        <f t="shared" si="75"/>
        <v>ok</v>
      </c>
    </row>
    <row r="107" spans="1:29" x14ac:dyDescent="0.2">
      <c r="A107" s="14" t="s">
        <v>368</v>
      </c>
      <c r="C107" s="14" t="s">
        <v>395</v>
      </c>
      <c r="D107" s="14" t="s">
        <v>390</v>
      </c>
      <c r="F107" s="234">
        <v>0</v>
      </c>
      <c r="G107" s="194"/>
      <c r="H107" s="50">
        <f t="shared" si="62"/>
        <v>0</v>
      </c>
      <c r="I107" s="50">
        <f t="shared" si="63"/>
        <v>0</v>
      </c>
      <c r="J107" s="50"/>
      <c r="K107" s="50">
        <f t="shared" si="64"/>
        <v>0</v>
      </c>
      <c r="L107" s="50"/>
      <c r="M107" s="50">
        <f t="shared" si="65"/>
        <v>0</v>
      </c>
      <c r="N107" s="50"/>
      <c r="O107" s="50">
        <f t="shared" si="66"/>
        <v>0</v>
      </c>
      <c r="P107" s="50">
        <f t="shared" si="67"/>
        <v>0</v>
      </c>
      <c r="Q107" s="50"/>
      <c r="R107" s="50">
        <f t="shared" si="68"/>
        <v>0</v>
      </c>
      <c r="S107" s="50">
        <f t="shared" si="69"/>
        <v>0</v>
      </c>
      <c r="T107" s="50"/>
      <c r="U107" s="50">
        <f t="shared" si="70"/>
        <v>0</v>
      </c>
      <c r="V107" s="50"/>
      <c r="W107" s="50">
        <f t="shared" si="71"/>
        <v>0</v>
      </c>
      <c r="X107" s="50"/>
      <c r="Y107" s="50">
        <f t="shared" si="72"/>
        <v>0</v>
      </c>
      <c r="Z107" s="50"/>
      <c r="AA107" s="50">
        <f t="shared" si="73"/>
        <v>0</v>
      </c>
      <c r="AB107" s="50">
        <f t="shared" si="74"/>
        <v>0</v>
      </c>
      <c r="AC107" s="30" t="str">
        <f t="shared" si="75"/>
        <v>ok</v>
      </c>
    </row>
    <row r="108" spans="1:29" x14ac:dyDescent="0.2">
      <c r="A108" s="14" t="s">
        <v>1053</v>
      </c>
      <c r="C108" s="14" t="s">
        <v>448</v>
      </c>
      <c r="D108" s="14" t="s">
        <v>16</v>
      </c>
      <c r="F108" s="234">
        <v>89520164.319999993</v>
      </c>
      <c r="G108" s="194"/>
      <c r="H108" s="50">
        <f t="shared" si="62"/>
        <v>0</v>
      </c>
      <c r="I108" s="50">
        <f t="shared" si="63"/>
        <v>0</v>
      </c>
      <c r="J108" s="50"/>
      <c r="K108" s="50">
        <f t="shared" si="64"/>
        <v>0</v>
      </c>
      <c r="L108" s="50"/>
      <c r="M108" s="50">
        <f t="shared" si="65"/>
        <v>329948.53875053942</v>
      </c>
      <c r="N108" s="50"/>
      <c r="O108" s="50">
        <f t="shared" si="66"/>
        <v>43597291.52820643</v>
      </c>
      <c r="P108" s="50">
        <f t="shared" si="67"/>
        <v>24538280.066469438</v>
      </c>
      <c r="Q108" s="50"/>
      <c r="R108" s="50">
        <f t="shared" si="68"/>
        <v>0</v>
      </c>
      <c r="S108" s="50">
        <f t="shared" si="69"/>
        <v>11277217.997362791</v>
      </c>
      <c r="T108" s="50"/>
      <c r="U108" s="50">
        <f t="shared" si="70"/>
        <v>4906714.4539803201</v>
      </c>
      <c r="V108" s="50"/>
      <c r="W108" s="50">
        <f t="shared" si="71"/>
        <v>4870711.7352304822</v>
      </c>
      <c r="X108" s="50"/>
      <c r="Y108" s="50">
        <f t="shared" si="72"/>
        <v>0</v>
      </c>
      <c r="Z108" s="50"/>
      <c r="AA108" s="50">
        <f t="shared" si="73"/>
        <v>0</v>
      </c>
      <c r="AB108" s="50">
        <f t="shared" si="74"/>
        <v>89520164.319999993</v>
      </c>
      <c r="AC108" s="30" t="str">
        <f t="shared" si="75"/>
        <v>ok</v>
      </c>
    </row>
    <row r="109" spans="1:29" x14ac:dyDescent="0.2">
      <c r="A109" s="14" t="s">
        <v>426</v>
      </c>
      <c r="C109" s="14" t="s">
        <v>436</v>
      </c>
      <c r="D109" s="14" t="s">
        <v>424</v>
      </c>
      <c r="F109" s="234">
        <v>0</v>
      </c>
      <c r="G109" s="194"/>
      <c r="H109" s="50">
        <f t="shared" si="62"/>
        <v>0</v>
      </c>
      <c r="I109" s="50">
        <f t="shared" si="63"/>
        <v>0</v>
      </c>
      <c r="J109" s="50"/>
      <c r="K109" s="50">
        <f t="shared" si="64"/>
        <v>0</v>
      </c>
      <c r="L109" s="50"/>
      <c r="M109" s="50">
        <f t="shared" si="65"/>
        <v>0</v>
      </c>
      <c r="N109" s="50"/>
      <c r="O109" s="50">
        <f t="shared" si="66"/>
        <v>0</v>
      </c>
      <c r="P109" s="50">
        <f t="shared" si="67"/>
        <v>0</v>
      </c>
      <c r="Q109" s="50"/>
      <c r="R109" s="50">
        <f t="shared" si="68"/>
        <v>0</v>
      </c>
      <c r="S109" s="50">
        <f t="shared" si="69"/>
        <v>0</v>
      </c>
      <c r="T109" s="50"/>
      <c r="U109" s="50">
        <f t="shared" si="70"/>
        <v>0</v>
      </c>
      <c r="V109" s="50"/>
      <c r="W109" s="50">
        <f t="shared" si="71"/>
        <v>0</v>
      </c>
      <c r="X109" s="50"/>
      <c r="Y109" s="50">
        <f t="shared" si="72"/>
        <v>0</v>
      </c>
      <c r="Z109" s="50"/>
      <c r="AA109" s="50">
        <f t="shared" si="73"/>
        <v>0</v>
      </c>
      <c r="AB109" s="50">
        <f t="shared" si="74"/>
        <v>0</v>
      </c>
      <c r="AC109" s="30" t="str">
        <f t="shared" si="75"/>
        <v>ok</v>
      </c>
    </row>
    <row r="110" spans="1:29" x14ac:dyDescent="0.2">
      <c r="A110" s="14" t="s">
        <v>427</v>
      </c>
      <c r="C110" s="14" t="s">
        <v>437</v>
      </c>
      <c r="D110" s="14" t="s">
        <v>23</v>
      </c>
      <c r="F110" s="234">
        <v>0</v>
      </c>
      <c r="G110" s="194"/>
      <c r="H110" s="50">
        <f t="shared" si="62"/>
        <v>0</v>
      </c>
      <c r="I110" s="50">
        <f t="shared" si="63"/>
        <v>0</v>
      </c>
      <c r="J110" s="50"/>
      <c r="K110" s="50">
        <f t="shared" si="64"/>
        <v>0</v>
      </c>
      <c r="L110" s="50"/>
      <c r="M110" s="50">
        <f t="shared" si="65"/>
        <v>0</v>
      </c>
      <c r="N110" s="50"/>
      <c r="O110" s="50">
        <f t="shared" si="66"/>
        <v>0</v>
      </c>
      <c r="P110" s="50">
        <f t="shared" si="67"/>
        <v>0</v>
      </c>
      <c r="Q110" s="50"/>
      <c r="R110" s="50">
        <f t="shared" si="68"/>
        <v>0</v>
      </c>
      <c r="S110" s="50">
        <f t="shared" si="69"/>
        <v>0</v>
      </c>
      <c r="T110" s="50"/>
      <c r="U110" s="50">
        <f t="shared" si="70"/>
        <v>0</v>
      </c>
      <c r="V110" s="50"/>
      <c r="W110" s="50">
        <f t="shared" si="71"/>
        <v>0</v>
      </c>
      <c r="X110" s="50"/>
      <c r="Y110" s="50">
        <f t="shared" si="72"/>
        <v>0</v>
      </c>
      <c r="Z110" s="50"/>
      <c r="AA110" s="50">
        <f t="shared" si="73"/>
        <v>0</v>
      </c>
      <c r="AB110" s="50">
        <f t="shared" si="74"/>
        <v>0</v>
      </c>
      <c r="AC110" s="30" t="str">
        <f t="shared" si="75"/>
        <v>ok</v>
      </c>
    </row>
    <row r="111" spans="1:29" x14ac:dyDescent="0.2">
      <c r="A111" s="14" t="s">
        <v>428</v>
      </c>
      <c r="C111" s="14" t="s">
        <v>438</v>
      </c>
      <c r="D111" s="14" t="s">
        <v>26</v>
      </c>
      <c r="F111" s="234">
        <v>0</v>
      </c>
      <c r="G111" s="194"/>
      <c r="H111" s="50">
        <f t="shared" si="62"/>
        <v>0</v>
      </c>
      <c r="I111" s="50">
        <f t="shared" si="63"/>
        <v>0</v>
      </c>
      <c r="J111" s="50"/>
      <c r="K111" s="50">
        <f t="shared" si="64"/>
        <v>0</v>
      </c>
      <c r="L111" s="50"/>
      <c r="M111" s="50">
        <f t="shared" si="65"/>
        <v>0</v>
      </c>
      <c r="N111" s="50"/>
      <c r="O111" s="50">
        <f t="shared" si="66"/>
        <v>0</v>
      </c>
      <c r="P111" s="50">
        <f t="shared" si="67"/>
        <v>0</v>
      </c>
      <c r="Q111" s="50"/>
      <c r="R111" s="50">
        <f t="shared" si="68"/>
        <v>0</v>
      </c>
      <c r="S111" s="50">
        <f t="shared" si="69"/>
        <v>0</v>
      </c>
      <c r="T111" s="50"/>
      <c r="U111" s="50">
        <f t="shared" si="70"/>
        <v>0</v>
      </c>
      <c r="V111" s="50"/>
      <c r="W111" s="50">
        <f t="shared" si="71"/>
        <v>0</v>
      </c>
      <c r="X111" s="50"/>
      <c r="Y111" s="50">
        <f t="shared" si="72"/>
        <v>0</v>
      </c>
      <c r="Z111" s="50"/>
      <c r="AA111" s="50">
        <f t="shared" si="73"/>
        <v>0</v>
      </c>
      <c r="AB111" s="50">
        <f t="shared" si="74"/>
        <v>0</v>
      </c>
      <c r="AC111" s="30" t="str">
        <f t="shared" ref="AC111:AC119" si="76">IF(ABS(AB111-F111)&lt;1,"ok","err")</f>
        <v>ok</v>
      </c>
    </row>
    <row r="112" spans="1:29" x14ac:dyDescent="0.2">
      <c r="A112" s="14" t="s">
        <v>429</v>
      </c>
      <c r="C112" s="14" t="s">
        <v>439</v>
      </c>
      <c r="D112" s="14" t="s">
        <v>29</v>
      </c>
      <c r="F112" s="234">
        <v>0</v>
      </c>
      <c r="G112" s="194"/>
      <c r="H112" s="50">
        <f t="shared" si="62"/>
        <v>0</v>
      </c>
      <c r="I112" s="50">
        <f t="shared" si="63"/>
        <v>0</v>
      </c>
      <c r="J112" s="50"/>
      <c r="K112" s="50">
        <f t="shared" si="64"/>
        <v>0</v>
      </c>
      <c r="L112" s="50"/>
      <c r="M112" s="50">
        <f t="shared" si="65"/>
        <v>0</v>
      </c>
      <c r="N112" s="50"/>
      <c r="O112" s="50">
        <f t="shared" si="66"/>
        <v>0</v>
      </c>
      <c r="P112" s="50">
        <f t="shared" si="67"/>
        <v>0</v>
      </c>
      <c r="Q112" s="50"/>
      <c r="R112" s="50">
        <f t="shared" si="68"/>
        <v>0</v>
      </c>
      <c r="S112" s="50">
        <f t="shared" si="69"/>
        <v>0</v>
      </c>
      <c r="T112" s="50"/>
      <c r="U112" s="50">
        <f t="shared" si="70"/>
        <v>0</v>
      </c>
      <c r="V112" s="50"/>
      <c r="W112" s="50">
        <f t="shared" si="71"/>
        <v>0</v>
      </c>
      <c r="X112" s="50"/>
      <c r="Y112" s="50">
        <f t="shared" si="72"/>
        <v>0</v>
      </c>
      <c r="Z112" s="50"/>
      <c r="AA112" s="50">
        <f t="shared" si="73"/>
        <v>0</v>
      </c>
      <c r="AB112" s="50">
        <f t="shared" si="74"/>
        <v>0</v>
      </c>
      <c r="AC112" s="30" t="str">
        <f t="shared" si="76"/>
        <v>ok</v>
      </c>
    </row>
    <row r="113" spans="1:29" x14ac:dyDescent="0.2">
      <c r="A113" s="14" t="s">
        <v>447</v>
      </c>
      <c r="C113" s="14" t="s">
        <v>440</v>
      </c>
      <c r="D113" s="14" t="s">
        <v>32</v>
      </c>
      <c r="F113" s="234">
        <v>0</v>
      </c>
      <c r="G113" s="194"/>
      <c r="H113" s="50">
        <f t="shared" si="62"/>
        <v>0</v>
      </c>
      <c r="I113" s="50">
        <f t="shared" si="63"/>
        <v>0</v>
      </c>
      <c r="J113" s="50"/>
      <c r="K113" s="50">
        <f t="shared" si="64"/>
        <v>0</v>
      </c>
      <c r="L113" s="50"/>
      <c r="M113" s="50">
        <f t="shared" si="65"/>
        <v>0</v>
      </c>
      <c r="N113" s="50"/>
      <c r="O113" s="50">
        <f t="shared" si="66"/>
        <v>0</v>
      </c>
      <c r="P113" s="50">
        <f t="shared" si="67"/>
        <v>0</v>
      </c>
      <c r="Q113" s="50"/>
      <c r="R113" s="50">
        <f t="shared" si="68"/>
        <v>0</v>
      </c>
      <c r="S113" s="50">
        <f t="shared" si="69"/>
        <v>0</v>
      </c>
      <c r="T113" s="50"/>
      <c r="U113" s="50">
        <f t="shared" si="70"/>
        <v>0</v>
      </c>
      <c r="V113" s="50"/>
      <c r="W113" s="50">
        <f t="shared" si="71"/>
        <v>0</v>
      </c>
      <c r="X113" s="50"/>
      <c r="Y113" s="50">
        <f t="shared" si="72"/>
        <v>0</v>
      </c>
      <c r="Z113" s="50"/>
      <c r="AA113" s="50">
        <f t="shared" si="73"/>
        <v>0</v>
      </c>
      <c r="AB113" s="50">
        <f t="shared" si="74"/>
        <v>0</v>
      </c>
      <c r="AC113" s="30" t="str">
        <f t="shared" si="76"/>
        <v>ok</v>
      </c>
    </row>
    <row r="114" spans="1:29" x14ac:dyDescent="0.2">
      <c r="A114" s="14" t="s">
        <v>430</v>
      </c>
      <c r="C114" s="14" t="s">
        <v>441</v>
      </c>
      <c r="D114" s="14" t="s">
        <v>35</v>
      </c>
      <c r="F114" s="234">
        <v>0</v>
      </c>
      <c r="G114" s="194"/>
      <c r="H114" s="50">
        <f t="shared" si="62"/>
        <v>0</v>
      </c>
      <c r="I114" s="50">
        <f t="shared" si="63"/>
        <v>0</v>
      </c>
      <c r="J114" s="50"/>
      <c r="K114" s="50">
        <f t="shared" si="64"/>
        <v>0</v>
      </c>
      <c r="L114" s="50"/>
      <c r="M114" s="50">
        <f t="shared" si="65"/>
        <v>0</v>
      </c>
      <c r="N114" s="50"/>
      <c r="O114" s="50">
        <f t="shared" si="66"/>
        <v>0</v>
      </c>
      <c r="P114" s="50">
        <f t="shared" si="67"/>
        <v>0</v>
      </c>
      <c r="Q114" s="50"/>
      <c r="R114" s="50">
        <f t="shared" si="68"/>
        <v>0</v>
      </c>
      <c r="S114" s="50">
        <f t="shared" si="69"/>
        <v>0</v>
      </c>
      <c r="T114" s="50"/>
      <c r="U114" s="50">
        <f t="shared" si="70"/>
        <v>0</v>
      </c>
      <c r="V114" s="50"/>
      <c r="W114" s="50">
        <f t="shared" si="71"/>
        <v>0</v>
      </c>
      <c r="X114" s="50"/>
      <c r="Y114" s="50">
        <f t="shared" si="72"/>
        <v>0</v>
      </c>
      <c r="Z114" s="50"/>
      <c r="AA114" s="50">
        <f t="shared" si="73"/>
        <v>0</v>
      </c>
      <c r="AB114" s="50">
        <f t="shared" si="74"/>
        <v>0</v>
      </c>
      <c r="AC114" s="30" t="str">
        <f t="shared" si="76"/>
        <v>ok</v>
      </c>
    </row>
    <row r="115" spans="1:29" x14ac:dyDescent="0.2">
      <c r="A115" s="14" t="s">
        <v>431</v>
      </c>
      <c r="C115" s="14" t="s">
        <v>442</v>
      </c>
      <c r="D115" s="14" t="s">
        <v>37</v>
      </c>
      <c r="F115" s="234">
        <v>0</v>
      </c>
      <c r="G115" s="194"/>
      <c r="H115" s="50">
        <f t="shared" si="62"/>
        <v>0</v>
      </c>
      <c r="I115" s="50">
        <f t="shared" si="63"/>
        <v>0</v>
      </c>
      <c r="J115" s="50"/>
      <c r="K115" s="50">
        <f t="shared" si="64"/>
        <v>0</v>
      </c>
      <c r="L115" s="50"/>
      <c r="M115" s="50">
        <f t="shared" si="65"/>
        <v>0</v>
      </c>
      <c r="N115" s="50"/>
      <c r="O115" s="50">
        <f t="shared" si="66"/>
        <v>0</v>
      </c>
      <c r="P115" s="50">
        <f t="shared" si="67"/>
        <v>0</v>
      </c>
      <c r="Q115" s="50"/>
      <c r="R115" s="50">
        <f t="shared" si="68"/>
        <v>0</v>
      </c>
      <c r="S115" s="50">
        <f t="shared" si="69"/>
        <v>0</v>
      </c>
      <c r="T115" s="50"/>
      <c r="U115" s="50">
        <f t="shared" si="70"/>
        <v>0</v>
      </c>
      <c r="V115" s="50"/>
      <c r="W115" s="50">
        <f t="shared" si="71"/>
        <v>0</v>
      </c>
      <c r="X115" s="50"/>
      <c r="Y115" s="50">
        <f t="shared" si="72"/>
        <v>0</v>
      </c>
      <c r="Z115" s="50"/>
      <c r="AA115" s="50">
        <f t="shared" si="73"/>
        <v>0</v>
      </c>
      <c r="AB115" s="50">
        <f t="shared" si="74"/>
        <v>0</v>
      </c>
      <c r="AC115" s="30" t="str">
        <f>IF(ABS(AB115-F115)&lt;1,"ok","err")</f>
        <v>ok</v>
      </c>
    </row>
    <row r="116" spans="1:29" x14ac:dyDescent="0.2">
      <c r="A116" s="14" t="s">
        <v>432</v>
      </c>
      <c r="C116" s="14" t="s">
        <v>443</v>
      </c>
      <c r="D116" s="14" t="s">
        <v>40</v>
      </c>
      <c r="F116" s="234">
        <v>0</v>
      </c>
      <c r="G116" s="194"/>
      <c r="H116" s="50">
        <f t="shared" si="62"/>
        <v>0</v>
      </c>
      <c r="I116" s="50">
        <f t="shared" si="63"/>
        <v>0</v>
      </c>
      <c r="J116" s="50"/>
      <c r="K116" s="50">
        <f t="shared" si="64"/>
        <v>0</v>
      </c>
      <c r="L116" s="50"/>
      <c r="M116" s="50">
        <f t="shared" si="65"/>
        <v>0</v>
      </c>
      <c r="N116" s="50"/>
      <c r="O116" s="50">
        <f t="shared" si="66"/>
        <v>0</v>
      </c>
      <c r="P116" s="50">
        <f t="shared" si="67"/>
        <v>0</v>
      </c>
      <c r="Q116" s="50"/>
      <c r="R116" s="50">
        <f t="shared" si="68"/>
        <v>0</v>
      </c>
      <c r="S116" s="50">
        <f t="shared" si="69"/>
        <v>0</v>
      </c>
      <c r="T116" s="50"/>
      <c r="U116" s="50">
        <f t="shared" si="70"/>
        <v>0</v>
      </c>
      <c r="V116" s="50"/>
      <c r="W116" s="50">
        <f t="shared" si="71"/>
        <v>0</v>
      </c>
      <c r="X116" s="50"/>
      <c r="Y116" s="50">
        <f t="shared" si="72"/>
        <v>0</v>
      </c>
      <c r="Z116" s="50"/>
      <c r="AA116" s="50">
        <f t="shared" si="73"/>
        <v>0</v>
      </c>
      <c r="AB116" s="50">
        <f t="shared" si="74"/>
        <v>0</v>
      </c>
      <c r="AC116" s="30" t="str">
        <f t="shared" si="76"/>
        <v>ok</v>
      </c>
    </row>
    <row r="117" spans="1:29" x14ac:dyDescent="0.2">
      <c r="A117" s="14" t="s">
        <v>433</v>
      </c>
      <c r="C117" s="14" t="s">
        <v>444</v>
      </c>
      <c r="D117" s="14" t="s">
        <v>43</v>
      </c>
      <c r="F117" s="234">
        <v>0</v>
      </c>
      <c r="G117" s="194"/>
      <c r="H117" s="50">
        <f t="shared" si="62"/>
        <v>0</v>
      </c>
      <c r="I117" s="50">
        <f t="shared" si="63"/>
        <v>0</v>
      </c>
      <c r="J117" s="50"/>
      <c r="K117" s="50">
        <f t="shared" si="64"/>
        <v>0</v>
      </c>
      <c r="L117" s="50"/>
      <c r="M117" s="50">
        <f t="shared" si="65"/>
        <v>0</v>
      </c>
      <c r="N117" s="50"/>
      <c r="O117" s="50">
        <f t="shared" si="66"/>
        <v>0</v>
      </c>
      <c r="P117" s="50">
        <f t="shared" si="67"/>
        <v>0</v>
      </c>
      <c r="Q117" s="50"/>
      <c r="R117" s="50">
        <f t="shared" si="68"/>
        <v>0</v>
      </c>
      <c r="S117" s="50">
        <f t="shared" si="69"/>
        <v>0</v>
      </c>
      <c r="T117" s="50"/>
      <c r="U117" s="50">
        <f t="shared" si="70"/>
        <v>0</v>
      </c>
      <c r="V117" s="50"/>
      <c r="W117" s="50">
        <f t="shared" si="71"/>
        <v>0</v>
      </c>
      <c r="X117" s="50"/>
      <c r="Y117" s="50">
        <f t="shared" si="72"/>
        <v>0</v>
      </c>
      <c r="Z117" s="50"/>
      <c r="AA117" s="50">
        <f t="shared" si="73"/>
        <v>0</v>
      </c>
      <c r="AB117" s="50">
        <f t="shared" si="74"/>
        <v>0</v>
      </c>
      <c r="AC117" s="30" t="str">
        <f t="shared" si="76"/>
        <v>ok</v>
      </c>
    </row>
    <row r="118" spans="1:29" x14ac:dyDescent="0.2">
      <c r="A118" s="14" t="s">
        <v>434</v>
      </c>
      <c r="C118" s="14" t="s">
        <v>445</v>
      </c>
      <c r="D118" s="14" t="s">
        <v>46</v>
      </c>
      <c r="F118" s="234">
        <v>0</v>
      </c>
      <c r="G118" s="194"/>
      <c r="H118" s="50">
        <f t="shared" si="62"/>
        <v>0</v>
      </c>
      <c r="I118" s="50">
        <f t="shared" si="63"/>
        <v>0</v>
      </c>
      <c r="J118" s="50"/>
      <c r="K118" s="50">
        <f t="shared" si="64"/>
        <v>0</v>
      </c>
      <c r="L118" s="50"/>
      <c r="M118" s="50">
        <f t="shared" si="65"/>
        <v>0</v>
      </c>
      <c r="N118" s="50"/>
      <c r="O118" s="50">
        <f t="shared" si="66"/>
        <v>0</v>
      </c>
      <c r="P118" s="50">
        <f t="shared" si="67"/>
        <v>0</v>
      </c>
      <c r="Q118" s="50"/>
      <c r="R118" s="50">
        <f t="shared" si="68"/>
        <v>0</v>
      </c>
      <c r="S118" s="50">
        <f t="shared" si="69"/>
        <v>0</v>
      </c>
      <c r="T118" s="50"/>
      <c r="U118" s="50">
        <f t="shared" si="70"/>
        <v>0</v>
      </c>
      <c r="V118" s="50"/>
      <c r="W118" s="50">
        <f t="shared" si="71"/>
        <v>0</v>
      </c>
      <c r="X118" s="50"/>
      <c r="Y118" s="50">
        <f t="shared" si="72"/>
        <v>0</v>
      </c>
      <c r="Z118" s="50"/>
      <c r="AA118" s="50">
        <f t="shared" si="73"/>
        <v>0</v>
      </c>
      <c r="AB118" s="50">
        <f t="shared" si="74"/>
        <v>0</v>
      </c>
      <c r="AC118" s="30" t="str">
        <f t="shared" si="76"/>
        <v>ok</v>
      </c>
    </row>
    <row r="119" spans="1:29" x14ac:dyDescent="0.2">
      <c r="A119" s="14" t="s">
        <v>435</v>
      </c>
      <c r="C119" s="14" t="s">
        <v>446</v>
      </c>
      <c r="D119" s="14" t="s">
        <v>48</v>
      </c>
      <c r="F119" s="234">
        <v>0</v>
      </c>
      <c r="G119" s="194"/>
      <c r="H119" s="50">
        <f t="shared" si="62"/>
        <v>0</v>
      </c>
      <c r="I119" s="50">
        <f t="shared" si="63"/>
        <v>0</v>
      </c>
      <c r="J119" s="50"/>
      <c r="K119" s="50">
        <f t="shared" si="64"/>
        <v>0</v>
      </c>
      <c r="L119" s="50"/>
      <c r="M119" s="50">
        <f t="shared" si="65"/>
        <v>0</v>
      </c>
      <c r="N119" s="50"/>
      <c r="O119" s="50">
        <f t="shared" si="66"/>
        <v>0</v>
      </c>
      <c r="P119" s="50">
        <f t="shared" si="67"/>
        <v>0</v>
      </c>
      <c r="Q119" s="50"/>
      <c r="R119" s="50">
        <f t="shared" si="68"/>
        <v>0</v>
      </c>
      <c r="S119" s="50">
        <f t="shared" si="69"/>
        <v>0</v>
      </c>
      <c r="T119" s="50"/>
      <c r="U119" s="50">
        <f t="shared" si="70"/>
        <v>0</v>
      </c>
      <c r="V119" s="50"/>
      <c r="W119" s="50">
        <f t="shared" si="71"/>
        <v>0</v>
      </c>
      <c r="X119" s="50"/>
      <c r="Y119" s="50">
        <f t="shared" si="72"/>
        <v>0</v>
      </c>
      <c r="Z119" s="50"/>
      <c r="AA119" s="50">
        <f t="shared" si="73"/>
        <v>0</v>
      </c>
      <c r="AB119" s="50">
        <f t="shared" si="74"/>
        <v>0</v>
      </c>
      <c r="AC119" s="30" t="str">
        <f t="shared" si="76"/>
        <v>ok</v>
      </c>
    </row>
    <row r="120" spans="1:29" x14ac:dyDescent="0.2">
      <c r="A120" s="14" t="s">
        <v>835</v>
      </c>
      <c r="D120" s="14" t="s">
        <v>70</v>
      </c>
      <c r="F120" s="234">
        <v>0</v>
      </c>
      <c r="G120" s="194"/>
      <c r="H120" s="50">
        <f t="shared" si="62"/>
        <v>0</v>
      </c>
      <c r="I120" s="50">
        <f t="shared" si="63"/>
        <v>0</v>
      </c>
      <c r="J120" s="50"/>
      <c r="K120" s="50">
        <f t="shared" si="64"/>
        <v>0</v>
      </c>
      <c r="L120" s="50"/>
      <c r="M120" s="50">
        <f t="shared" si="65"/>
        <v>0</v>
      </c>
      <c r="N120" s="50"/>
      <c r="O120" s="50">
        <f t="shared" si="66"/>
        <v>0</v>
      </c>
      <c r="P120" s="50">
        <f t="shared" si="67"/>
        <v>0</v>
      </c>
      <c r="Q120" s="50"/>
      <c r="R120" s="50">
        <f t="shared" si="68"/>
        <v>0</v>
      </c>
      <c r="S120" s="50">
        <f t="shared" si="69"/>
        <v>0</v>
      </c>
      <c r="T120" s="50"/>
      <c r="U120" s="50">
        <f t="shared" si="70"/>
        <v>0</v>
      </c>
      <c r="V120" s="50"/>
      <c r="W120" s="50">
        <f t="shared" si="71"/>
        <v>0</v>
      </c>
      <c r="X120" s="50"/>
      <c r="Y120" s="50">
        <f t="shared" si="72"/>
        <v>0</v>
      </c>
      <c r="Z120" s="50"/>
      <c r="AA120" s="50">
        <f t="shared" si="73"/>
        <v>0</v>
      </c>
      <c r="AB120" s="50">
        <f t="shared" si="74"/>
        <v>0</v>
      </c>
      <c r="AC120" s="30" t="str">
        <f>IF(ABS(AB120-F120)&lt;1,"ok","err")</f>
        <v>ok</v>
      </c>
    </row>
    <row r="121" spans="1:29" x14ac:dyDescent="0.2">
      <c r="A121" s="171" t="s">
        <v>836</v>
      </c>
      <c r="D121" s="14" t="s">
        <v>70</v>
      </c>
      <c r="F121" s="234">
        <v>0</v>
      </c>
      <c r="G121" s="194"/>
      <c r="H121" s="50">
        <f t="shared" si="62"/>
        <v>0</v>
      </c>
      <c r="I121" s="50">
        <f t="shared" si="63"/>
        <v>0</v>
      </c>
      <c r="J121" s="50"/>
      <c r="K121" s="50">
        <f t="shared" si="64"/>
        <v>0</v>
      </c>
      <c r="L121" s="50"/>
      <c r="M121" s="50">
        <f t="shared" si="65"/>
        <v>0</v>
      </c>
      <c r="N121" s="50"/>
      <c r="O121" s="50">
        <f t="shared" si="66"/>
        <v>0</v>
      </c>
      <c r="P121" s="50">
        <f t="shared" si="67"/>
        <v>0</v>
      </c>
      <c r="Q121" s="50"/>
      <c r="R121" s="50">
        <f t="shared" si="68"/>
        <v>0</v>
      </c>
      <c r="S121" s="50">
        <f t="shared" si="69"/>
        <v>0</v>
      </c>
      <c r="T121" s="50"/>
      <c r="U121" s="50">
        <f t="shared" si="70"/>
        <v>0</v>
      </c>
      <c r="V121" s="50"/>
      <c r="W121" s="50">
        <f t="shared" si="71"/>
        <v>0</v>
      </c>
      <c r="X121" s="50"/>
      <c r="Y121" s="50">
        <f t="shared" si="72"/>
        <v>0</v>
      </c>
      <c r="Z121" s="50"/>
      <c r="AA121" s="50">
        <f t="shared" si="73"/>
        <v>0</v>
      </c>
      <c r="AB121" s="50">
        <f t="shared" si="74"/>
        <v>0</v>
      </c>
      <c r="AC121" s="30" t="str">
        <f>IF(ABS(AB121-F121)&lt;1,"ok","err")</f>
        <v>ok</v>
      </c>
    </row>
    <row r="122" spans="1:29" x14ac:dyDescent="0.2">
      <c r="A122" s="14" t="s">
        <v>837</v>
      </c>
      <c r="D122" s="14" t="s">
        <v>70</v>
      </c>
      <c r="F122" s="234">
        <v>15349879.529999999</v>
      </c>
      <c r="G122" s="194"/>
      <c r="H122" s="50">
        <f t="shared" si="62"/>
        <v>0</v>
      </c>
      <c r="I122" s="50">
        <f t="shared" si="63"/>
        <v>0</v>
      </c>
      <c r="J122" s="50"/>
      <c r="K122" s="50">
        <f t="shared" si="64"/>
        <v>0</v>
      </c>
      <c r="L122" s="50"/>
      <c r="M122" s="50">
        <f t="shared" si="65"/>
        <v>56575.748708593477</v>
      </c>
      <c r="N122" s="50"/>
      <c r="O122" s="50">
        <f t="shared" si="66"/>
        <v>7475557.9134113267</v>
      </c>
      <c r="P122" s="50">
        <f t="shared" si="67"/>
        <v>4207539.6728193387</v>
      </c>
      <c r="Q122" s="50"/>
      <c r="R122" s="50">
        <f t="shared" si="68"/>
        <v>0</v>
      </c>
      <c r="S122" s="50">
        <f t="shared" si="69"/>
        <v>1933686.5499295446</v>
      </c>
      <c r="T122" s="50"/>
      <c r="U122" s="50">
        <f t="shared" si="70"/>
        <v>841346.48689290532</v>
      </c>
      <c r="V122" s="50"/>
      <c r="W122" s="50">
        <f t="shared" si="71"/>
        <v>835173.15823829069</v>
      </c>
      <c r="X122" s="50"/>
      <c r="Y122" s="50">
        <f t="shared" si="72"/>
        <v>0</v>
      </c>
      <c r="Z122" s="50"/>
      <c r="AA122" s="50">
        <f t="shared" si="73"/>
        <v>0</v>
      </c>
      <c r="AB122" s="50">
        <f t="shared" si="74"/>
        <v>15349879.529999999</v>
      </c>
      <c r="AC122" s="30" t="str">
        <f>IF(ABS(AB122-F122)&lt;1,"ok","err")</f>
        <v>ok</v>
      </c>
    </row>
    <row r="123" spans="1:29" x14ac:dyDescent="0.2">
      <c r="Q123" s="14"/>
      <c r="AB123" s="50"/>
      <c r="AC123" s="30"/>
    </row>
    <row r="124" spans="1:29" x14ac:dyDescent="0.2">
      <c r="A124" s="14" t="s">
        <v>834</v>
      </c>
      <c r="C124" s="14" t="s">
        <v>82</v>
      </c>
      <c r="F124" s="226">
        <f>SUM(F104:F122)</f>
        <v>104221037.50999999</v>
      </c>
      <c r="G124" s="93"/>
      <c r="H124" s="93">
        <f>SUM(H104:H122)</f>
        <v>0</v>
      </c>
      <c r="I124" s="93">
        <f>SUM(I104:I122)</f>
        <v>0</v>
      </c>
      <c r="J124" s="93"/>
      <c r="K124" s="93">
        <f>SUM(K104:K122)</f>
        <v>0</v>
      </c>
      <c r="L124" s="93"/>
      <c r="M124" s="93">
        <f>SUM(M104:M122)</f>
        <v>384132.21529137669</v>
      </c>
      <c r="N124" s="93"/>
      <c r="O124" s="93">
        <f>SUM(O104:O122)</f>
        <v>50756776.310792275</v>
      </c>
      <c r="P124" s="93">
        <f>SUM(P104:P122)</f>
        <v>28567921.279686905</v>
      </c>
      <c r="Q124" s="93"/>
      <c r="R124" s="93">
        <f>SUM(R104:R122)</f>
        <v>0</v>
      </c>
      <c r="S124" s="93">
        <f>SUM(S104:S122)</f>
        <v>13129146.58769244</v>
      </c>
      <c r="T124" s="93"/>
      <c r="U124" s="93">
        <f>SUM(U104:U122)</f>
        <v>5712488.0751016708</v>
      </c>
      <c r="V124" s="93"/>
      <c r="W124" s="93">
        <f>SUM(W104:W122)</f>
        <v>5670573.0414353339</v>
      </c>
      <c r="X124" s="93"/>
      <c r="Y124" s="93">
        <f>SUM(Y104:Y122)</f>
        <v>0</v>
      </c>
      <c r="Z124" s="93"/>
      <c r="AA124" s="93">
        <f>SUM(AA104:AA122)</f>
        <v>0</v>
      </c>
      <c r="AB124" s="50">
        <f>SUM(H124:AA124)</f>
        <v>104221037.50999999</v>
      </c>
      <c r="AC124" s="30" t="str">
        <f>IF(ABS(AB124-F124)&lt;1,"ok","err")</f>
        <v>ok</v>
      </c>
    </row>
    <row r="125" spans="1:29" x14ac:dyDescent="0.2">
      <c r="D125" s="93"/>
      <c r="F125" s="226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50"/>
      <c r="AC125" s="30"/>
    </row>
    <row r="126" spans="1:29" x14ac:dyDescent="0.2">
      <c r="A126" s="28" t="s">
        <v>83</v>
      </c>
      <c r="C126" s="14" t="s">
        <v>84</v>
      </c>
      <c r="F126" s="226">
        <f>F101-F124</f>
        <v>218700407.81</v>
      </c>
      <c r="G126" s="93"/>
      <c r="H126" s="93">
        <f>H101-H124</f>
        <v>0</v>
      </c>
      <c r="I126" s="93">
        <f>I101-I124</f>
        <v>0</v>
      </c>
      <c r="J126" s="93"/>
      <c r="K126" s="93">
        <f>K101-K124</f>
        <v>0</v>
      </c>
      <c r="L126" s="93"/>
      <c r="M126" s="93">
        <f>M101-M124</f>
        <v>806074.03403676604</v>
      </c>
      <c r="N126" s="93"/>
      <c r="O126" s="93">
        <f>O101-O124</f>
        <v>106509472.0173566</v>
      </c>
      <c r="P126" s="93">
        <f>P101-P124</f>
        <v>59947743.597851135</v>
      </c>
      <c r="Q126" s="93"/>
      <c r="R126" s="93">
        <f>R101-R124</f>
        <v>0</v>
      </c>
      <c r="S126" s="93">
        <f>S101-S124</f>
        <v>27550576.942300171</v>
      </c>
      <c r="T126" s="93"/>
      <c r="U126" s="93">
        <f>U101-U124</f>
        <v>11987248.462333001</v>
      </c>
      <c r="V126" s="93"/>
      <c r="W126" s="93">
        <f>W101-W124</f>
        <v>11899292.756122358</v>
      </c>
      <c r="X126" s="93"/>
      <c r="Y126" s="93">
        <f>Y101-Y124</f>
        <v>0</v>
      </c>
      <c r="Z126" s="93"/>
      <c r="AA126" s="93">
        <f>AA101-AA124</f>
        <v>0</v>
      </c>
      <c r="AB126" s="50">
        <f>SUM(H126:AA126)</f>
        <v>218700407.81000003</v>
      </c>
      <c r="AC126" s="30" t="str">
        <f>IF(ABS(AB126-F126)&lt;1,"ok","err")</f>
        <v>ok</v>
      </c>
    </row>
    <row r="127" spans="1:29" x14ac:dyDescent="0.2">
      <c r="Q127" s="14"/>
      <c r="AC127" s="30"/>
    </row>
    <row r="128" spans="1:29" x14ac:dyDescent="0.2">
      <c r="A128" s="28" t="s">
        <v>85</v>
      </c>
      <c r="Q128" s="14"/>
      <c r="AC128" s="30"/>
    </row>
    <row r="129" spans="1:29" x14ac:dyDescent="0.2">
      <c r="A129" s="14" t="s">
        <v>413</v>
      </c>
      <c r="C129" s="14" t="s">
        <v>87</v>
      </c>
      <c r="D129" s="14" t="s">
        <v>88</v>
      </c>
      <c r="F129" s="233">
        <f>0.125*(F285-F180)</f>
        <v>4010278.043250002</v>
      </c>
      <c r="G129" s="66"/>
      <c r="H129" s="66">
        <f>0.125*(H285-H180)</f>
        <v>0</v>
      </c>
      <c r="I129" s="66">
        <f>0.125*(I285-I180)</f>
        <v>0</v>
      </c>
      <c r="J129" s="66"/>
      <c r="K129" s="66">
        <f>0.125*(K285-K180)</f>
        <v>0</v>
      </c>
      <c r="L129" s="66"/>
      <c r="M129" s="66">
        <f>0.125*(M285-M180)</f>
        <v>28146.556986421383</v>
      </c>
      <c r="N129" s="66"/>
      <c r="O129" s="66">
        <f>0.125*(O285-O180)</f>
        <v>2007602.523350589</v>
      </c>
      <c r="P129" s="66">
        <f>0.125*(P285-P180)</f>
        <v>858356.83197754447</v>
      </c>
      <c r="Q129" s="66"/>
      <c r="R129" s="66">
        <f>0.125*(R285-R180)</f>
        <v>0</v>
      </c>
      <c r="S129" s="66">
        <f>0.125*(S285-S180)</f>
        <v>86901.065919704852</v>
      </c>
      <c r="T129" s="66"/>
      <c r="U129" s="66">
        <f>0.125*(U285-U180)</f>
        <v>242785.0524311887</v>
      </c>
      <c r="V129" s="66"/>
      <c r="W129" s="66">
        <f>0.125*(W285-W180)</f>
        <v>35445.73384987664</v>
      </c>
      <c r="X129" s="66"/>
      <c r="Y129" s="66">
        <f>0.125*(Y285-Y180)</f>
        <v>699702.36935345735</v>
      </c>
      <c r="Z129" s="66"/>
      <c r="AA129" s="66">
        <f>0.125*(AA285-AA180)</f>
        <v>51337.909381216989</v>
      </c>
      <c r="AB129" s="50">
        <f>SUM(H129:AA129)</f>
        <v>4010278.0432499987</v>
      </c>
      <c r="AC129" s="30" t="str">
        <f>IF(ABS(AB129-F129)&lt;1,"ok","err")</f>
        <v>ok</v>
      </c>
    </row>
    <row r="130" spans="1:29" x14ac:dyDescent="0.2">
      <c r="A130" s="14" t="s">
        <v>968</v>
      </c>
      <c r="C130" s="14" t="s">
        <v>396</v>
      </c>
      <c r="D130" s="14" t="s">
        <v>72</v>
      </c>
      <c r="F130" s="234">
        <v>2663714.8523076922</v>
      </c>
      <c r="G130" s="194"/>
      <c r="H130" s="50">
        <f>IF(VLOOKUP($D130,$C$5:$AA$493,6,)=0,0,((VLOOKUP($D130,$C$5:$AA$493,6,)/VLOOKUP($D130,$C$5:$AA$493,4,))*$F130))</f>
        <v>0</v>
      </c>
      <c r="I130" s="50">
        <f>IF(VLOOKUP($D130,$C$5:$AA$493,7,)=0,0,((VLOOKUP($D130,$C$5:$AA$493,7,)/VLOOKUP($D130,$C$5:$AA$493,4,))*$F130))</f>
        <v>0</v>
      </c>
      <c r="J130" s="50"/>
      <c r="K130" s="50">
        <f>IF(VLOOKUP($D130,$C$5:$AA$493,9,)=0,0,((VLOOKUP($D130,$C$5:$AA$493,9,)/VLOOKUP($D130,$C$5:$AA$493,4,))*$F130))</f>
        <v>0</v>
      </c>
      <c r="L130" s="50"/>
      <c r="M130" s="50">
        <f>IF(VLOOKUP($D130,$C$5:$AA$493,11,)=0,0,((VLOOKUP($D130,$C$5:$AA$493,11,)/VLOOKUP($D130,$C$5:$AA$493,4,))*$F130))</f>
        <v>9817.774909632024</v>
      </c>
      <c r="N130" s="50"/>
      <c r="O130" s="50">
        <f>IF(VLOOKUP($D130,$C$5:$AA$493,13,)=0,0,((VLOOKUP($D130,$C$5:$AA$493,13,)/VLOOKUP($D130,$C$5:$AA$493,4,))*$F130))</f>
        <v>1297258.0406460071</v>
      </c>
      <c r="P130" s="50">
        <f>IF(VLOOKUP($D130,$C$5:$AA$493,14,)=0,0,((VLOOKUP($D130,$C$5:$AA$493,14,)/VLOOKUP($D130,$C$5:$AA$493,4,))*$F130))</f>
        <v>730148.13544681435</v>
      </c>
      <c r="Q130" s="50"/>
      <c r="R130" s="50">
        <f>IF(VLOOKUP($D130,$C$5:$AA$493,16,)=0,0,((VLOOKUP($D130,$C$5:$AA$493,16,)/VLOOKUP($D130,$C$5:$AA$493,4,))*$F130))</f>
        <v>0</v>
      </c>
      <c r="S130" s="50">
        <f>IF(VLOOKUP($D130,$C$5:$AA$493,17,)=0,0,((VLOOKUP($D130,$C$5:$AA$493,17,)/VLOOKUP($D130,$C$5:$AA$493,4,))*$F130))</f>
        <v>335558.95814610005</v>
      </c>
      <c r="T130" s="50"/>
      <c r="U130" s="50">
        <f>IF(VLOOKUP($D130,$C$5:$AA$493,19,)=0,0,((VLOOKUP($D130,$C$5:$AA$493,19,)/VLOOKUP($D130,$C$5:$AA$493,4,))*$F130))</f>
        <v>146001.61054642047</v>
      </c>
      <c r="V130" s="50"/>
      <c r="W130" s="50">
        <f>IF(VLOOKUP($D130,$C$5:$AA$493,21,)=0,0,((VLOOKUP($D130,$C$5:$AA$493,21,)/VLOOKUP($D130,$C$5:$AA$493,4,))*$F130))</f>
        <v>144930.33261271843</v>
      </c>
      <c r="X130" s="50"/>
      <c r="Y130" s="50">
        <f>IF(VLOOKUP($D130,$C$5:$AA$493,23,)=0,0,((VLOOKUP($D130,$C$5:$AA$493,23,)/VLOOKUP($D130,$C$5:$AA$493,4,))*$F130))</f>
        <v>0</v>
      </c>
      <c r="Z130" s="50"/>
      <c r="AA130" s="50">
        <f>IF(VLOOKUP($D130,$C$5:$AA$493,25,)=0,0,((VLOOKUP($D130,$C$5:$AA$493,25,)/VLOOKUP($D130,$C$5:$AA$493,4,))*$F130))</f>
        <v>0</v>
      </c>
      <c r="AB130" s="50">
        <f>SUM(H130:AA130)</f>
        <v>2663714.8523076922</v>
      </c>
      <c r="AC130" s="30" t="str">
        <f>IF(ABS(AB130-F130)&lt;1,"ok","err")</f>
        <v>ok</v>
      </c>
    </row>
    <row r="131" spans="1:29" x14ac:dyDescent="0.2">
      <c r="A131" s="14" t="s">
        <v>969</v>
      </c>
      <c r="C131" s="14" t="s">
        <v>89</v>
      </c>
      <c r="D131" s="14" t="s">
        <v>72</v>
      </c>
      <c r="F131" s="234">
        <v>433773.90846153849</v>
      </c>
      <c r="G131" s="194"/>
      <c r="H131" s="50">
        <f>IF(VLOOKUP($D131,$C$5:$AA$493,6,)=0,0,((VLOOKUP($D131,$C$5:$AA$493,6,)/VLOOKUP($D131,$C$5:$AA$493,4,))*$F131))</f>
        <v>0</v>
      </c>
      <c r="I131" s="50">
        <f>IF(VLOOKUP($D131,$C$5:$AA$493,7,)=0,0,((VLOOKUP($D131,$C$5:$AA$493,7,)/VLOOKUP($D131,$C$5:$AA$493,4,))*$F131))</f>
        <v>0</v>
      </c>
      <c r="J131" s="50"/>
      <c r="K131" s="50">
        <f>IF(VLOOKUP($D131,$C$5:$AA$493,9,)=0,0,((VLOOKUP($D131,$C$5:$AA$493,9,)/VLOOKUP($D131,$C$5:$AA$493,4,))*$F131))</f>
        <v>0</v>
      </c>
      <c r="L131" s="50"/>
      <c r="M131" s="50">
        <f>IF(VLOOKUP($D131,$C$5:$AA$493,11,)=0,0,((VLOOKUP($D131,$C$5:$AA$493,11,)/VLOOKUP($D131,$C$5:$AA$493,4,))*$F131))</f>
        <v>1598.7802114994472</v>
      </c>
      <c r="N131" s="50"/>
      <c r="O131" s="50">
        <f>IF(VLOOKUP($D131,$C$5:$AA$493,13,)=0,0,((VLOOKUP($D131,$C$5:$AA$493,13,)/VLOOKUP($D131,$C$5:$AA$493,4,))*$F131))</f>
        <v>211252.60088806797</v>
      </c>
      <c r="P131" s="50">
        <f>IF(VLOOKUP($D131,$C$5:$AA$493,14,)=0,0,((VLOOKUP($D131,$C$5:$AA$493,14,)/VLOOKUP($D131,$C$5:$AA$493,4,))*$F131))</f>
        <v>118901.3194089757</v>
      </c>
      <c r="Q131" s="50"/>
      <c r="R131" s="50">
        <f>IF(VLOOKUP($D131,$C$5:$AA$493,16,)=0,0,((VLOOKUP($D131,$C$5:$AA$493,16,)/VLOOKUP($D131,$C$5:$AA$493,4,))*$F131))</f>
        <v>0</v>
      </c>
      <c r="S131" s="50">
        <f>IF(VLOOKUP($D131,$C$5:$AA$493,17,)=0,0,((VLOOKUP($D131,$C$5:$AA$493,17,)/VLOOKUP($D131,$C$5:$AA$493,4,))*$F131))</f>
        <v>54644.257687046906</v>
      </c>
      <c r="T131" s="50"/>
      <c r="U131" s="50">
        <f>IF(VLOOKUP($D131,$C$5:$AA$493,19,)=0,0,((VLOOKUP($D131,$C$5:$AA$493,19,)/VLOOKUP($D131,$C$5:$AA$493,4,))*$F131))</f>
        <v>23775.701514572098</v>
      </c>
      <c r="V131" s="50"/>
      <c r="W131" s="50">
        <f>IF(VLOOKUP($D131,$C$5:$AA$493,21,)=0,0,((VLOOKUP($D131,$C$5:$AA$493,21,)/VLOOKUP($D131,$C$5:$AA$493,4,))*$F131))</f>
        <v>23601.248751376384</v>
      </c>
      <c r="X131" s="50"/>
      <c r="Y131" s="50">
        <f>IF(VLOOKUP($D131,$C$5:$AA$493,23,)=0,0,((VLOOKUP($D131,$C$5:$AA$493,23,)/VLOOKUP($D131,$C$5:$AA$493,4,))*$F131))</f>
        <v>0</v>
      </c>
      <c r="Z131" s="50"/>
      <c r="AA131" s="50">
        <f>IF(VLOOKUP($D131,$C$5:$AA$493,25,)=0,0,((VLOOKUP($D131,$C$5:$AA$493,25,)/VLOOKUP($D131,$C$5:$AA$493,4,))*$F131))</f>
        <v>0</v>
      </c>
      <c r="AB131" s="50">
        <f>SUM(H131:AA131)</f>
        <v>433773.90846153849</v>
      </c>
      <c r="AC131" s="30" t="str">
        <f>IF(ABS(AB131-F131)&lt;1,"ok","err")</f>
        <v>ok</v>
      </c>
    </row>
    <row r="132" spans="1:29" x14ac:dyDescent="0.2">
      <c r="Q132" s="14"/>
      <c r="AB132" s="50"/>
      <c r="AC132" s="30"/>
    </row>
    <row r="133" spans="1:29" x14ac:dyDescent="0.2">
      <c r="A133" s="96" t="s">
        <v>90</v>
      </c>
      <c r="C133" s="14" t="s">
        <v>91</v>
      </c>
      <c r="F133" s="226">
        <f>SUM(F129:F132)</f>
        <v>7107766.8040192323</v>
      </c>
      <c r="G133" s="93"/>
      <c r="H133" s="93">
        <f t="shared" ref="H133:W133" si="77">SUM(H129:H132)</f>
        <v>0</v>
      </c>
      <c r="I133" s="93">
        <f t="shared" si="77"/>
        <v>0</v>
      </c>
      <c r="J133" s="93"/>
      <c r="K133" s="93">
        <f t="shared" si="77"/>
        <v>0</v>
      </c>
      <c r="L133" s="93"/>
      <c r="M133" s="93">
        <f t="shared" si="77"/>
        <v>39563.112107552857</v>
      </c>
      <c r="N133" s="93"/>
      <c r="O133" s="93">
        <f t="shared" si="77"/>
        <v>3516113.1648846641</v>
      </c>
      <c r="P133" s="93">
        <f t="shared" si="77"/>
        <v>1707406.2868333345</v>
      </c>
      <c r="Q133" s="93"/>
      <c r="R133" s="93">
        <f t="shared" si="77"/>
        <v>0</v>
      </c>
      <c r="S133" s="93">
        <f t="shared" si="77"/>
        <v>477104.28175285179</v>
      </c>
      <c r="T133" s="93"/>
      <c r="U133" s="93">
        <f t="shared" si="77"/>
        <v>412562.36449218128</v>
      </c>
      <c r="V133" s="93"/>
      <c r="W133" s="93">
        <f t="shared" si="77"/>
        <v>203977.31521397145</v>
      </c>
      <c r="X133" s="93"/>
      <c r="Y133" s="93">
        <f>SUM(Y129:Y132)</f>
        <v>699702.36935345735</v>
      </c>
      <c r="Z133" s="93"/>
      <c r="AA133" s="93">
        <f>SUM(AA129:AA132)</f>
        <v>51337.909381216989</v>
      </c>
      <c r="AB133" s="50">
        <f>SUM(H133:AA133)</f>
        <v>7107766.8040192313</v>
      </c>
      <c r="AC133" s="30" t="str">
        <f>IF(ABS(AB133-F133)&lt;1,"ok","err")</f>
        <v>ok</v>
      </c>
    </row>
    <row r="134" spans="1:29" x14ac:dyDescent="0.2">
      <c r="Q134" s="14"/>
      <c r="AC134" s="30"/>
    </row>
    <row r="135" spans="1:29" hidden="1" x14ac:dyDescent="0.2">
      <c r="A135" s="28" t="s">
        <v>932</v>
      </c>
      <c r="Q135" s="14"/>
      <c r="AC135" s="30"/>
    </row>
    <row r="136" spans="1:29" hidden="1" x14ac:dyDescent="0.2">
      <c r="A136" s="33">
        <v>1</v>
      </c>
      <c r="C136" s="14" t="s">
        <v>933</v>
      </c>
      <c r="D136" s="14" t="s">
        <v>16</v>
      </c>
      <c r="F136" s="233">
        <v>0</v>
      </c>
      <c r="G136" s="66"/>
      <c r="H136" s="50">
        <f>IF(VLOOKUP($D136,$C$5:$AA$493,6,)=0,0,((VLOOKUP($D136,$C$5:$AA$493,6,)/VLOOKUP($D136,$C$5:$AA$493,4,))*$F136))</f>
        <v>0</v>
      </c>
      <c r="I136" s="50">
        <f>IF(VLOOKUP($D136,$C$5:$AA$493,7,)=0,0,((VLOOKUP($D136,$C$5:$AA$493,7,)/VLOOKUP($D136,$C$5:$AA$493,4,))*$F136))</f>
        <v>0</v>
      </c>
      <c r="J136" s="50"/>
      <c r="K136" s="50">
        <f>IF(VLOOKUP($D136,$C$5:$AA$493,9,)=0,0,((VLOOKUP($D136,$C$5:$AA$493,9,)/VLOOKUP($D136,$C$5:$AA$493,4,))*$F136))</f>
        <v>0</v>
      </c>
      <c r="L136" s="50"/>
      <c r="M136" s="50">
        <f>IF(VLOOKUP($D136,$C$5:$AA$493,11,)=0,0,((VLOOKUP($D136,$C$5:$AA$493,11,)/VLOOKUP($D136,$C$5:$AA$493,4,))*$F136))</f>
        <v>0</v>
      </c>
      <c r="N136" s="50"/>
      <c r="O136" s="50">
        <f>IF(VLOOKUP($D136,$C$5:$AA$493,13,)=0,0,((VLOOKUP($D136,$C$5:$AA$493,13,)/VLOOKUP($D136,$C$5:$AA$493,4,))*$F136))</f>
        <v>0</v>
      </c>
      <c r="P136" s="50">
        <f>IF(VLOOKUP($D136,$C$5:$AA$493,14,)=0,0,((VLOOKUP($D136,$C$5:$AA$493,14,)/VLOOKUP($D136,$C$5:$AA$493,4,))*$F136))</f>
        <v>0</v>
      </c>
      <c r="Q136" s="50"/>
      <c r="R136" s="50">
        <f>IF(VLOOKUP($D136,$C$5:$AA$493,16,)=0,0,((VLOOKUP($D136,$C$5:$AA$493,16,)/VLOOKUP($D136,$C$5:$AA$493,4,))*$F136))</f>
        <v>0</v>
      </c>
      <c r="S136" s="50">
        <f>IF(VLOOKUP($D136,$C$5:$AA$493,17,)=0,0,((VLOOKUP($D136,$C$5:$AA$493,17,)/VLOOKUP($D136,$C$5:$AA$493,4,))*$F136))</f>
        <v>0</v>
      </c>
      <c r="T136" s="50"/>
      <c r="U136" s="50">
        <f>IF(VLOOKUP($D136,$C$5:$AA$493,19,)=0,0,((VLOOKUP($D136,$C$5:$AA$493,19,)/VLOOKUP($D136,$C$5:$AA$493,4,))*$F136))</f>
        <v>0</v>
      </c>
      <c r="V136" s="50"/>
      <c r="W136" s="50">
        <f>IF(VLOOKUP($D136,$C$5:$AA$493,21,)=0,0,((VLOOKUP($D136,$C$5:$AA$493,21,)/VLOOKUP($D136,$C$5:$AA$493,4,))*$F136))</f>
        <v>0</v>
      </c>
      <c r="X136" s="50"/>
      <c r="Y136" s="50">
        <f>IF(VLOOKUP($D136,$C$5:$AA$493,23,)=0,0,((VLOOKUP($D136,$C$5:$AA$493,23,)/VLOOKUP($D136,$C$5:$AA$493,4,))*$F136))</f>
        <v>0</v>
      </c>
      <c r="Z136" s="50"/>
      <c r="AA136" s="50">
        <f>IF(VLOOKUP($D136,$C$5:$AA$493,25,)=0,0,((VLOOKUP($D136,$C$5:$AA$493,25,)/VLOOKUP($D136,$C$5:$AA$493,4,))*$F136))</f>
        <v>0</v>
      </c>
      <c r="AB136" s="50">
        <f>SUM(H136:AA136)</f>
        <v>0</v>
      </c>
      <c r="AC136" s="30" t="str">
        <f>IF(ABS(AB136-F136)&lt;1,"ok","err")</f>
        <v>ok</v>
      </c>
    </row>
    <row r="137" spans="1:29" hidden="1" x14ac:dyDescent="0.2">
      <c r="A137" s="33">
        <v>2</v>
      </c>
      <c r="C137" s="14" t="s">
        <v>934</v>
      </c>
      <c r="D137" s="14" t="s">
        <v>16</v>
      </c>
      <c r="F137" s="233">
        <v>0</v>
      </c>
      <c r="G137" s="66"/>
      <c r="H137" s="50">
        <f>IF(VLOOKUP($D137,$C$5:$AA$493,6,)=0,0,((VLOOKUP($D137,$C$5:$AA$493,6,)/VLOOKUP($D137,$C$5:$AA$493,4,))*$F137))</f>
        <v>0</v>
      </c>
      <c r="I137" s="50">
        <f>IF(VLOOKUP($D137,$C$5:$AA$493,7,)=0,0,((VLOOKUP($D137,$C$5:$AA$493,7,)/VLOOKUP($D137,$C$5:$AA$493,4,))*$F137))</f>
        <v>0</v>
      </c>
      <c r="J137" s="50"/>
      <c r="K137" s="50">
        <f>IF(VLOOKUP($D137,$C$5:$AA$493,9,)=0,0,((VLOOKUP($D137,$C$5:$AA$493,9,)/VLOOKUP($D137,$C$5:$AA$493,4,))*$F137))</f>
        <v>0</v>
      </c>
      <c r="L137" s="50"/>
      <c r="M137" s="50">
        <f>IF(VLOOKUP($D137,$C$5:$AA$493,11,)=0,0,((VLOOKUP($D137,$C$5:$AA$493,11,)/VLOOKUP($D137,$C$5:$AA$493,4,))*$F137))</f>
        <v>0</v>
      </c>
      <c r="N137" s="50"/>
      <c r="O137" s="50">
        <f>IF(VLOOKUP($D137,$C$5:$AA$493,13,)=0,0,((VLOOKUP($D137,$C$5:$AA$493,13,)/VLOOKUP($D137,$C$5:$AA$493,4,))*$F137))</f>
        <v>0</v>
      </c>
      <c r="P137" s="50">
        <f>IF(VLOOKUP($D137,$C$5:$AA$493,14,)=0,0,((VLOOKUP($D137,$C$5:$AA$493,14,)/VLOOKUP($D137,$C$5:$AA$493,4,))*$F137))</f>
        <v>0</v>
      </c>
      <c r="Q137" s="50"/>
      <c r="R137" s="50">
        <f>IF(VLOOKUP($D137,$C$5:$AA$493,16,)=0,0,((VLOOKUP($D137,$C$5:$AA$493,16,)/VLOOKUP($D137,$C$5:$AA$493,4,))*$F137))</f>
        <v>0</v>
      </c>
      <c r="S137" s="50">
        <f>IF(VLOOKUP($D137,$C$5:$AA$493,17,)=0,0,((VLOOKUP($D137,$C$5:$AA$493,17,)/VLOOKUP($D137,$C$5:$AA$493,4,))*$F137))</f>
        <v>0</v>
      </c>
      <c r="T137" s="50"/>
      <c r="U137" s="50">
        <f>IF(VLOOKUP($D137,$C$5:$AA$493,19,)=0,0,((VLOOKUP($D137,$C$5:$AA$493,19,)/VLOOKUP($D137,$C$5:$AA$493,4,))*$F137))</f>
        <v>0</v>
      </c>
      <c r="V137" s="50"/>
      <c r="W137" s="50">
        <f>IF(VLOOKUP($D137,$C$5:$AA$493,21,)=0,0,((VLOOKUP($D137,$C$5:$AA$493,21,)/VLOOKUP($D137,$C$5:$AA$493,4,))*$F137))</f>
        <v>0</v>
      </c>
      <c r="X137" s="50"/>
      <c r="Y137" s="50">
        <f>IF(VLOOKUP($D137,$C$5:$AA$493,23,)=0,0,((VLOOKUP($D137,$C$5:$AA$493,23,)/VLOOKUP($D137,$C$5:$AA$493,4,))*$F137))</f>
        <v>0</v>
      </c>
      <c r="Z137" s="50"/>
      <c r="AA137" s="50">
        <f>IF(VLOOKUP($D137,$C$5:$AA$493,25,)=0,0,((VLOOKUP($D137,$C$5:$AA$493,25,)/VLOOKUP($D137,$C$5:$AA$493,4,))*$F137))</f>
        <v>0</v>
      </c>
      <c r="AB137" s="50">
        <f>SUM(H137:AA137)</f>
        <v>0</v>
      </c>
      <c r="AC137" s="30" t="str">
        <f>IF(ABS(AB137-F137)&lt;1,"ok","err")</f>
        <v>ok</v>
      </c>
    </row>
    <row r="138" spans="1:29" hidden="1" x14ac:dyDescent="0.2">
      <c r="A138" s="33">
        <v>3</v>
      </c>
      <c r="C138" s="14" t="s">
        <v>935</v>
      </c>
      <c r="D138" s="14" t="s">
        <v>16</v>
      </c>
      <c r="F138" s="233">
        <v>0</v>
      </c>
      <c r="G138" s="66"/>
      <c r="H138" s="50">
        <f>IF(VLOOKUP($D138,$C$5:$AA$493,6,)=0,0,((VLOOKUP($D138,$C$5:$AA$493,6,)/VLOOKUP($D138,$C$5:$AA$493,4,))*$F138))</f>
        <v>0</v>
      </c>
      <c r="I138" s="50">
        <f>IF(VLOOKUP($D138,$C$5:$AA$493,7,)=0,0,((VLOOKUP($D138,$C$5:$AA$493,7,)/VLOOKUP($D138,$C$5:$AA$493,4,))*$F138))</f>
        <v>0</v>
      </c>
      <c r="J138" s="50"/>
      <c r="K138" s="50">
        <f>IF(VLOOKUP($D138,$C$5:$AA$493,9,)=0,0,((VLOOKUP($D138,$C$5:$AA$493,9,)/VLOOKUP($D138,$C$5:$AA$493,4,))*$F138))</f>
        <v>0</v>
      </c>
      <c r="L138" s="50"/>
      <c r="M138" s="50">
        <f>IF(VLOOKUP($D138,$C$5:$AA$493,11,)=0,0,((VLOOKUP($D138,$C$5:$AA$493,11,)/VLOOKUP($D138,$C$5:$AA$493,4,))*$F138))</f>
        <v>0</v>
      </c>
      <c r="N138" s="50"/>
      <c r="O138" s="50">
        <f>IF(VLOOKUP($D138,$C$5:$AA$493,13,)=0,0,((VLOOKUP($D138,$C$5:$AA$493,13,)/VLOOKUP($D138,$C$5:$AA$493,4,))*$F138))</f>
        <v>0</v>
      </c>
      <c r="P138" s="50">
        <f>IF(VLOOKUP($D138,$C$5:$AA$493,14,)=0,0,((VLOOKUP($D138,$C$5:$AA$493,14,)/VLOOKUP($D138,$C$5:$AA$493,4,))*$F138))</f>
        <v>0</v>
      </c>
      <c r="Q138" s="50"/>
      <c r="R138" s="50">
        <f>IF(VLOOKUP($D138,$C$5:$AA$493,16,)=0,0,((VLOOKUP($D138,$C$5:$AA$493,16,)/VLOOKUP($D138,$C$5:$AA$493,4,))*$F138))</f>
        <v>0</v>
      </c>
      <c r="S138" s="50">
        <f>IF(VLOOKUP($D138,$C$5:$AA$493,17,)=0,0,((VLOOKUP($D138,$C$5:$AA$493,17,)/VLOOKUP($D138,$C$5:$AA$493,4,))*$F138))</f>
        <v>0</v>
      </c>
      <c r="T138" s="50"/>
      <c r="U138" s="50">
        <f>IF(VLOOKUP($D138,$C$5:$AA$493,19,)=0,0,((VLOOKUP($D138,$C$5:$AA$493,19,)/VLOOKUP($D138,$C$5:$AA$493,4,))*$F138))</f>
        <v>0</v>
      </c>
      <c r="V138" s="50"/>
      <c r="W138" s="50">
        <f>IF(VLOOKUP($D138,$C$5:$AA$493,21,)=0,0,((VLOOKUP($D138,$C$5:$AA$493,21,)/VLOOKUP($D138,$C$5:$AA$493,4,))*$F138))</f>
        <v>0</v>
      </c>
      <c r="X138" s="50"/>
      <c r="Y138" s="50">
        <f>IF(VLOOKUP($D138,$C$5:$AA$493,23,)=0,0,((VLOOKUP($D138,$C$5:$AA$493,23,)/VLOOKUP($D138,$C$5:$AA$493,4,))*$F138))</f>
        <v>0</v>
      </c>
      <c r="Z138" s="50"/>
      <c r="AA138" s="50">
        <f>IF(VLOOKUP($D138,$C$5:$AA$493,25,)=0,0,((VLOOKUP($D138,$C$5:$AA$493,25,)/VLOOKUP($D138,$C$5:$AA$493,4,))*$F138))</f>
        <v>0</v>
      </c>
      <c r="AB138" s="50">
        <f>SUM(H138:AA138)</f>
        <v>0</v>
      </c>
      <c r="AC138" s="30" t="str">
        <f>IF(ABS(AB138-F138)&lt;1,"ok","err")</f>
        <v>ok</v>
      </c>
    </row>
    <row r="139" spans="1:29" hidden="1" x14ac:dyDescent="0.2">
      <c r="A139" s="33">
        <v>4</v>
      </c>
      <c r="C139" s="14" t="s">
        <v>936</v>
      </c>
      <c r="D139" s="14" t="s">
        <v>16</v>
      </c>
      <c r="F139" s="233">
        <v>0</v>
      </c>
      <c r="G139" s="66"/>
      <c r="H139" s="50">
        <f>IF(VLOOKUP($D139,$C$5:$AA$493,6,)=0,0,((VLOOKUP($D139,$C$5:$AA$493,6,)/VLOOKUP($D139,$C$5:$AA$493,4,))*$F139))</f>
        <v>0</v>
      </c>
      <c r="I139" s="50">
        <f>IF(VLOOKUP($D139,$C$5:$AA$493,7,)=0,0,((VLOOKUP($D139,$C$5:$AA$493,7,)/VLOOKUP($D139,$C$5:$AA$493,4,))*$F139))</f>
        <v>0</v>
      </c>
      <c r="J139" s="50"/>
      <c r="K139" s="50">
        <f>IF(VLOOKUP($D139,$C$5:$AA$493,9,)=0,0,((VLOOKUP($D139,$C$5:$AA$493,9,)/VLOOKUP($D139,$C$5:$AA$493,4,))*$F139))</f>
        <v>0</v>
      </c>
      <c r="L139" s="50"/>
      <c r="M139" s="50">
        <f>IF(VLOOKUP($D139,$C$5:$AA$493,11,)=0,0,((VLOOKUP($D139,$C$5:$AA$493,11,)/VLOOKUP($D139,$C$5:$AA$493,4,))*$F139))</f>
        <v>0</v>
      </c>
      <c r="N139" s="50"/>
      <c r="O139" s="50">
        <f>IF(VLOOKUP($D139,$C$5:$AA$493,13,)=0,0,((VLOOKUP($D139,$C$5:$AA$493,13,)/VLOOKUP($D139,$C$5:$AA$493,4,))*$F139))</f>
        <v>0</v>
      </c>
      <c r="P139" s="50">
        <f>IF(VLOOKUP($D139,$C$5:$AA$493,14,)=0,0,((VLOOKUP($D139,$C$5:$AA$493,14,)/VLOOKUP($D139,$C$5:$AA$493,4,))*$F139))</f>
        <v>0</v>
      </c>
      <c r="Q139" s="50"/>
      <c r="R139" s="50">
        <f>IF(VLOOKUP($D139,$C$5:$AA$493,16,)=0,0,((VLOOKUP($D139,$C$5:$AA$493,16,)/VLOOKUP($D139,$C$5:$AA$493,4,))*$F139))</f>
        <v>0</v>
      </c>
      <c r="S139" s="50">
        <f>IF(VLOOKUP($D139,$C$5:$AA$493,17,)=0,0,((VLOOKUP($D139,$C$5:$AA$493,17,)/VLOOKUP($D139,$C$5:$AA$493,4,))*$F139))</f>
        <v>0</v>
      </c>
      <c r="T139" s="50"/>
      <c r="U139" s="50">
        <f>IF(VLOOKUP($D139,$C$5:$AA$493,19,)=0,0,((VLOOKUP($D139,$C$5:$AA$493,19,)/VLOOKUP($D139,$C$5:$AA$493,4,))*$F139))</f>
        <v>0</v>
      </c>
      <c r="V139" s="50"/>
      <c r="W139" s="50">
        <f>IF(VLOOKUP($D139,$C$5:$AA$493,21,)=0,0,((VLOOKUP($D139,$C$5:$AA$493,21,)/VLOOKUP($D139,$C$5:$AA$493,4,))*$F139))</f>
        <v>0</v>
      </c>
      <c r="X139" s="50"/>
      <c r="Y139" s="50">
        <f>IF(VLOOKUP($D139,$C$5:$AA$493,23,)=0,0,((VLOOKUP($D139,$C$5:$AA$493,23,)/VLOOKUP($D139,$C$5:$AA$493,4,))*$F139))</f>
        <v>0</v>
      </c>
      <c r="Z139" s="50"/>
      <c r="AA139" s="50">
        <f>IF(VLOOKUP($D139,$C$5:$AA$493,25,)=0,0,((VLOOKUP($D139,$C$5:$AA$493,25,)/VLOOKUP($D139,$C$5:$AA$493,4,))*$F139))</f>
        <v>0</v>
      </c>
      <c r="AB139" s="50">
        <f>SUM(H139:AA139)</f>
        <v>0</v>
      </c>
      <c r="AC139" s="30" t="str">
        <f>IF(ABS(AB139-F139)&lt;1,"ok","err")</f>
        <v>ok</v>
      </c>
    </row>
    <row r="140" spans="1:29" hidden="1" x14ac:dyDescent="0.2">
      <c r="F140" s="233"/>
      <c r="G140" s="66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30"/>
    </row>
    <row r="141" spans="1:29" hidden="1" x14ac:dyDescent="0.2">
      <c r="A141" s="14" t="s">
        <v>937</v>
      </c>
      <c r="F141" s="226">
        <v>0</v>
      </c>
      <c r="G141" s="93"/>
      <c r="H141" s="93">
        <f>SUM(H136:H139)</f>
        <v>0</v>
      </c>
      <c r="I141" s="93">
        <f>SUM(I136:I139)</f>
        <v>0</v>
      </c>
      <c r="J141" s="93"/>
      <c r="K141" s="93">
        <f>SUM(K136:K139)</f>
        <v>0</v>
      </c>
      <c r="L141" s="93"/>
      <c r="M141" s="93">
        <f>SUM(M136:M139)</f>
        <v>0</v>
      </c>
      <c r="N141" s="93"/>
      <c r="O141" s="93">
        <f>SUM(O136:O139)</f>
        <v>0</v>
      </c>
      <c r="P141" s="93">
        <f>SUM(P136:P139)</f>
        <v>0</v>
      </c>
      <c r="Q141" s="93"/>
      <c r="R141" s="93">
        <f>SUM(R136:R139)</f>
        <v>0</v>
      </c>
      <c r="S141" s="93">
        <f>SUM(S136:S139)</f>
        <v>0</v>
      </c>
      <c r="T141" s="93"/>
      <c r="U141" s="93">
        <f>SUM(U136:U139)</f>
        <v>0</v>
      </c>
      <c r="V141" s="93"/>
      <c r="W141" s="93">
        <f>SUM(W136:W139)</f>
        <v>0</v>
      </c>
      <c r="X141" s="93"/>
      <c r="Y141" s="93">
        <f>SUM(Y136:Y139)</f>
        <v>0</v>
      </c>
      <c r="Z141" s="93"/>
      <c r="AA141" s="93">
        <f>SUM(AA136:AA139)</f>
        <v>0</v>
      </c>
      <c r="AB141" s="50">
        <f>SUM(H141:AA141)</f>
        <v>0</v>
      </c>
      <c r="AC141" s="30" t="str">
        <f>IF(ABS(AB141-F141)&lt;1,"ok","err")</f>
        <v>ok</v>
      </c>
    </row>
    <row r="142" spans="1:29" x14ac:dyDescent="0.2">
      <c r="A142" s="14" t="s">
        <v>92</v>
      </c>
      <c r="C142" s="14" t="s">
        <v>93</v>
      </c>
      <c r="D142" s="14" t="s">
        <v>72</v>
      </c>
      <c r="F142" s="234">
        <v>2791987</v>
      </c>
      <c r="G142" s="66"/>
      <c r="H142" s="50">
        <f>IF(VLOOKUP($D142,$C$5:$AA$493,6,)=0,0,((VLOOKUP($D142,$C$5:$AA$493,6,)/VLOOKUP($D142,$C$5:$AA$493,4,))*$F142))</f>
        <v>0</v>
      </c>
      <c r="I142" s="50">
        <f>IF(VLOOKUP($D142,$C$5:$AA$493,7,)=0,0,((VLOOKUP($D142,$C$5:$AA$493,7,)/VLOOKUP($D142,$C$5:$AA$493,4,))*$F142))</f>
        <v>0</v>
      </c>
      <c r="J142" s="50"/>
      <c r="K142" s="50">
        <f>IF(VLOOKUP($D142,$C$5:$AA$493,9,)=0,0,((VLOOKUP($D142,$C$5:$AA$493,9,)/VLOOKUP($D142,$C$5:$AA$493,4,))*$F142))</f>
        <v>0</v>
      </c>
      <c r="L142" s="50"/>
      <c r="M142" s="50">
        <f>IF(VLOOKUP($D142,$C$5:$AA$493,11,)=0,0,((VLOOKUP($D142,$C$5:$AA$493,11,)/VLOOKUP($D142,$C$5:$AA$493,4,))*$F142))</f>
        <v>10290.553394959434</v>
      </c>
      <c r="N142" s="50"/>
      <c r="O142" s="50">
        <f>IF(VLOOKUP($D142,$C$5:$AA$493,13,)=0,0,((VLOOKUP($D142,$C$5:$AA$493,13,)/VLOOKUP($D142,$C$5:$AA$493,4,))*$F142))</f>
        <v>1359727.9686267055</v>
      </c>
      <c r="P142" s="50">
        <f>IF(VLOOKUP($D142,$C$5:$AA$493,14,)=0,0,((VLOOKUP($D142,$C$5:$AA$493,14,)/VLOOKUP($D142,$C$5:$AA$493,4,))*$F142))</f>
        <v>765308.68177412008</v>
      </c>
      <c r="Q142" s="50"/>
      <c r="R142" s="50">
        <f>IF(VLOOKUP($D142,$C$5:$AA$493,16,)=0,0,((VLOOKUP($D142,$C$5:$AA$493,16,)/VLOOKUP($D142,$C$5:$AA$493,4,))*$F142))</f>
        <v>0</v>
      </c>
      <c r="S142" s="50">
        <f>IF(VLOOKUP($D142,$C$5:$AA$493,17,)=0,0,((VLOOKUP($D142,$C$5:$AA$493,17,)/VLOOKUP($D142,$C$5:$AA$493,4,))*$F142))</f>
        <v>351717.92058215191</v>
      </c>
      <c r="T142" s="50"/>
      <c r="U142" s="50">
        <f>IF(VLOOKUP($D142,$C$5:$AA$493,19,)=0,0,((VLOOKUP($D142,$C$5:$AA$493,19,)/VLOOKUP($D142,$C$5:$AA$493,4,))*$F142))</f>
        <v>153032.37066516984</v>
      </c>
      <c r="V142" s="50"/>
      <c r="W142" s="50">
        <f>IF(VLOOKUP($D142,$C$5:$AA$493,21,)=0,0,((VLOOKUP($D142,$C$5:$AA$493,21,)/VLOOKUP($D142,$C$5:$AA$493,4,))*$F142))</f>
        <v>151909.50495689339</v>
      </c>
      <c r="X142" s="50"/>
      <c r="Y142" s="50">
        <f>IF(VLOOKUP($D142,$C$5:$AA$493,23,)=0,0,((VLOOKUP($D142,$C$5:$AA$493,23,)/VLOOKUP($D142,$C$5:$AA$493,4,))*$F142))</f>
        <v>0</v>
      </c>
      <c r="Z142" s="50"/>
      <c r="AA142" s="50">
        <f>IF(VLOOKUP($D142,$C$5:$AA$493,25,)=0,0,((VLOOKUP($D142,$C$5:$AA$493,25,)/VLOOKUP($D142,$C$5:$AA$493,4,))*$F142))</f>
        <v>0</v>
      </c>
      <c r="AB142" s="50">
        <f>SUM(H142:AA142)</f>
        <v>2791987</v>
      </c>
      <c r="AC142" s="30" t="str">
        <f>IF(ABS(AB142-F142)&lt;1,"ok","err")</f>
        <v>ok</v>
      </c>
    </row>
    <row r="143" spans="1:29" x14ac:dyDescent="0.2">
      <c r="F143" s="233"/>
      <c r="G143" s="66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30"/>
    </row>
    <row r="144" spans="1:29" x14ac:dyDescent="0.2">
      <c r="A144" s="13" t="s">
        <v>94</v>
      </c>
      <c r="C144" s="14" t="s">
        <v>95</v>
      </c>
      <c r="F144" s="226">
        <f>F126+F133-F142</f>
        <v>223016187.61401924</v>
      </c>
      <c r="G144" s="93"/>
      <c r="H144" s="93">
        <f>H126+H133-H142</f>
        <v>0</v>
      </c>
      <c r="I144" s="93">
        <f>I126+I133-I142</f>
        <v>0</v>
      </c>
      <c r="J144" s="93"/>
      <c r="K144" s="93">
        <f>K126+K133-K142</f>
        <v>0</v>
      </c>
      <c r="L144" s="93"/>
      <c r="M144" s="93">
        <f>M126+M133-M142</f>
        <v>835346.59274935944</v>
      </c>
      <c r="N144" s="93"/>
      <c r="O144" s="93">
        <f>O126+O133-O142</f>
        <v>108665857.21361455</v>
      </c>
      <c r="P144" s="93">
        <f>P126+P133-P142</f>
        <v>60889841.202910349</v>
      </c>
      <c r="Q144" s="93"/>
      <c r="R144" s="93">
        <f>R126+R133-R142</f>
        <v>0</v>
      </c>
      <c r="S144" s="93">
        <f>S126+S133-S142</f>
        <v>27675963.303470869</v>
      </c>
      <c r="T144" s="93"/>
      <c r="U144" s="93">
        <f>U126+U133-U142</f>
        <v>12246778.456160013</v>
      </c>
      <c r="V144" s="93"/>
      <c r="W144" s="93">
        <f>W126+W133-W142</f>
        <v>11951360.566379435</v>
      </c>
      <c r="X144" s="93"/>
      <c r="Y144" s="93">
        <f>Y126+Y133-Y142</f>
        <v>699702.36935345735</v>
      </c>
      <c r="Z144" s="93"/>
      <c r="AA144" s="93">
        <f>AA126+AA133-AA142</f>
        <v>51337.909381216989</v>
      </c>
      <c r="AB144" s="50">
        <f>SUM(H144:AA144)</f>
        <v>223016187.61401922</v>
      </c>
      <c r="AC144" s="30" t="str">
        <f>IF(ABS(AB144-F144)&lt;1,"ok","err")</f>
        <v>ok</v>
      </c>
    </row>
    <row r="145" spans="1:29" x14ac:dyDescent="0.2">
      <c r="Q145" s="14"/>
      <c r="AC145" s="30"/>
    </row>
    <row r="146" spans="1:29" x14ac:dyDescent="0.2">
      <c r="A146" s="28" t="s">
        <v>86</v>
      </c>
      <c r="Q146" s="14"/>
      <c r="AC146" s="30"/>
    </row>
    <row r="147" spans="1:29" x14ac:dyDescent="0.2">
      <c r="A147" s="28"/>
      <c r="Q147" s="14"/>
      <c r="AC147" s="30"/>
    </row>
    <row r="148" spans="1:29" x14ac:dyDescent="0.2">
      <c r="A148" s="13" t="s">
        <v>788</v>
      </c>
      <c r="Q148" s="14"/>
      <c r="AC148" s="30"/>
    </row>
    <row r="149" spans="1:29" x14ac:dyDescent="0.2">
      <c r="A149" s="14">
        <v>500</v>
      </c>
      <c r="B149" s="14" t="s">
        <v>793</v>
      </c>
      <c r="C149" s="14" t="s">
        <v>806</v>
      </c>
      <c r="D149" s="14" t="s">
        <v>782</v>
      </c>
      <c r="F149" s="233">
        <v>0</v>
      </c>
      <c r="G149" s="193"/>
      <c r="H149" s="50">
        <f t="shared" ref="H149:H157" si="78">IF(VLOOKUP($D149,$C$5:$AA$493,6,)=0,0,((VLOOKUP($D149,$C$5:$AA$493,6,)/VLOOKUP($D149,$C$5:$AA$493,4,))*$F149))</f>
        <v>0</v>
      </c>
      <c r="I149" s="50">
        <f t="shared" ref="I149:I157" si="79">IF(VLOOKUP($D149,$C$5:$AA$493,7,)=0,0,((VLOOKUP($D149,$C$5:$AA$493,7,)/VLOOKUP($D149,$C$5:$AA$493,4,))*$F149))</f>
        <v>0</v>
      </c>
      <c r="J149" s="50"/>
      <c r="K149" s="50">
        <f t="shared" ref="K149:K157" si="80">IF(VLOOKUP($D149,$C$5:$AA$493,9,)=0,0,((VLOOKUP($D149,$C$5:$AA$493,9,)/VLOOKUP($D149,$C$5:$AA$493,4,))*$F149))</f>
        <v>0</v>
      </c>
      <c r="L149" s="50"/>
      <c r="M149" s="50">
        <f t="shared" ref="M149:M157" si="81">IF(VLOOKUP($D149,$C$5:$AA$493,11,)=0,0,((VLOOKUP($D149,$C$5:$AA$493,11,)/VLOOKUP($D149,$C$5:$AA$493,4,))*$F149))</f>
        <v>0</v>
      </c>
      <c r="N149" s="50"/>
      <c r="O149" s="50">
        <f t="shared" ref="O149:O157" si="82">IF(VLOOKUP($D149,$C$5:$AA$493,13,)=0,0,((VLOOKUP($D149,$C$5:$AA$493,13,)/VLOOKUP($D149,$C$5:$AA$493,4,))*$F149))</f>
        <v>0</v>
      </c>
      <c r="P149" s="50">
        <f t="shared" ref="P149:P157" si="83">IF(VLOOKUP($D149,$C$5:$AA$493,14,)=0,0,((VLOOKUP($D149,$C$5:$AA$493,14,)/VLOOKUP($D149,$C$5:$AA$493,4,))*$F149))</f>
        <v>0</v>
      </c>
      <c r="Q149" s="50"/>
      <c r="R149" s="50">
        <f t="shared" ref="R149:R157" si="84">IF(VLOOKUP($D149,$C$5:$AA$493,16,)=0,0,((VLOOKUP($D149,$C$5:$AA$493,16,)/VLOOKUP($D149,$C$5:$AA$493,4,))*$F149))</f>
        <v>0</v>
      </c>
      <c r="S149" s="50">
        <f t="shared" ref="S149:S157" si="85">IF(VLOOKUP($D149,$C$5:$AA$493,17,)=0,0,((VLOOKUP($D149,$C$5:$AA$493,17,)/VLOOKUP($D149,$C$5:$AA$493,4,))*$F149))</f>
        <v>0</v>
      </c>
      <c r="T149" s="50"/>
      <c r="U149" s="50">
        <f t="shared" ref="U149:U157" si="86">IF(VLOOKUP($D149,$C$5:$AA$493,19,)=0,0,((VLOOKUP($D149,$C$5:$AA$493,19,)/VLOOKUP($D149,$C$5:$AA$493,4,))*$F149))</f>
        <v>0</v>
      </c>
      <c r="V149" s="50"/>
      <c r="W149" s="50">
        <f t="shared" ref="W149:W157" si="87">IF(VLOOKUP($D149,$C$5:$AA$493,21,)=0,0,((VLOOKUP($D149,$C$5:$AA$493,21,)/VLOOKUP($D149,$C$5:$AA$493,4,))*$F149))</f>
        <v>0</v>
      </c>
      <c r="X149" s="50"/>
      <c r="Y149" s="50">
        <f t="shared" ref="Y149:Y157" si="88">IF(VLOOKUP($D149,$C$5:$AA$493,23,)=0,0,((VLOOKUP($D149,$C$5:$AA$493,23,)/VLOOKUP($D149,$C$5:$AA$493,4,))*$F149))</f>
        <v>0</v>
      </c>
      <c r="Z149" s="50"/>
      <c r="AA149" s="50">
        <f t="shared" ref="AA149:AA157" si="89">IF(VLOOKUP($D149,$C$5:$AA$493,25,)=0,0,((VLOOKUP($D149,$C$5:$AA$493,25,)/VLOOKUP($D149,$C$5:$AA$493,4,))*$F149))</f>
        <v>0</v>
      </c>
      <c r="AB149" s="50">
        <f t="shared" ref="AB149:AB157" si="90">SUM(H149:AA149)</f>
        <v>0</v>
      </c>
      <c r="AC149" s="30" t="str">
        <f t="shared" ref="AC149:AC157" si="91">IF(ABS(AB149-F149)&lt;1,"ok","err")</f>
        <v>ok</v>
      </c>
    </row>
    <row r="150" spans="1:29" x14ac:dyDescent="0.2">
      <c r="A150" s="14">
        <v>501</v>
      </c>
      <c r="B150" s="14" t="s">
        <v>794</v>
      </c>
      <c r="C150" s="14" t="s">
        <v>807</v>
      </c>
      <c r="D150" s="14" t="s">
        <v>786</v>
      </c>
      <c r="F150" s="234">
        <v>0</v>
      </c>
      <c r="G150" s="194"/>
      <c r="H150" s="50">
        <f t="shared" si="78"/>
        <v>0</v>
      </c>
      <c r="I150" s="50">
        <f t="shared" si="79"/>
        <v>0</v>
      </c>
      <c r="J150" s="50"/>
      <c r="K150" s="50">
        <f t="shared" si="80"/>
        <v>0</v>
      </c>
      <c r="L150" s="50"/>
      <c r="M150" s="50">
        <f t="shared" si="81"/>
        <v>0</v>
      </c>
      <c r="N150" s="50"/>
      <c r="O150" s="50">
        <f t="shared" si="82"/>
        <v>0</v>
      </c>
      <c r="P150" s="50">
        <f t="shared" si="83"/>
        <v>0</v>
      </c>
      <c r="Q150" s="50"/>
      <c r="R150" s="50">
        <f t="shared" si="84"/>
        <v>0</v>
      </c>
      <c r="S150" s="50">
        <f t="shared" si="85"/>
        <v>0</v>
      </c>
      <c r="T150" s="50"/>
      <c r="U150" s="50">
        <f t="shared" si="86"/>
        <v>0</v>
      </c>
      <c r="V150" s="50"/>
      <c r="W150" s="50">
        <f t="shared" si="87"/>
        <v>0</v>
      </c>
      <c r="X150" s="50"/>
      <c r="Y150" s="50">
        <f t="shared" si="88"/>
        <v>0</v>
      </c>
      <c r="Z150" s="50"/>
      <c r="AA150" s="50">
        <f t="shared" si="89"/>
        <v>0</v>
      </c>
      <c r="AB150" s="50">
        <f t="shared" si="90"/>
        <v>0</v>
      </c>
      <c r="AC150" s="30" t="str">
        <f t="shared" si="91"/>
        <v>ok</v>
      </c>
    </row>
    <row r="151" spans="1:29" x14ac:dyDescent="0.2">
      <c r="A151" s="14">
        <v>502</v>
      </c>
      <c r="B151" s="14" t="s">
        <v>795</v>
      </c>
      <c r="C151" s="14" t="s">
        <v>808</v>
      </c>
      <c r="D151" s="14" t="s">
        <v>552</v>
      </c>
      <c r="F151" s="234">
        <v>0</v>
      </c>
      <c r="G151" s="194"/>
      <c r="H151" s="50">
        <f t="shared" si="78"/>
        <v>0</v>
      </c>
      <c r="I151" s="50">
        <f t="shared" si="79"/>
        <v>0</v>
      </c>
      <c r="J151" s="50"/>
      <c r="K151" s="50">
        <f t="shared" si="80"/>
        <v>0</v>
      </c>
      <c r="L151" s="50"/>
      <c r="M151" s="50">
        <f t="shared" si="81"/>
        <v>0</v>
      </c>
      <c r="N151" s="50"/>
      <c r="O151" s="50">
        <f t="shared" si="82"/>
        <v>0</v>
      </c>
      <c r="P151" s="50">
        <f t="shared" si="83"/>
        <v>0</v>
      </c>
      <c r="Q151" s="50"/>
      <c r="R151" s="50">
        <f t="shared" si="84"/>
        <v>0</v>
      </c>
      <c r="S151" s="50">
        <f t="shared" si="85"/>
        <v>0</v>
      </c>
      <c r="T151" s="50"/>
      <c r="U151" s="50">
        <f t="shared" si="86"/>
        <v>0</v>
      </c>
      <c r="V151" s="50"/>
      <c r="W151" s="50">
        <f t="shared" si="87"/>
        <v>0</v>
      </c>
      <c r="X151" s="50"/>
      <c r="Y151" s="50">
        <f t="shared" si="88"/>
        <v>0</v>
      </c>
      <c r="Z151" s="50"/>
      <c r="AA151" s="50">
        <f t="shared" si="89"/>
        <v>0</v>
      </c>
      <c r="AB151" s="50">
        <f t="shared" si="90"/>
        <v>0</v>
      </c>
      <c r="AC151" s="30" t="str">
        <f t="shared" si="91"/>
        <v>ok</v>
      </c>
    </row>
    <row r="152" spans="1:29" x14ac:dyDescent="0.2">
      <c r="A152" s="14">
        <v>503</v>
      </c>
      <c r="B152" s="14" t="s">
        <v>796</v>
      </c>
      <c r="C152" s="14" t="s">
        <v>809</v>
      </c>
      <c r="D152" s="14" t="s">
        <v>552</v>
      </c>
      <c r="F152" s="234">
        <v>0</v>
      </c>
      <c r="G152" s="194"/>
      <c r="H152" s="50">
        <f t="shared" si="78"/>
        <v>0</v>
      </c>
      <c r="I152" s="50">
        <f t="shared" si="79"/>
        <v>0</v>
      </c>
      <c r="J152" s="50"/>
      <c r="K152" s="50">
        <f t="shared" si="80"/>
        <v>0</v>
      </c>
      <c r="L152" s="50"/>
      <c r="M152" s="50">
        <f t="shared" si="81"/>
        <v>0</v>
      </c>
      <c r="N152" s="50"/>
      <c r="O152" s="50">
        <f t="shared" si="82"/>
        <v>0</v>
      </c>
      <c r="P152" s="50">
        <f t="shared" si="83"/>
        <v>0</v>
      </c>
      <c r="Q152" s="50"/>
      <c r="R152" s="50">
        <f t="shared" si="84"/>
        <v>0</v>
      </c>
      <c r="S152" s="50">
        <f t="shared" si="85"/>
        <v>0</v>
      </c>
      <c r="T152" s="50"/>
      <c r="U152" s="50">
        <f t="shared" si="86"/>
        <v>0</v>
      </c>
      <c r="V152" s="50"/>
      <c r="W152" s="50">
        <f t="shared" si="87"/>
        <v>0</v>
      </c>
      <c r="X152" s="50"/>
      <c r="Y152" s="50">
        <f t="shared" si="88"/>
        <v>0</v>
      </c>
      <c r="Z152" s="50"/>
      <c r="AA152" s="50">
        <f t="shared" si="89"/>
        <v>0</v>
      </c>
      <c r="AB152" s="50">
        <f t="shared" si="90"/>
        <v>0</v>
      </c>
      <c r="AC152" s="30" t="str">
        <f t="shared" si="91"/>
        <v>ok</v>
      </c>
    </row>
    <row r="153" spans="1:29" x14ac:dyDescent="0.2">
      <c r="A153" s="14">
        <v>504</v>
      </c>
      <c r="B153" s="14" t="s">
        <v>797</v>
      </c>
      <c r="C153" s="14" t="s">
        <v>810</v>
      </c>
      <c r="D153" s="14" t="s">
        <v>552</v>
      </c>
      <c r="F153" s="234">
        <v>0</v>
      </c>
      <c r="G153" s="194"/>
      <c r="H153" s="50">
        <f t="shared" si="78"/>
        <v>0</v>
      </c>
      <c r="I153" s="50">
        <f t="shared" si="79"/>
        <v>0</v>
      </c>
      <c r="J153" s="50"/>
      <c r="K153" s="50">
        <f t="shared" si="80"/>
        <v>0</v>
      </c>
      <c r="L153" s="50"/>
      <c r="M153" s="50">
        <f t="shared" si="81"/>
        <v>0</v>
      </c>
      <c r="N153" s="50"/>
      <c r="O153" s="50">
        <f t="shared" si="82"/>
        <v>0</v>
      </c>
      <c r="P153" s="50">
        <f t="shared" si="83"/>
        <v>0</v>
      </c>
      <c r="Q153" s="50"/>
      <c r="R153" s="50">
        <f t="shared" si="84"/>
        <v>0</v>
      </c>
      <c r="S153" s="50">
        <f t="shared" si="85"/>
        <v>0</v>
      </c>
      <c r="T153" s="50"/>
      <c r="U153" s="50">
        <f t="shared" si="86"/>
        <v>0</v>
      </c>
      <c r="V153" s="50"/>
      <c r="W153" s="50">
        <f t="shared" si="87"/>
        <v>0</v>
      </c>
      <c r="X153" s="50"/>
      <c r="Y153" s="50">
        <f t="shared" si="88"/>
        <v>0</v>
      </c>
      <c r="Z153" s="50"/>
      <c r="AA153" s="50">
        <f t="shared" si="89"/>
        <v>0</v>
      </c>
      <c r="AB153" s="50">
        <f t="shared" si="90"/>
        <v>0</v>
      </c>
      <c r="AC153" s="30" t="str">
        <f t="shared" si="91"/>
        <v>ok</v>
      </c>
    </row>
    <row r="154" spans="1:29" x14ac:dyDescent="0.2">
      <c r="A154" s="14">
        <v>505</v>
      </c>
      <c r="B154" s="14" t="s">
        <v>798</v>
      </c>
      <c r="C154" s="14" t="s">
        <v>811</v>
      </c>
      <c r="D154" s="14" t="s">
        <v>552</v>
      </c>
      <c r="F154" s="234">
        <v>0</v>
      </c>
      <c r="G154" s="194"/>
      <c r="H154" s="50">
        <f t="shared" si="78"/>
        <v>0</v>
      </c>
      <c r="I154" s="50">
        <f t="shared" si="79"/>
        <v>0</v>
      </c>
      <c r="J154" s="50"/>
      <c r="K154" s="50">
        <f t="shared" si="80"/>
        <v>0</v>
      </c>
      <c r="L154" s="50"/>
      <c r="M154" s="50">
        <f t="shared" si="81"/>
        <v>0</v>
      </c>
      <c r="N154" s="50"/>
      <c r="O154" s="50">
        <f t="shared" si="82"/>
        <v>0</v>
      </c>
      <c r="P154" s="50">
        <f t="shared" si="83"/>
        <v>0</v>
      </c>
      <c r="Q154" s="50"/>
      <c r="R154" s="50">
        <f t="shared" si="84"/>
        <v>0</v>
      </c>
      <c r="S154" s="50">
        <f t="shared" si="85"/>
        <v>0</v>
      </c>
      <c r="T154" s="50"/>
      <c r="U154" s="50">
        <f t="shared" si="86"/>
        <v>0</v>
      </c>
      <c r="V154" s="50"/>
      <c r="W154" s="50">
        <f t="shared" si="87"/>
        <v>0</v>
      </c>
      <c r="X154" s="50"/>
      <c r="Y154" s="50">
        <f t="shared" si="88"/>
        <v>0</v>
      </c>
      <c r="Z154" s="50"/>
      <c r="AA154" s="50">
        <f t="shared" si="89"/>
        <v>0</v>
      </c>
      <c r="AB154" s="50">
        <f t="shared" si="90"/>
        <v>0</v>
      </c>
      <c r="AC154" s="30" t="str">
        <f t="shared" si="91"/>
        <v>ok</v>
      </c>
    </row>
    <row r="155" spans="1:29" x14ac:dyDescent="0.2">
      <c r="A155" s="14">
        <v>506</v>
      </c>
      <c r="B155" s="14" t="s">
        <v>799</v>
      </c>
      <c r="C155" s="14" t="s">
        <v>812</v>
      </c>
      <c r="D155" s="14" t="s">
        <v>552</v>
      </c>
      <c r="F155" s="234">
        <v>0</v>
      </c>
      <c r="G155" s="194"/>
      <c r="H155" s="50">
        <f t="shared" si="78"/>
        <v>0</v>
      </c>
      <c r="I155" s="50">
        <f t="shared" si="79"/>
        <v>0</v>
      </c>
      <c r="J155" s="50"/>
      <c r="K155" s="50">
        <f t="shared" si="80"/>
        <v>0</v>
      </c>
      <c r="L155" s="50"/>
      <c r="M155" s="50">
        <f t="shared" si="81"/>
        <v>0</v>
      </c>
      <c r="N155" s="50"/>
      <c r="O155" s="50">
        <f t="shared" si="82"/>
        <v>0</v>
      </c>
      <c r="P155" s="50">
        <f t="shared" si="83"/>
        <v>0</v>
      </c>
      <c r="Q155" s="50"/>
      <c r="R155" s="50">
        <f t="shared" si="84"/>
        <v>0</v>
      </c>
      <c r="S155" s="50">
        <f t="shared" si="85"/>
        <v>0</v>
      </c>
      <c r="T155" s="50"/>
      <c r="U155" s="50">
        <f t="shared" si="86"/>
        <v>0</v>
      </c>
      <c r="V155" s="50"/>
      <c r="W155" s="50">
        <f t="shared" si="87"/>
        <v>0</v>
      </c>
      <c r="X155" s="50"/>
      <c r="Y155" s="50">
        <f t="shared" si="88"/>
        <v>0</v>
      </c>
      <c r="Z155" s="50"/>
      <c r="AA155" s="50">
        <f t="shared" si="89"/>
        <v>0</v>
      </c>
      <c r="AB155" s="50">
        <f t="shared" si="90"/>
        <v>0</v>
      </c>
      <c r="AC155" s="30" t="str">
        <f t="shared" si="91"/>
        <v>ok</v>
      </c>
    </row>
    <row r="156" spans="1:29" x14ac:dyDescent="0.2">
      <c r="A156" s="14">
        <v>507</v>
      </c>
      <c r="B156" s="14" t="s">
        <v>115</v>
      </c>
      <c r="C156" s="14" t="s">
        <v>813</v>
      </c>
      <c r="D156" s="14" t="s">
        <v>552</v>
      </c>
      <c r="F156" s="234">
        <v>0</v>
      </c>
      <c r="G156" s="194"/>
      <c r="H156" s="50">
        <f t="shared" si="78"/>
        <v>0</v>
      </c>
      <c r="I156" s="50">
        <f t="shared" si="79"/>
        <v>0</v>
      </c>
      <c r="J156" s="50"/>
      <c r="K156" s="50">
        <f t="shared" si="80"/>
        <v>0</v>
      </c>
      <c r="L156" s="50"/>
      <c r="M156" s="50">
        <f t="shared" si="81"/>
        <v>0</v>
      </c>
      <c r="N156" s="50"/>
      <c r="O156" s="50">
        <f t="shared" si="82"/>
        <v>0</v>
      </c>
      <c r="P156" s="50">
        <f t="shared" si="83"/>
        <v>0</v>
      </c>
      <c r="Q156" s="50"/>
      <c r="R156" s="50">
        <f t="shared" si="84"/>
        <v>0</v>
      </c>
      <c r="S156" s="50">
        <f t="shared" si="85"/>
        <v>0</v>
      </c>
      <c r="T156" s="50"/>
      <c r="U156" s="50">
        <f t="shared" si="86"/>
        <v>0</v>
      </c>
      <c r="V156" s="50"/>
      <c r="W156" s="50">
        <f t="shared" si="87"/>
        <v>0</v>
      </c>
      <c r="X156" s="50"/>
      <c r="Y156" s="50">
        <f t="shared" si="88"/>
        <v>0</v>
      </c>
      <c r="Z156" s="50"/>
      <c r="AA156" s="50">
        <f t="shared" si="89"/>
        <v>0</v>
      </c>
      <c r="AB156" s="50">
        <f t="shared" si="90"/>
        <v>0</v>
      </c>
      <c r="AC156" s="30" t="str">
        <f t="shared" si="91"/>
        <v>ok</v>
      </c>
    </row>
    <row r="157" spans="1:29" x14ac:dyDescent="0.2">
      <c r="A157" s="14">
        <v>509</v>
      </c>
      <c r="B157" s="14" t="s">
        <v>800</v>
      </c>
      <c r="C157" s="14" t="s">
        <v>814</v>
      </c>
      <c r="D157" s="14" t="s">
        <v>786</v>
      </c>
      <c r="F157" s="234">
        <v>0</v>
      </c>
      <c r="G157" s="194"/>
      <c r="H157" s="50">
        <f t="shared" si="78"/>
        <v>0</v>
      </c>
      <c r="I157" s="50">
        <f t="shared" si="79"/>
        <v>0</v>
      </c>
      <c r="J157" s="50"/>
      <c r="K157" s="50">
        <f t="shared" si="80"/>
        <v>0</v>
      </c>
      <c r="L157" s="50"/>
      <c r="M157" s="50">
        <f t="shared" si="81"/>
        <v>0</v>
      </c>
      <c r="N157" s="50"/>
      <c r="O157" s="50">
        <f t="shared" si="82"/>
        <v>0</v>
      </c>
      <c r="P157" s="50">
        <f t="shared" si="83"/>
        <v>0</v>
      </c>
      <c r="Q157" s="50"/>
      <c r="R157" s="50">
        <f t="shared" si="84"/>
        <v>0</v>
      </c>
      <c r="S157" s="50">
        <f t="shared" si="85"/>
        <v>0</v>
      </c>
      <c r="T157" s="50"/>
      <c r="U157" s="50">
        <f t="shared" si="86"/>
        <v>0</v>
      </c>
      <c r="V157" s="50"/>
      <c r="W157" s="50">
        <f t="shared" si="87"/>
        <v>0</v>
      </c>
      <c r="X157" s="50"/>
      <c r="Y157" s="50">
        <f t="shared" si="88"/>
        <v>0</v>
      </c>
      <c r="Z157" s="50"/>
      <c r="AA157" s="50">
        <f t="shared" si="89"/>
        <v>0</v>
      </c>
      <c r="AB157" s="50">
        <f t="shared" si="90"/>
        <v>0</v>
      </c>
      <c r="AC157" s="30" t="str">
        <f t="shared" si="91"/>
        <v>ok</v>
      </c>
    </row>
    <row r="158" spans="1:29" x14ac:dyDescent="0.2">
      <c r="F158" s="234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C158" s="30"/>
    </row>
    <row r="159" spans="1:29" x14ac:dyDescent="0.2">
      <c r="A159" s="14" t="s">
        <v>792</v>
      </c>
      <c r="C159" s="14" t="s">
        <v>815</v>
      </c>
      <c r="F159" s="233">
        <f>SUM(F149:F158)</f>
        <v>0</v>
      </c>
      <c r="G159" s="66"/>
      <c r="H159" s="66">
        <f>SUM(H149:H158)</f>
        <v>0</v>
      </c>
      <c r="I159" s="66">
        <f>SUM(I149:I158)</f>
        <v>0</v>
      </c>
      <c r="J159" s="66"/>
      <c r="K159" s="66">
        <f>SUM(K149:K158)</f>
        <v>0</v>
      </c>
      <c r="L159" s="66"/>
      <c r="M159" s="66">
        <f>SUM(M149:M158)</f>
        <v>0</v>
      </c>
      <c r="N159" s="66"/>
      <c r="O159" s="66">
        <f>SUM(O149:O158)</f>
        <v>0</v>
      </c>
      <c r="P159" s="66">
        <f>SUM(P149:P158)</f>
        <v>0</v>
      </c>
      <c r="Q159" s="66"/>
      <c r="R159" s="66">
        <f>SUM(R149:R158)</f>
        <v>0</v>
      </c>
      <c r="S159" s="66">
        <f>SUM(S149:S158)</f>
        <v>0</v>
      </c>
      <c r="T159" s="66"/>
      <c r="U159" s="66">
        <f>SUM(U149:U158)</f>
        <v>0</v>
      </c>
      <c r="V159" s="66"/>
      <c r="W159" s="66">
        <f>SUM(W149:W158)</f>
        <v>0</v>
      </c>
      <c r="X159" s="66"/>
      <c r="Y159" s="66">
        <f>SUM(Y149:Y158)</f>
        <v>0</v>
      </c>
      <c r="Z159" s="66"/>
      <c r="AA159" s="66">
        <f>SUM(AA149:AA158)</f>
        <v>0</v>
      </c>
      <c r="AB159" s="50">
        <f>SUM(H159:AA159)</f>
        <v>0</v>
      </c>
      <c r="AC159" s="30" t="str">
        <f>IF(ABS(AB159-F159)&lt;1,"ok","err")</f>
        <v>ok</v>
      </c>
    </row>
    <row r="160" spans="1:29" x14ac:dyDescent="0.2">
      <c r="A160" s="13"/>
      <c r="F160" s="234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C160" s="30"/>
    </row>
    <row r="161" spans="1:29" x14ac:dyDescent="0.2">
      <c r="A161" s="13" t="s">
        <v>789</v>
      </c>
      <c r="F161" s="234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C161" s="30"/>
    </row>
    <row r="162" spans="1:29" x14ac:dyDescent="0.2">
      <c r="A162" s="14">
        <v>510</v>
      </c>
      <c r="B162" s="14" t="s">
        <v>801</v>
      </c>
      <c r="C162" s="14" t="s">
        <v>817</v>
      </c>
      <c r="D162" s="14" t="s">
        <v>786</v>
      </c>
      <c r="F162" s="233">
        <v>0</v>
      </c>
      <c r="G162" s="193"/>
      <c r="H162" s="50">
        <f>IF(VLOOKUP($D162,$C$5:$AA$493,6,)=0,0,((VLOOKUP($D162,$C$5:$AA$493,6,)/VLOOKUP($D162,$C$5:$AA$493,4,))*$F162))</f>
        <v>0</v>
      </c>
      <c r="I162" s="50">
        <f>IF(VLOOKUP($D162,$C$5:$AA$493,7,)=0,0,((VLOOKUP($D162,$C$5:$AA$493,7,)/VLOOKUP($D162,$C$5:$AA$493,4,))*$F162))</f>
        <v>0</v>
      </c>
      <c r="J162" s="50"/>
      <c r="K162" s="50">
        <f>IF(VLOOKUP($D162,$C$5:$AA$493,9,)=0,0,((VLOOKUP($D162,$C$5:$AA$493,9,)/VLOOKUP($D162,$C$5:$AA$493,4,))*$F162))</f>
        <v>0</v>
      </c>
      <c r="L162" s="50"/>
      <c r="M162" s="50">
        <f>IF(VLOOKUP($D162,$C$5:$AA$493,11,)=0,0,((VLOOKUP($D162,$C$5:$AA$493,11,)/VLOOKUP($D162,$C$5:$AA$493,4,))*$F162))</f>
        <v>0</v>
      </c>
      <c r="N162" s="50"/>
      <c r="O162" s="50">
        <f>IF(VLOOKUP($D162,$C$5:$AA$493,13,)=0,0,((VLOOKUP($D162,$C$5:$AA$493,13,)/VLOOKUP($D162,$C$5:$AA$493,4,))*$F162))</f>
        <v>0</v>
      </c>
      <c r="P162" s="50">
        <f>IF(VLOOKUP($D162,$C$5:$AA$493,14,)=0,0,((VLOOKUP($D162,$C$5:$AA$493,14,)/VLOOKUP($D162,$C$5:$AA$493,4,))*$F162))</f>
        <v>0</v>
      </c>
      <c r="Q162" s="50"/>
      <c r="R162" s="50">
        <f>IF(VLOOKUP($D162,$C$5:$AA$493,16,)=0,0,((VLOOKUP($D162,$C$5:$AA$493,16,)/VLOOKUP($D162,$C$5:$AA$493,4,))*$F162))</f>
        <v>0</v>
      </c>
      <c r="S162" s="50">
        <f>IF(VLOOKUP($D162,$C$5:$AA$493,17,)=0,0,((VLOOKUP($D162,$C$5:$AA$493,17,)/VLOOKUP($D162,$C$5:$AA$493,4,))*$F162))</f>
        <v>0</v>
      </c>
      <c r="T162" s="50"/>
      <c r="U162" s="50">
        <f>IF(VLOOKUP($D162,$C$5:$AA$493,19,)=0,0,((VLOOKUP($D162,$C$5:$AA$493,19,)/VLOOKUP($D162,$C$5:$AA$493,4,))*$F162))</f>
        <v>0</v>
      </c>
      <c r="V162" s="50"/>
      <c r="W162" s="50">
        <f>IF(VLOOKUP($D162,$C$5:$AA$493,21,)=0,0,((VLOOKUP($D162,$C$5:$AA$493,21,)/VLOOKUP($D162,$C$5:$AA$493,4,))*$F162))</f>
        <v>0</v>
      </c>
      <c r="X162" s="50"/>
      <c r="Y162" s="50">
        <f>IF(VLOOKUP($D162,$C$5:$AA$493,23,)=0,0,((VLOOKUP($D162,$C$5:$AA$493,23,)/VLOOKUP($D162,$C$5:$AA$493,4,))*$F162))</f>
        <v>0</v>
      </c>
      <c r="Z162" s="50"/>
      <c r="AA162" s="50">
        <f>IF(VLOOKUP($D162,$C$5:$AA$493,25,)=0,0,((VLOOKUP($D162,$C$5:$AA$493,25,)/VLOOKUP($D162,$C$5:$AA$493,4,))*$F162))</f>
        <v>0</v>
      </c>
      <c r="AB162" s="50">
        <f>SUM(H162:AA162)</f>
        <v>0</v>
      </c>
      <c r="AC162" s="30" t="str">
        <f>IF(ABS(AB162-F162)&lt;1,"ok","err")</f>
        <v>ok</v>
      </c>
    </row>
    <row r="163" spans="1:29" x14ac:dyDescent="0.2">
      <c r="A163" s="14">
        <v>511</v>
      </c>
      <c r="B163" s="14" t="s">
        <v>802</v>
      </c>
      <c r="C163" s="14" t="s">
        <v>818</v>
      </c>
      <c r="D163" s="14" t="s">
        <v>552</v>
      </c>
      <c r="F163" s="234">
        <v>0</v>
      </c>
      <c r="G163" s="194"/>
      <c r="H163" s="50">
        <f>IF(VLOOKUP($D163,$C$5:$AA$493,6,)=0,0,((VLOOKUP($D163,$C$5:$AA$493,6,)/VLOOKUP($D163,$C$5:$AA$493,4,))*$F163))</f>
        <v>0</v>
      </c>
      <c r="I163" s="50">
        <f>IF(VLOOKUP($D163,$C$5:$AA$493,7,)=0,0,((VLOOKUP($D163,$C$5:$AA$493,7,)/VLOOKUP($D163,$C$5:$AA$493,4,))*$F163))</f>
        <v>0</v>
      </c>
      <c r="J163" s="50"/>
      <c r="K163" s="50">
        <f>IF(VLOOKUP($D163,$C$5:$AA$493,9,)=0,0,((VLOOKUP($D163,$C$5:$AA$493,9,)/VLOOKUP($D163,$C$5:$AA$493,4,))*$F163))</f>
        <v>0</v>
      </c>
      <c r="L163" s="50"/>
      <c r="M163" s="50">
        <f>IF(VLOOKUP($D163,$C$5:$AA$493,11,)=0,0,((VLOOKUP($D163,$C$5:$AA$493,11,)/VLOOKUP($D163,$C$5:$AA$493,4,))*$F163))</f>
        <v>0</v>
      </c>
      <c r="N163" s="50"/>
      <c r="O163" s="50">
        <f>IF(VLOOKUP($D163,$C$5:$AA$493,13,)=0,0,((VLOOKUP($D163,$C$5:$AA$493,13,)/VLOOKUP($D163,$C$5:$AA$493,4,))*$F163))</f>
        <v>0</v>
      </c>
      <c r="P163" s="50">
        <f>IF(VLOOKUP($D163,$C$5:$AA$493,14,)=0,0,((VLOOKUP($D163,$C$5:$AA$493,14,)/VLOOKUP($D163,$C$5:$AA$493,4,))*$F163))</f>
        <v>0</v>
      </c>
      <c r="Q163" s="50"/>
      <c r="R163" s="50">
        <f>IF(VLOOKUP($D163,$C$5:$AA$493,16,)=0,0,((VLOOKUP($D163,$C$5:$AA$493,16,)/VLOOKUP($D163,$C$5:$AA$493,4,))*$F163))</f>
        <v>0</v>
      </c>
      <c r="S163" s="50">
        <f>IF(VLOOKUP($D163,$C$5:$AA$493,17,)=0,0,((VLOOKUP($D163,$C$5:$AA$493,17,)/VLOOKUP($D163,$C$5:$AA$493,4,))*$F163))</f>
        <v>0</v>
      </c>
      <c r="T163" s="50"/>
      <c r="U163" s="50">
        <f>IF(VLOOKUP($D163,$C$5:$AA$493,19,)=0,0,((VLOOKUP($D163,$C$5:$AA$493,19,)/VLOOKUP($D163,$C$5:$AA$493,4,))*$F163))</f>
        <v>0</v>
      </c>
      <c r="V163" s="50"/>
      <c r="W163" s="50">
        <f>IF(VLOOKUP($D163,$C$5:$AA$493,21,)=0,0,((VLOOKUP($D163,$C$5:$AA$493,21,)/VLOOKUP($D163,$C$5:$AA$493,4,))*$F163))</f>
        <v>0</v>
      </c>
      <c r="X163" s="50"/>
      <c r="Y163" s="50">
        <f>IF(VLOOKUP($D163,$C$5:$AA$493,23,)=0,0,((VLOOKUP($D163,$C$5:$AA$493,23,)/VLOOKUP($D163,$C$5:$AA$493,4,))*$F163))</f>
        <v>0</v>
      </c>
      <c r="Z163" s="50"/>
      <c r="AA163" s="50">
        <f>IF(VLOOKUP($D163,$C$5:$AA$493,25,)=0,0,((VLOOKUP($D163,$C$5:$AA$493,25,)/VLOOKUP($D163,$C$5:$AA$493,4,))*$F163))</f>
        <v>0</v>
      </c>
      <c r="AB163" s="50">
        <f>SUM(H163:AA163)</f>
        <v>0</v>
      </c>
      <c r="AC163" s="30" t="str">
        <f>IF(ABS(AB163-F163)&lt;1,"ok","err")</f>
        <v>ok</v>
      </c>
    </row>
    <row r="164" spans="1:29" x14ac:dyDescent="0.2">
      <c r="A164" s="14">
        <v>512</v>
      </c>
      <c r="B164" s="14" t="s">
        <v>803</v>
      </c>
      <c r="C164" s="14" t="s">
        <v>819</v>
      </c>
      <c r="D164" s="14" t="s">
        <v>786</v>
      </c>
      <c r="F164" s="234">
        <v>0</v>
      </c>
      <c r="G164" s="194"/>
      <c r="H164" s="50">
        <f>IF(VLOOKUP($D164,$C$5:$AA$493,6,)=0,0,((VLOOKUP($D164,$C$5:$AA$493,6,)/VLOOKUP($D164,$C$5:$AA$493,4,))*$F164))</f>
        <v>0</v>
      </c>
      <c r="I164" s="50">
        <f>IF(VLOOKUP($D164,$C$5:$AA$493,7,)=0,0,((VLOOKUP($D164,$C$5:$AA$493,7,)/VLOOKUP($D164,$C$5:$AA$493,4,))*$F164))</f>
        <v>0</v>
      </c>
      <c r="J164" s="50"/>
      <c r="K164" s="50">
        <f>IF(VLOOKUP($D164,$C$5:$AA$493,9,)=0,0,((VLOOKUP($D164,$C$5:$AA$493,9,)/VLOOKUP($D164,$C$5:$AA$493,4,))*$F164))</f>
        <v>0</v>
      </c>
      <c r="L164" s="50"/>
      <c r="M164" s="50">
        <f>IF(VLOOKUP($D164,$C$5:$AA$493,11,)=0,0,((VLOOKUP($D164,$C$5:$AA$493,11,)/VLOOKUP($D164,$C$5:$AA$493,4,))*$F164))</f>
        <v>0</v>
      </c>
      <c r="N164" s="50"/>
      <c r="O164" s="50">
        <f>IF(VLOOKUP($D164,$C$5:$AA$493,13,)=0,0,((VLOOKUP($D164,$C$5:$AA$493,13,)/VLOOKUP($D164,$C$5:$AA$493,4,))*$F164))</f>
        <v>0</v>
      </c>
      <c r="P164" s="50">
        <f>IF(VLOOKUP($D164,$C$5:$AA$493,14,)=0,0,((VLOOKUP($D164,$C$5:$AA$493,14,)/VLOOKUP($D164,$C$5:$AA$493,4,))*$F164))</f>
        <v>0</v>
      </c>
      <c r="Q164" s="50"/>
      <c r="R164" s="50">
        <f>IF(VLOOKUP($D164,$C$5:$AA$493,16,)=0,0,((VLOOKUP($D164,$C$5:$AA$493,16,)/VLOOKUP($D164,$C$5:$AA$493,4,))*$F164))</f>
        <v>0</v>
      </c>
      <c r="S164" s="50">
        <f>IF(VLOOKUP($D164,$C$5:$AA$493,17,)=0,0,((VLOOKUP($D164,$C$5:$AA$493,17,)/VLOOKUP($D164,$C$5:$AA$493,4,))*$F164))</f>
        <v>0</v>
      </c>
      <c r="T164" s="50"/>
      <c r="U164" s="50">
        <f>IF(VLOOKUP($D164,$C$5:$AA$493,19,)=0,0,((VLOOKUP($D164,$C$5:$AA$493,19,)/VLOOKUP($D164,$C$5:$AA$493,4,))*$F164))</f>
        <v>0</v>
      </c>
      <c r="V164" s="50"/>
      <c r="W164" s="50">
        <f>IF(VLOOKUP($D164,$C$5:$AA$493,21,)=0,0,((VLOOKUP($D164,$C$5:$AA$493,21,)/VLOOKUP($D164,$C$5:$AA$493,4,))*$F164))</f>
        <v>0</v>
      </c>
      <c r="X164" s="50"/>
      <c r="Y164" s="50">
        <f>IF(VLOOKUP($D164,$C$5:$AA$493,23,)=0,0,((VLOOKUP($D164,$C$5:$AA$493,23,)/VLOOKUP($D164,$C$5:$AA$493,4,))*$F164))</f>
        <v>0</v>
      </c>
      <c r="Z164" s="50"/>
      <c r="AA164" s="50">
        <f>IF(VLOOKUP($D164,$C$5:$AA$493,25,)=0,0,((VLOOKUP($D164,$C$5:$AA$493,25,)/VLOOKUP($D164,$C$5:$AA$493,4,))*$F164))</f>
        <v>0</v>
      </c>
      <c r="AB164" s="50">
        <f>SUM(H164:AA164)</f>
        <v>0</v>
      </c>
      <c r="AC164" s="30" t="str">
        <f>IF(ABS(AB164-F164)&lt;1,"ok","err")</f>
        <v>ok</v>
      </c>
    </row>
    <row r="165" spans="1:29" x14ac:dyDescent="0.2">
      <c r="A165" s="14">
        <v>513</v>
      </c>
      <c r="B165" s="14" t="s">
        <v>804</v>
      </c>
      <c r="C165" s="14" t="s">
        <v>820</v>
      </c>
      <c r="D165" s="14" t="s">
        <v>786</v>
      </c>
      <c r="F165" s="234">
        <v>0</v>
      </c>
      <c r="G165" s="194"/>
      <c r="H165" s="50">
        <f>IF(VLOOKUP($D165,$C$5:$AA$493,6,)=0,0,((VLOOKUP($D165,$C$5:$AA$493,6,)/VLOOKUP($D165,$C$5:$AA$493,4,))*$F165))</f>
        <v>0</v>
      </c>
      <c r="I165" s="50">
        <f>IF(VLOOKUP($D165,$C$5:$AA$493,7,)=0,0,((VLOOKUP($D165,$C$5:$AA$493,7,)/VLOOKUP($D165,$C$5:$AA$493,4,))*$F165))</f>
        <v>0</v>
      </c>
      <c r="J165" s="50"/>
      <c r="K165" s="50">
        <f>IF(VLOOKUP($D165,$C$5:$AA$493,9,)=0,0,((VLOOKUP($D165,$C$5:$AA$493,9,)/VLOOKUP($D165,$C$5:$AA$493,4,))*$F165))</f>
        <v>0</v>
      </c>
      <c r="L165" s="50"/>
      <c r="M165" s="50">
        <f>IF(VLOOKUP($D165,$C$5:$AA$493,11,)=0,0,((VLOOKUP($D165,$C$5:$AA$493,11,)/VLOOKUP($D165,$C$5:$AA$493,4,))*$F165))</f>
        <v>0</v>
      </c>
      <c r="N165" s="50"/>
      <c r="O165" s="50">
        <f>IF(VLOOKUP($D165,$C$5:$AA$493,13,)=0,0,((VLOOKUP($D165,$C$5:$AA$493,13,)/VLOOKUP($D165,$C$5:$AA$493,4,))*$F165))</f>
        <v>0</v>
      </c>
      <c r="P165" s="50">
        <f>IF(VLOOKUP($D165,$C$5:$AA$493,14,)=0,0,((VLOOKUP($D165,$C$5:$AA$493,14,)/VLOOKUP($D165,$C$5:$AA$493,4,))*$F165))</f>
        <v>0</v>
      </c>
      <c r="Q165" s="50"/>
      <c r="R165" s="50">
        <f>IF(VLOOKUP($D165,$C$5:$AA$493,16,)=0,0,((VLOOKUP($D165,$C$5:$AA$493,16,)/VLOOKUP($D165,$C$5:$AA$493,4,))*$F165))</f>
        <v>0</v>
      </c>
      <c r="S165" s="50">
        <f>IF(VLOOKUP($D165,$C$5:$AA$493,17,)=0,0,((VLOOKUP($D165,$C$5:$AA$493,17,)/VLOOKUP($D165,$C$5:$AA$493,4,))*$F165))</f>
        <v>0</v>
      </c>
      <c r="T165" s="50"/>
      <c r="U165" s="50">
        <f>IF(VLOOKUP($D165,$C$5:$AA$493,19,)=0,0,((VLOOKUP($D165,$C$5:$AA$493,19,)/VLOOKUP($D165,$C$5:$AA$493,4,))*$F165))</f>
        <v>0</v>
      </c>
      <c r="V165" s="50"/>
      <c r="W165" s="50">
        <f>IF(VLOOKUP($D165,$C$5:$AA$493,21,)=0,0,((VLOOKUP($D165,$C$5:$AA$493,21,)/VLOOKUP($D165,$C$5:$AA$493,4,))*$F165))</f>
        <v>0</v>
      </c>
      <c r="X165" s="50"/>
      <c r="Y165" s="50">
        <f>IF(VLOOKUP($D165,$C$5:$AA$493,23,)=0,0,((VLOOKUP($D165,$C$5:$AA$493,23,)/VLOOKUP($D165,$C$5:$AA$493,4,))*$F165))</f>
        <v>0</v>
      </c>
      <c r="Z165" s="50"/>
      <c r="AA165" s="50">
        <f>IF(VLOOKUP($D165,$C$5:$AA$493,25,)=0,0,((VLOOKUP($D165,$C$5:$AA$493,25,)/VLOOKUP($D165,$C$5:$AA$493,4,))*$F165))</f>
        <v>0</v>
      </c>
      <c r="AB165" s="50">
        <f>SUM(H165:AA165)</f>
        <v>0</v>
      </c>
      <c r="AC165" s="30" t="str">
        <f>IF(ABS(AB165-F165)&lt;1,"ok","err")</f>
        <v>ok</v>
      </c>
    </row>
    <row r="166" spans="1:29" x14ac:dyDescent="0.2">
      <c r="A166" s="14">
        <v>514</v>
      </c>
      <c r="B166" s="14" t="s">
        <v>805</v>
      </c>
      <c r="C166" s="14" t="s">
        <v>821</v>
      </c>
      <c r="D166" s="14" t="s">
        <v>552</v>
      </c>
      <c r="F166" s="234">
        <v>0</v>
      </c>
      <c r="G166" s="194"/>
      <c r="H166" s="50">
        <f>IF(VLOOKUP($D166,$C$5:$AA$493,6,)=0,0,((VLOOKUP($D166,$C$5:$AA$493,6,)/VLOOKUP($D166,$C$5:$AA$493,4,))*$F166))</f>
        <v>0</v>
      </c>
      <c r="I166" s="50">
        <f>IF(VLOOKUP($D166,$C$5:$AA$493,7,)=0,0,((VLOOKUP($D166,$C$5:$AA$493,7,)/VLOOKUP($D166,$C$5:$AA$493,4,))*$F166))</f>
        <v>0</v>
      </c>
      <c r="J166" s="50"/>
      <c r="K166" s="50">
        <f>IF(VLOOKUP($D166,$C$5:$AA$493,9,)=0,0,((VLOOKUP($D166,$C$5:$AA$493,9,)/VLOOKUP($D166,$C$5:$AA$493,4,))*$F166))</f>
        <v>0</v>
      </c>
      <c r="L166" s="50"/>
      <c r="M166" s="50">
        <f>IF(VLOOKUP($D166,$C$5:$AA$493,11,)=0,0,((VLOOKUP($D166,$C$5:$AA$493,11,)/VLOOKUP($D166,$C$5:$AA$493,4,))*$F166))</f>
        <v>0</v>
      </c>
      <c r="N166" s="50"/>
      <c r="O166" s="50">
        <f>IF(VLOOKUP($D166,$C$5:$AA$493,13,)=0,0,((VLOOKUP($D166,$C$5:$AA$493,13,)/VLOOKUP($D166,$C$5:$AA$493,4,))*$F166))</f>
        <v>0</v>
      </c>
      <c r="P166" s="50">
        <f>IF(VLOOKUP($D166,$C$5:$AA$493,14,)=0,0,((VLOOKUP($D166,$C$5:$AA$493,14,)/VLOOKUP($D166,$C$5:$AA$493,4,))*$F166))</f>
        <v>0</v>
      </c>
      <c r="Q166" s="50"/>
      <c r="R166" s="50">
        <f>IF(VLOOKUP($D166,$C$5:$AA$493,16,)=0,0,((VLOOKUP($D166,$C$5:$AA$493,16,)/VLOOKUP($D166,$C$5:$AA$493,4,))*$F166))</f>
        <v>0</v>
      </c>
      <c r="S166" s="50">
        <f>IF(VLOOKUP($D166,$C$5:$AA$493,17,)=0,0,((VLOOKUP($D166,$C$5:$AA$493,17,)/VLOOKUP($D166,$C$5:$AA$493,4,))*$F166))</f>
        <v>0</v>
      </c>
      <c r="T166" s="50"/>
      <c r="U166" s="50">
        <f>IF(VLOOKUP($D166,$C$5:$AA$493,19,)=0,0,((VLOOKUP($D166,$C$5:$AA$493,19,)/VLOOKUP($D166,$C$5:$AA$493,4,))*$F166))</f>
        <v>0</v>
      </c>
      <c r="V166" s="50"/>
      <c r="W166" s="50">
        <f>IF(VLOOKUP($D166,$C$5:$AA$493,21,)=0,0,((VLOOKUP($D166,$C$5:$AA$493,21,)/VLOOKUP($D166,$C$5:$AA$493,4,))*$F166))</f>
        <v>0</v>
      </c>
      <c r="X166" s="50"/>
      <c r="Y166" s="50">
        <f>IF(VLOOKUP($D166,$C$5:$AA$493,23,)=0,0,((VLOOKUP($D166,$C$5:$AA$493,23,)/VLOOKUP($D166,$C$5:$AA$493,4,))*$F166))</f>
        <v>0</v>
      </c>
      <c r="Z166" s="50"/>
      <c r="AA166" s="50">
        <f>IF(VLOOKUP($D166,$C$5:$AA$493,25,)=0,0,((VLOOKUP($D166,$C$5:$AA$493,25,)/VLOOKUP($D166,$C$5:$AA$493,4,))*$F166))</f>
        <v>0</v>
      </c>
      <c r="AB166" s="50">
        <f>SUM(H166:AA166)</f>
        <v>0</v>
      </c>
      <c r="AC166" s="30" t="str">
        <f>IF(ABS(AB166-F166)&lt;1,"ok","err")</f>
        <v>ok</v>
      </c>
    </row>
    <row r="167" spans="1:29" x14ac:dyDescent="0.2">
      <c r="F167" s="234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30"/>
    </row>
    <row r="168" spans="1:29" x14ac:dyDescent="0.2">
      <c r="A168" s="14" t="s">
        <v>790</v>
      </c>
      <c r="C168" s="14" t="s">
        <v>816</v>
      </c>
      <c r="F168" s="233">
        <f>SUM(F162:F167)</f>
        <v>0</v>
      </c>
      <c r="G168" s="66"/>
      <c r="H168" s="66">
        <f>SUM(H162:H167)</f>
        <v>0</v>
      </c>
      <c r="I168" s="66">
        <f>SUM(I162:I167)</f>
        <v>0</v>
      </c>
      <c r="J168" s="66"/>
      <c r="K168" s="66">
        <f>SUM(K162:K167)</f>
        <v>0</v>
      </c>
      <c r="L168" s="66"/>
      <c r="M168" s="66">
        <f>SUM(M162:M167)</f>
        <v>0</v>
      </c>
      <c r="N168" s="66"/>
      <c r="O168" s="66">
        <f>SUM(O162:O167)</f>
        <v>0</v>
      </c>
      <c r="P168" s="66">
        <f>SUM(P162:P167)</f>
        <v>0</v>
      </c>
      <c r="Q168" s="66"/>
      <c r="R168" s="66">
        <f>SUM(R162:R167)</f>
        <v>0</v>
      </c>
      <c r="S168" s="66">
        <f>SUM(S162:S167)</f>
        <v>0</v>
      </c>
      <c r="T168" s="66"/>
      <c r="U168" s="66">
        <f>SUM(U162:U167)</f>
        <v>0</v>
      </c>
      <c r="V168" s="66"/>
      <c r="W168" s="66">
        <f>SUM(W162:W167)</f>
        <v>0</v>
      </c>
      <c r="X168" s="66"/>
      <c r="Y168" s="66">
        <f>SUM(Y162:Y167)</f>
        <v>0</v>
      </c>
      <c r="Z168" s="66"/>
      <c r="AA168" s="66">
        <f>SUM(AA162:AA167)</f>
        <v>0</v>
      </c>
      <c r="AB168" s="50">
        <f>SUM(H168:AA168)</f>
        <v>0</v>
      </c>
      <c r="AC168" s="30" t="str">
        <f>IF(ABS(AB168-F168)&lt;1,"ok","err")</f>
        <v>ok</v>
      </c>
    </row>
    <row r="169" spans="1:29" x14ac:dyDescent="0.2">
      <c r="F169" s="234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C169" s="30"/>
    </row>
    <row r="170" spans="1:29" x14ac:dyDescent="0.2">
      <c r="A170" s="14" t="s">
        <v>791</v>
      </c>
      <c r="C170" s="14" t="s">
        <v>824</v>
      </c>
      <c r="F170" s="234">
        <f>F159+F168</f>
        <v>0</v>
      </c>
      <c r="G170" s="50"/>
      <c r="H170" s="50">
        <f>H159+H168</f>
        <v>0</v>
      </c>
      <c r="I170" s="50">
        <f>I159+I168</f>
        <v>0</v>
      </c>
      <c r="J170" s="50"/>
      <c r="K170" s="50">
        <f>K159+K168</f>
        <v>0</v>
      </c>
      <c r="L170" s="50"/>
      <c r="M170" s="50">
        <f>M159+M168</f>
        <v>0</v>
      </c>
      <c r="N170" s="50"/>
      <c r="O170" s="50">
        <f>O159+O168</f>
        <v>0</v>
      </c>
      <c r="P170" s="50">
        <f>P159+P168</f>
        <v>0</v>
      </c>
      <c r="Q170" s="50"/>
      <c r="R170" s="50">
        <f>R159+R168</f>
        <v>0</v>
      </c>
      <c r="S170" s="50">
        <f>S159+S168</f>
        <v>0</v>
      </c>
      <c r="T170" s="50"/>
      <c r="U170" s="50">
        <f>U159+U168</f>
        <v>0</v>
      </c>
      <c r="V170" s="50"/>
      <c r="W170" s="50">
        <f>W159+W168</f>
        <v>0</v>
      </c>
      <c r="X170" s="50"/>
      <c r="Y170" s="50">
        <f>Y159+Y168</f>
        <v>0</v>
      </c>
      <c r="Z170" s="50"/>
      <c r="AA170" s="50">
        <f>AA159+AA168</f>
        <v>0</v>
      </c>
      <c r="AB170" s="50">
        <f>SUM(H170:AA170)</f>
        <v>0</v>
      </c>
      <c r="AC170" s="30" t="str">
        <f>IF(ABS(AB170-F170)&lt;1,"ok","err")</f>
        <v>ok</v>
      </c>
    </row>
    <row r="171" spans="1:29" x14ac:dyDescent="0.2">
      <c r="F171" s="234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C171" s="30"/>
    </row>
    <row r="172" spans="1:29" x14ac:dyDescent="0.2">
      <c r="A172" s="28" t="s">
        <v>136</v>
      </c>
      <c r="F172" s="234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C172" s="30"/>
    </row>
    <row r="173" spans="1:29" x14ac:dyDescent="0.2">
      <c r="F173" s="234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C173" s="30"/>
    </row>
    <row r="174" spans="1:29" x14ac:dyDescent="0.2">
      <c r="A174" s="13" t="s">
        <v>96</v>
      </c>
      <c r="H174" s="66"/>
      <c r="I174" s="66"/>
      <c r="Q174" s="14"/>
      <c r="AC174" s="30"/>
    </row>
    <row r="175" spans="1:29" x14ac:dyDescent="0.2">
      <c r="A175" s="14">
        <v>555</v>
      </c>
      <c r="B175" s="14" t="s">
        <v>379</v>
      </c>
      <c r="C175" s="14" t="s">
        <v>397</v>
      </c>
      <c r="D175" s="14" t="s">
        <v>97</v>
      </c>
      <c r="F175" s="233">
        <v>109041205</v>
      </c>
      <c r="G175" s="193"/>
      <c r="H175" s="66">
        <f>IF(VLOOKUP($D175,$C$5:$AA$493,6,)=0,0,((VLOOKUP($D175,$C$5:$AA$493,6,)/VLOOKUP($D175,$C$5:$AA$493,4,))*$F175))</f>
        <v>32193190.155008759</v>
      </c>
      <c r="I175" s="66">
        <f>IF(VLOOKUP($D175,$C$5:$AA$493,7,)=0,0,((VLOOKUP($D175,$C$5:$AA$493,7,)/VLOOKUP($D175,$C$5:$AA$493,4,))*$F175))</f>
        <v>76848014.844991267</v>
      </c>
      <c r="J175" s="50"/>
      <c r="K175" s="50">
        <f>IF(VLOOKUP($D175,$C$5:$AA$493,9,)=0,0,((VLOOKUP($D175,$C$5:$AA$493,9,)/VLOOKUP($D175,$C$5:$AA$493,4,))*$F175))</f>
        <v>0</v>
      </c>
      <c r="L175" s="50"/>
      <c r="M175" s="50">
        <f>IF(VLOOKUP($D175,$C$5:$AA$493,11,)=0,0,((VLOOKUP($D175,$C$5:$AA$493,11,)/VLOOKUP($D175,$C$5:$AA$493,4,))*$F175))</f>
        <v>0</v>
      </c>
      <c r="N175" s="50"/>
      <c r="O175" s="50">
        <f>IF(VLOOKUP($D175,$C$5:$AA$493,13,)=0,0,((VLOOKUP($D175,$C$5:$AA$493,13,)/VLOOKUP($D175,$C$5:$AA$493,4,))*$F175))</f>
        <v>0</v>
      </c>
      <c r="P175" s="50">
        <f>IF(VLOOKUP($D175,$C$5:$AA$493,14,)=0,0,((VLOOKUP($D175,$C$5:$AA$493,14,)/VLOOKUP($D175,$C$5:$AA$493,4,))*$F175))</f>
        <v>0</v>
      </c>
      <c r="Q175" s="50"/>
      <c r="R175" s="50">
        <f>IF(VLOOKUP($D175,$C$5:$AA$493,16,)=0,0,((VLOOKUP($D175,$C$5:$AA$493,16,)/VLOOKUP($D175,$C$5:$AA$493,4,))*$F175))</f>
        <v>0</v>
      </c>
      <c r="S175" s="50">
        <f>IF(VLOOKUP($D175,$C$5:$AA$493,17,)=0,0,((VLOOKUP($D175,$C$5:$AA$493,17,)/VLOOKUP($D175,$C$5:$AA$493,4,))*$F175))</f>
        <v>0</v>
      </c>
      <c r="T175" s="50"/>
      <c r="U175" s="50">
        <f>IF(VLOOKUP($D175,$C$5:$AA$493,19,)=0,0,((VLOOKUP($D175,$C$5:$AA$493,19,)/VLOOKUP($D175,$C$5:$AA$493,4,))*$F175))</f>
        <v>0</v>
      </c>
      <c r="V175" s="50"/>
      <c r="W175" s="50">
        <f>IF(VLOOKUP($D175,$C$5:$AA$493,21,)=0,0,((VLOOKUP($D175,$C$5:$AA$493,21,)/VLOOKUP($D175,$C$5:$AA$493,4,))*$F175))</f>
        <v>0</v>
      </c>
      <c r="X175" s="50"/>
      <c r="Y175" s="50">
        <f>IF(VLOOKUP($D175,$C$5:$AA$493,23,)=0,0,((VLOOKUP($D175,$C$5:$AA$493,23,)/VLOOKUP($D175,$C$5:$AA$493,4,))*$F175))</f>
        <v>0</v>
      </c>
      <c r="Z175" s="50"/>
      <c r="AA175" s="50">
        <f>IF(VLOOKUP($D175,$C$5:$AA$493,25,)=0,0,((VLOOKUP($D175,$C$5:$AA$493,25,)/VLOOKUP($D175,$C$5:$AA$493,4,))*$F175))</f>
        <v>0</v>
      </c>
      <c r="AB175" s="50">
        <f>SUM(H175:AA175)</f>
        <v>109041205.00000003</v>
      </c>
      <c r="AC175" s="30" t="str">
        <f>IF(ABS(AB175-F175)&lt;1,"ok","err")</f>
        <v>ok</v>
      </c>
    </row>
    <row r="176" spans="1:29" x14ac:dyDescent="0.2">
      <c r="A176" s="14">
        <v>556</v>
      </c>
      <c r="B176" s="14" t="s">
        <v>908</v>
      </c>
      <c r="C176" s="14" t="s">
        <v>909</v>
      </c>
      <c r="D176" s="14" t="s">
        <v>97</v>
      </c>
      <c r="F176" s="234">
        <v>0</v>
      </c>
      <c r="G176" s="194"/>
      <c r="H176" s="50">
        <f>IF(VLOOKUP($D176,$C$5:$AA$493,6,)=0,0,((VLOOKUP($D176,$C$5:$AA$493,6,)/VLOOKUP($D176,$C$5:$AA$493,4,))*$F176))</f>
        <v>0</v>
      </c>
      <c r="I176" s="50">
        <f>IF(VLOOKUP($D176,$C$5:$AA$493,7,)=0,0,((VLOOKUP($D176,$C$5:$AA$493,7,)/VLOOKUP($D176,$C$5:$AA$493,4,))*$F176))</f>
        <v>0</v>
      </c>
      <c r="J176" s="50"/>
      <c r="K176" s="50">
        <f>IF(VLOOKUP($D176,$C$5:$AA$493,9,)=0,0,((VLOOKUP($D176,$C$5:$AA$493,9,)/VLOOKUP($D176,$C$5:$AA$493,4,))*$F176))</f>
        <v>0</v>
      </c>
      <c r="L176" s="50"/>
      <c r="M176" s="50">
        <f>IF(VLOOKUP($D176,$C$5:$AA$493,11,)=0,0,((VLOOKUP($D176,$C$5:$AA$493,11,)/VLOOKUP($D176,$C$5:$AA$493,4,))*$F176))</f>
        <v>0</v>
      </c>
      <c r="N176" s="50"/>
      <c r="O176" s="50">
        <f>IF(VLOOKUP($D176,$C$5:$AA$493,13,)=0,0,((VLOOKUP($D176,$C$5:$AA$493,13,)/VLOOKUP($D176,$C$5:$AA$493,4,))*$F176))</f>
        <v>0</v>
      </c>
      <c r="P176" s="50">
        <f>IF(VLOOKUP($D176,$C$5:$AA$493,14,)=0,0,((VLOOKUP($D176,$C$5:$AA$493,14,)/VLOOKUP($D176,$C$5:$AA$493,4,))*$F176))</f>
        <v>0</v>
      </c>
      <c r="Q176" s="50"/>
      <c r="R176" s="50">
        <f>IF(VLOOKUP($D176,$C$5:$AA$493,16,)=0,0,((VLOOKUP($D176,$C$5:$AA$493,16,)/VLOOKUP($D176,$C$5:$AA$493,4,))*$F176))</f>
        <v>0</v>
      </c>
      <c r="S176" s="50">
        <f>IF(VLOOKUP($D176,$C$5:$AA$493,17,)=0,0,((VLOOKUP($D176,$C$5:$AA$493,17,)/VLOOKUP($D176,$C$5:$AA$493,4,))*$F176))</f>
        <v>0</v>
      </c>
      <c r="T176" s="50"/>
      <c r="U176" s="50">
        <f>IF(VLOOKUP($D176,$C$5:$AA$493,19,)=0,0,((VLOOKUP($D176,$C$5:$AA$493,19,)/VLOOKUP($D176,$C$5:$AA$493,4,))*$F176))</f>
        <v>0</v>
      </c>
      <c r="V176" s="50"/>
      <c r="W176" s="50">
        <f>IF(VLOOKUP($D176,$C$5:$AA$493,21,)=0,0,((VLOOKUP($D176,$C$5:$AA$493,21,)/VLOOKUP($D176,$C$5:$AA$493,4,))*$F176))</f>
        <v>0</v>
      </c>
      <c r="X176" s="50"/>
      <c r="Y176" s="50">
        <f>IF(VLOOKUP($D176,$C$5:$AA$493,23,)=0,0,((VLOOKUP($D176,$C$5:$AA$493,23,)/VLOOKUP($D176,$C$5:$AA$493,4,))*$F176))</f>
        <v>0</v>
      </c>
      <c r="Z176" s="50"/>
      <c r="AA176" s="50">
        <f>IF(VLOOKUP($D176,$C$5:$AA$493,25,)=0,0,((VLOOKUP($D176,$C$5:$AA$493,25,)/VLOOKUP($D176,$C$5:$AA$493,4,))*$F176))</f>
        <v>0</v>
      </c>
      <c r="AB176" s="50">
        <f>SUM(H176:AA176)</f>
        <v>0</v>
      </c>
      <c r="AC176" s="30" t="str">
        <f>IF(ABS(AB176-F176)&lt;1,"ok","err")</f>
        <v>ok</v>
      </c>
    </row>
    <row r="177" spans="1:29" x14ac:dyDescent="0.2">
      <c r="A177" s="14">
        <v>557</v>
      </c>
      <c r="B177" s="14" t="s">
        <v>398</v>
      </c>
      <c r="C177" s="14" t="s">
        <v>400</v>
      </c>
      <c r="D177" s="14" t="s">
        <v>97</v>
      </c>
      <c r="F177" s="234">
        <v>0</v>
      </c>
      <c r="G177" s="194"/>
      <c r="H177" s="50">
        <f>IF(VLOOKUP($D177,$C$5:$AA$493,6,)=0,0,((VLOOKUP($D177,$C$5:$AA$493,6,)/VLOOKUP($D177,$C$5:$AA$493,4,))*$F177))</f>
        <v>0</v>
      </c>
      <c r="I177" s="50">
        <f>IF(VLOOKUP($D177,$C$5:$AA$493,7,)=0,0,((VLOOKUP($D177,$C$5:$AA$493,7,)/VLOOKUP($D177,$C$5:$AA$493,4,))*$F177))</f>
        <v>0</v>
      </c>
      <c r="J177" s="50"/>
      <c r="K177" s="50">
        <f>IF(VLOOKUP($D177,$C$5:$AA$493,9,)=0,0,((VLOOKUP($D177,$C$5:$AA$493,9,)/VLOOKUP($D177,$C$5:$AA$493,4,))*$F177))</f>
        <v>0</v>
      </c>
      <c r="L177" s="50"/>
      <c r="M177" s="50">
        <f>IF(VLOOKUP($D177,$C$5:$AA$493,11,)=0,0,((VLOOKUP($D177,$C$5:$AA$493,11,)/VLOOKUP($D177,$C$5:$AA$493,4,))*$F177))</f>
        <v>0</v>
      </c>
      <c r="N177" s="50"/>
      <c r="O177" s="50">
        <f>IF(VLOOKUP($D177,$C$5:$AA$493,13,)=0,0,((VLOOKUP($D177,$C$5:$AA$493,13,)/VLOOKUP($D177,$C$5:$AA$493,4,))*$F177))</f>
        <v>0</v>
      </c>
      <c r="P177" s="50">
        <f>IF(VLOOKUP($D177,$C$5:$AA$493,14,)=0,0,((VLOOKUP($D177,$C$5:$AA$493,14,)/VLOOKUP($D177,$C$5:$AA$493,4,))*$F177))</f>
        <v>0</v>
      </c>
      <c r="Q177" s="50"/>
      <c r="R177" s="50">
        <f>IF(VLOOKUP($D177,$C$5:$AA$493,16,)=0,0,((VLOOKUP($D177,$C$5:$AA$493,16,)/VLOOKUP($D177,$C$5:$AA$493,4,))*$F177))</f>
        <v>0</v>
      </c>
      <c r="S177" s="50">
        <f>IF(VLOOKUP($D177,$C$5:$AA$493,17,)=0,0,((VLOOKUP($D177,$C$5:$AA$493,17,)/VLOOKUP($D177,$C$5:$AA$493,4,))*$F177))</f>
        <v>0</v>
      </c>
      <c r="T177" s="50"/>
      <c r="U177" s="50">
        <f>IF(VLOOKUP($D177,$C$5:$AA$493,19,)=0,0,((VLOOKUP($D177,$C$5:$AA$493,19,)/VLOOKUP($D177,$C$5:$AA$493,4,))*$F177))</f>
        <v>0</v>
      </c>
      <c r="V177" s="50"/>
      <c r="W177" s="50">
        <f>IF(VLOOKUP($D177,$C$5:$AA$493,21,)=0,0,((VLOOKUP($D177,$C$5:$AA$493,21,)/VLOOKUP($D177,$C$5:$AA$493,4,))*$F177))</f>
        <v>0</v>
      </c>
      <c r="X177" s="50"/>
      <c r="Y177" s="50">
        <f>IF(VLOOKUP($D177,$C$5:$AA$493,23,)=0,0,((VLOOKUP($D177,$C$5:$AA$493,23,)/VLOOKUP($D177,$C$5:$AA$493,4,))*$F177))</f>
        <v>0</v>
      </c>
      <c r="Z177" s="50"/>
      <c r="AA177" s="50">
        <f>IF(VLOOKUP($D177,$C$5:$AA$493,25,)=0,0,((VLOOKUP($D177,$C$5:$AA$493,25,)/VLOOKUP($D177,$C$5:$AA$493,4,))*$F177))</f>
        <v>0</v>
      </c>
      <c r="AB177" s="50">
        <f>SUM(H177:AA177)</f>
        <v>0</v>
      </c>
      <c r="AC177" s="30" t="str">
        <f>IF(ABS(AB177-F177)&lt;1,"ok","err")</f>
        <v>ok</v>
      </c>
    </row>
    <row r="178" spans="1:29" x14ac:dyDescent="0.2">
      <c r="A178" s="14">
        <v>559</v>
      </c>
      <c r="B178" s="14" t="s">
        <v>831</v>
      </c>
      <c r="C178" s="14" t="s">
        <v>832</v>
      </c>
      <c r="D178" s="14" t="s">
        <v>97</v>
      </c>
      <c r="F178" s="234">
        <v>0</v>
      </c>
      <c r="G178" s="194"/>
      <c r="H178" s="50">
        <f>IF(VLOOKUP($D178,$C$5:$AA$493,6,)=0,0,((VLOOKUP($D178,$C$5:$AA$493,6,)/VLOOKUP($D178,$C$5:$AA$493,4,))*$F178))</f>
        <v>0</v>
      </c>
      <c r="I178" s="50">
        <f>IF(VLOOKUP($D178,$C$5:$AA$493,7,)=0,0,((VLOOKUP($D178,$C$5:$AA$493,7,)/VLOOKUP($D178,$C$5:$AA$493,4,))*$F178))</f>
        <v>0</v>
      </c>
      <c r="J178" s="50"/>
      <c r="K178" s="50">
        <f>IF(VLOOKUP($D178,$C$5:$AA$493,9,)=0,0,((VLOOKUP($D178,$C$5:$AA$493,9,)/VLOOKUP($D178,$C$5:$AA$493,4,))*$F178))</f>
        <v>0</v>
      </c>
      <c r="L178" s="50"/>
      <c r="M178" s="50">
        <f>IF(VLOOKUP($D178,$C$5:$AA$493,11,)=0,0,((VLOOKUP($D178,$C$5:$AA$493,11,)/VLOOKUP($D178,$C$5:$AA$493,4,))*$F178))</f>
        <v>0</v>
      </c>
      <c r="N178" s="50"/>
      <c r="O178" s="50">
        <f>IF(VLOOKUP($D178,$C$5:$AA$493,13,)=0,0,((VLOOKUP($D178,$C$5:$AA$493,13,)/VLOOKUP($D178,$C$5:$AA$493,4,))*$F178))</f>
        <v>0</v>
      </c>
      <c r="P178" s="50">
        <f>IF(VLOOKUP($D178,$C$5:$AA$493,14,)=0,0,((VLOOKUP($D178,$C$5:$AA$493,14,)/VLOOKUP($D178,$C$5:$AA$493,4,))*$F178))</f>
        <v>0</v>
      </c>
      <c r="Q178" s="50"/>
      <c r="R178" s="50">
        <f>IF(VLOOKUP($D178,$C$5:$AA$493,16,)=0,0,((VLOOKUP($D178,$C$5:$AA$493,16,)/VLOOKUP($D178,$C$5:$AA$493,4,))*$F178))</f>
        <v>0</v>
      </c>
      <c r="S178" s="50">
        <f>IF(VLOOKUP($D178,$C$5:$AA$493,17,)=0,0,((VLOOKUP($D178,$C$5:$AA$493,17,)/VLOOKUP($D178,$C$5:$AA$493,4,))*$F178))</f>
        <v>0</v>
      </c>
      <c r="T178" s="50"/>
      <c r="U178" s="50">
        <f>IF(VLOOKUP($D178,$C$5:$AA$493,19,)=0,0,((VLOOKUP($D178,$C$5:$AA$493,19,)/VLOOKUP($D178,$C$5:$AA$493,4,))*$F178))</f>
        <v>0</v>
      </c>
      <c r="V178" s="50"/>
      <c r="W178" s="50">
        <f>IF(VLOOKUP($D178,$C$5:$AA$493,21,)=0,0,((VLOOKUP($D178,$C$5:$AA$493,21,)/VLOOKUP($D178,$C$5:$AA$493,4,))*$F178))</f>
        <v>0</v>
      </c>
      <c r="X178" s="50"/>
      <c r="Y178" s="50">
        <f>IF(VLOOKUP($D178,$C$5:$AA$493,23,)=0,0,((VLOOKUP($D178,$C$5:$AA$493,23,)/VLOOKUP($D178,$C$5:$AA$493,4,))*$F178))</f>
        <v>0</v>
      </c>
      <c r="Z178" s="50"/>
      <c r="AA178" s="50">
        <f>IF(VLOOKUP($D178,$C$5:$AA$493,25,)=0,0,((VLOOKUP($D178,$C$5:$AA$493,25,)/VLOOKUP($D178,$C$5:$AA$493,4,))*$F178))</f>
        <v>0</v>
      </c>
      <c r="AB178" s="50">
        <f>SUM(H178:AA178)</f>
        <v>0</v>
      </c>
      <c r="AC178" s="30" t="str">
        <f>IF(ABS(AB178-F178)&lt;1,"ok","err")</f>
        <v>ok</v>
      </c>
    </row>
    <row r="179" spans="1:29" x14ac:dyDescent="0.2">
      <c r="F179" s="233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50"/>
      <c r="AC179" s="30"/>
    </row>
    <row r="180" spans="1:29" x14ac:dyDescent="0.2">
      <c r="A180" s="14" t="s">
        <v>399</v>
      </c>
      <c r="C180" s="14" t="s">
        <v>401</v>
      </c>
      <c r="F180" s="233">
        <f>SUM(F175:F179)</f>
        <v>109041205</v>
      </c>
      <c r="G180" s="66"/>
      <c r="H180" s="66">
        <f>SUM(H175:H179)</f>
        <v>32193190.155008759</v>
      </c>
      <c r="I180" s="66">
        <f t="shared" ref="I180:AA180" si="92">SUM(I175:I179)</f>
        <v>76848014.844991267</v>
      </c>
      <c r="J180" s="66"/>
      <c r="K180" s="66">
        <f t="shared" si="92"/>
        <v>0</v>
      </c>
      <c r="L180" s="66"/>
      <c r="M180" s="66">
        <f t="shared" si="92"/>
        <v>0</v>
      </c>
      <c r="N180" s="66"/>
      <c r="O180" s="66">
        <f t="shared" si="92"/>
        <v>0</v>
      </c>
      <c r="P180" s="66">
        <f t="shared" si="92"/>
        <v>0</v>
      </c>
      <c r="Q180" s="66"/>
      <c r="R180" s="66">
        <f t="shared" si="92"/>
        <v>0</v>
      </c>
      <c r="S180" s="66">
        <f t="shared" si="92"/>
        <v>0</v>
      </c>
      <c r="T180" s="66"/>
      <c r="U180" s="66">
        <f t="shared" si="92"/>
        <v>0</v>
      </c>
      <c r="V180" s="66"/>
      <c r="W180" s="66">
        <f t="shared" si="92"/>
        <v>0</v>
      </c>
      <c r="X180" s="66"/>
      <c r="Y180" s="66">
        <f t="shared" si="92"/>
        <v>0</v>
      </c>
      <c r="Z180" s="66"/>
      <c r="AA180" s="66">
        <f t="shared" si="92"/>
        <v>0</v>
      </c>
      <c r="AB180" s="50">
        <f>SUM(H180:AA180)</f>
        <v>109041205.00000003</v>
      </c>
      <c r="AC180" s="30" t="str">
        <f>IF(ABS(AB180-F180)&lt;1,"ok","err")</f>
        <v>ok</v>
      </c>
    </row>
    <row r="181" spans="1:29" x14ac:dyDescent="0.2">
      <c r="F181" s="233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50"/>
      <c r="AC181" s="30"/>
    </row>
    <row r="182" spans="1:29" x14ac:dyDescent="0.2">
      <c r="A182" s="13" t="s">
        <v>371</v>
      </c>
      <c r="F182" s="233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50"/>
      <c r="AC182" s="30"/>
    </row>
    <row r="183" spans="1:29" x14ac:dyDescent="0.2">
      <c r="A183" s="14">
        <v>560</v>
      </c>
      <c r="B183" s="14" t="s">
        <v>374</v>
      </c>
      <c r="C183" s="14" t="s">
        <v>403</v>
      </c>
      <c r="D183" s="14" t="s">
        <v>390</v>
      </c>
      <c r="F183" s="233">
        <v>0</v>
      </c>
      <c r="G183" s="193"/>
      <c r="H183" s="50">
        <f t="shared" ref="H183:H197" si="93">IF((VLOOKUP($D183,$C$5:$AA$493,6,)=0),0,((VLOOKUP($D183,$C$5:$AA$493,6,)/VLOOKUP($D183,$C$5:$AA$493,4,))*$F183))</f>
        <v>0</v>
      </c>
      <c r="I183" s="50">
        <f t="shared" ref="I183:I197" si="94">IF((VLOOKUP($D183,$C$5:$AA$493,7,)=0),0,((VLOOKUP($D183,$C$5:$AA$493,7,)/VLOOKUP($D183,$C$5:$AA$493,4,))*$F183))</f>
        <v>0</v>
      </c>
      <c r="J183" s="50"/>
      <c r="K183" s="50">
        <f t="shared" ref="K183:K197" si="95">IF((VLOOKUP($D183,$C$5:$AA$493,9,)=0),0,((VLOOKUP($D183,$C$5:$AA$493,9,)/VLOOKUP($D183,$C$5:$AA$493,4,))*$F183))</f>
        <v>0</v>
      </c>
      <c r="L183" s="50"/>
      <c r="M183" s="50">
        <f t="shared" ref="M183:M197" si="96">IF((VLOOKUP($D183,$C$5:$AA$493,11,)=0),0,((VLOOKUP($D183,$C$5:$AA$493,11,)/VLOOKUP($D183,$C$5:$AA$493,4,))*$F183))</f>
        <v>0</v>
      </c>
      <c r="N183" s="50"/>
      <c r="O183" s="50">
        <f t="shared" ref="O183:O197" si="97">IF((VLOOKUP($D183,$C$5:$AA$493,13,)=0),0,((VLOOKUP($D183,$C$5:$AA$493,13,)/VLOOKUP($D183,$C$5:$AA$493,4,))*$F183))</f>
        <v>0</v>
      </c>
      <c r="P183" s="50">
        <f t="shared" ref="P183:P197" si="98">IF((VLOOKUP($D183,$C$5:$AA$493,14,)=0),0,((VLOOKUP($D183,$C$5:$AA$493,14,)/VLOOKUP($D183,$C$5:$AA$493,4,))*$F183))</f>
        <v>0</v>
      </c>
      <c r="Q183" s="50"/>
      <c r="R183" s="50">
        <f t="shared" ref="R183:R197" si="99">IF((VLOOKUP($D183,$C$5:$AA$493,16,)=0),0,((VLOOKUP($D183,$C$5:$AA$493,16,)/VLOOKUP($D183,$C$5:$AA$493,4,))*$F183))</f>
        <v>0</v>
      </c>
      <c r="S183" s="50">
        <f t="shared" ref="S183:S197" si="100">IF((VLOOKUP($D183,$C$5:$AA$493,17,)=0),0,((VLOOKUP($D183,$C$5:$AA$493,17,)/VLOOKUP($D183,$C$5:$AA$493,4,))*$F183))</f>
        <v>0</v>
      </c>
      <c r="T183" s="50"/>
      <c r="U183" s="50">
        <f t="shared" ref="U183:U197" si="101">IF((VLOOKUP($D183,$C$5:$AA$493,19,)=0),0,((VLOOKUP($D183,$C$5:$AA$493,19,)/VLOOKUP($D183,$C$5:$AA$493,4,))*$F183))</f>
        <v>0</v>
      </c>
      <c r="V183" s="50"/>
      <c r="W183" s="50">
        <f t="shared" ref="W183:W197" si="102">IF((VLOOKUP($D183,$C$5:$AA$493,21,)=0),0,((VLOOKUP($D183,$C$5:$AA$493,21,)/VLOOKUP($D183,$C$5:$AA$493,4,))*$F183))</f>
        <v>0</v>
      </c>
      <c r="X183" s="50"/>
      <c r="Y183" s="50">
        <f t="shared" ref="Y183:Y197" si="103">IF((VLOOKUP($D183,$C$5:$AA$493,23,)=0),0,((VLOOKUP($D183,$C$5:$AA$493,23,)/VLOOKUP($D183,$C$5:$AA$493,4,))*$F183))</f>
        <v>0</v>
      </c>
      <c r="Z183" s="50"/>
      <c r="AA183" s="50">
        <f t="shared" ref="AA183:AA197" si="104">IF((VLOOKUP($D183,$C$5:$AA$493,25,)=0),0,((VLOOKUP($D183,$C$5:$AA$493,25,)/VLOOKUP($D183,$C$5:$AA$493,4,))*$F183))</f>
        <v>0</v>
      </c>
      <c r="AB183" s="50">
        <f t="shared" ref="AB183:AB197" si="105">SUM(H183:AA183)</f>
        <v>0</v>
      </c>
      <c r="AC183" s="30" t="str">
        <f t="shared" ref="AC183:AC197" si="106">IF(ABS(AB183-F183)&lt;1,"ok","err")</f>
        <v>ok</v>
      </c>
    </row>
    <row r="184" spans="1:29" x14ac:dyDescent="0.2">
      <c r="A184" s="14">
        <v>561</v>
      </c>
      <c r="B184" s="14" t="s">
        <v>101</v>
      </c>
      <c r="C184" s="14" t="s">
        <v>404</v>
      </c>
      <c r="D184" s="14" t="s">
        <v>390</v>
      </c>
      <c r="F184" s="234">
        <v>0</v>
      </c>
      <c r="G184" s="194"/>
      <c r="H184" s="50">
        <f t="shared" si="93"/>
        <v>0</v>
      </c>
      <c r="I184" s="50">
        <f t="shared" si="94"/>
        <v>0</v>
      </c>
      <c r="J184" s="50"/>
      <c r="K184" s="50">
        <f t="shared" si="95"/>
        <v>0</v>
      </c>
      <c r="L184" s="50"/>
      <c r="M184" s="50">
        <f t="shared" si="96"/>
        <v>0</v>
      </c>
      <c r="N184" s="50"/>
      <c r="O184" s="50">
        <f t="shared" si="97"/>
        <v>0</v>
      </c>
      <c r="P184" s="50">
        <f t="shared" si="98"/>
        <v>0</v>
      </c>
      <c r="Q184" s="50"/>
      <c r="R184" s="50">
        <f t="shared" si="99"/>
        <v>0</v>
      </c>
      <c r="S184" s="50">
        <f t="shared" si="100"/>
        <v>0</v>
      </c>
      <c r="T184" s="50"/>
      <c r="U184" s="50">
        <f t="shared" si="101"/>
        <v>0</v>
      </c>
      <c r="V184" s="50"/>
      <c r="W184" s="50">
        <f t="shared" si="102"/>
        <v>0</v>
      </c>
      <c r="X184" s="50"/>
      <c r="Y184" s="50">
        <f t="shared" si="103"/>
        <v>0</v>
      </c>
      <c r="Z184" s="50"/>
      <c r="AA184" s="50">
        <f t="shared" si="104"/>
        <v>0</v>
      </c>
      <c r="AB184" s="50">
        <f t="shared" si="105"/>
        <v>0</v>
      </c>
      <c r="AC184" s="30" t="str">
        <f t="shared" si="106"/>
        <v>ok</v>
      </c>
    </row>
    <row r="185" spans="1:29" x14ac:dyDescent="0.2">
      <c r="A185" s="14">
        <v>562</v>
      </c>
      <c r="B185" s="14" t="s">
        <v>372</v>
      </c>
      <c r="C185" s="14" t="s">
        <v>405</v>
      </c>
      <c r="D185" s="14" t="s">
        <v>390</v>
      </c>
      <c r="F185" s="234">
        <v>0</v>
      </c>
      <c r="G185" s="194"/>
      <c r="H185" s="50">
        <f t="shared" si="93"/>
        <v>0</v>
      </c>
      <c r="I185" s="50">
        <f t="shared" si="94"/>
        <v>0</v>
      </c>
      <c r="J185" s="50"/>
      <c r="K185" s="50">
        <f t="shared" si="95"/>
        <v>0</v>
      </c>
      <c r="L185" s="50"/>
      <c r="M185" s="50">
        <f t="shared" si="96"/>
        <v>0</v>
      </c>
      <c r="N185" s="50"/>
      <c r="O185" s="50">
        <f t="shared" si="97"/>
        <v>0</v>
      </c>
      <c r="P185" s="50">
        <f t="shared" si="98"/>
        <v>0</v>
      </c>
      <c r="Q185" s="50"/>
      <c r="R185" s="50">
        <f t="shared" si="99"/>
        <v>0</v>
      </c>
      <c r="S185" s="50">
        <f t="shared" si="100"/>
        <v>0</v>
      </c>
      <c r="T185" s="50"/>
      <c r="U185" s="50">
        <f t="shared" si="101"/>
        <v>0</v>
      </c>
      <c r="V185" s="50"/>
      <c r="W185" s="50">
        <f t="shared" si="102"/>
        <v>0</v>
      </c>
      <c r="X185" s="50"/>
      <c r="Y185" s="50">
        <f t="shared" si="103"/>
        <v>0</v>
      </c>
      <c r="Z185" s="50"/>
      <c r="AA185" s="50">
        <f t="shared" si="104"/>
        <v>0</v>
      </c>
      <c r="AB185" s="50">
        <f t="shared" si="105"/>
        <v>0</v>
      </c>
      <c r="AC185" s="30" t="str">
        <f t="shared" si="106"/>
        <v>ok</v>
      </c>
    </row>
    <row r="186" spans="1:29" x14ac:dyDescent="0.2">
      <c r="A186" s="14">
        <v>563</v>
      </c>
      <c r="B186" s="14" t="s">
        <v>103</v>
      </c>
      <c r="C186" s="14" t="s">
        <v>406</v>
      </c>
      <c r="D186" s="14" t="s">
        <v>390</v>
      </c>
      <c r="F186" s="234">
        <v>0</v>
      </c>
      <c r="G186" s="194"/>
      <c r="H186" s="50">
        <f t="shared" si="93"/>
        <v>0</v>
      </c>
      <c r="I186" s="50">
        <f t="shared" si="94"/>
        <v>0</v>
      </c>
      <c r="J186" s="50"/>
      <c r="K186" s="50">
        <f t="shared" si="95"/>
        <v>0</v>
      </c>
      <c r="L186" s="50"/>
      <c r="M186" s="50">
        <f t="shared" si="96"/>
        <v>0</v>
      </c>
      <c r="N186" s="50"/>
      <c r="O186" s="50">
        <f t="shared" si="97"/>
        <v>0</v>
      </c>
      <c r="P186" s="50">
        <f t="shared" si="98"/>
        <v>0</v>
      </c>
      <c r="Q186" s="50"/>
      <c r="R186" s="50">
        <f t="shared" si="99"/>
        <v>0</v>
      </c>
      <c r="S186" s="50">
        <f t="shared" si="100"/>
        <v>0</v>
      </c>
      <c r="T186" s="50"/>
      <c r="U186" s="50">
        <f t="shared" si="101"/>
        <v>0</v>
      </c>
      <c r="V186" s="50"/>
      <c r="W186" s="50">
        <f t="shared" si="102"/>
        <v>0</v>
      </c>
      <c r="X186" s="50"/>
      <c r="Y186" s="50">
        <f t="shared" si="103"/>
        <v>0</v>
      </c>
      <c r="Z186" s="50"/>
      <c r="AA186" s="50">
        <f t="shared" si="104"/>
        <v>0</v>
      </c>
      <c r="AB186" s="50">
        <f t="shared" si="105"/>
        <v>0</v>
      </c>
      <c r="AC186" s="30" t="str">
        <f t="shared" si="106"/>
        <v>ok</v>
      </c>
    </row>
    <row r="187" spans="1:29" x14ac:dyDescent="0.2">
      <c r="A187" s="14">
        <v>564</v>
      </c>
      <c r="B187" s="14" t="s">
        <v>105</v>
      </c>
      <c r="C187" s="14" t="s">
        <v>911</v>
      </c>
      <c r="D187" s="14" t="s">
        <v>390</v>
      </c>
      <c r="F187" s="234">
        <v>0</v>
      </c>
      <c r="G187" s="194"/>
      <c r="H187" s="50">
        <f t="shared" si="93"/>
        <v>0</v>
      </c>
      <c r="I187" s="50">
        <f t="shared" si="94"/>
        <v>0</v>
      </c>
      <c r="J187" s="50"/>
      <c r="K187" s="50">
        <f t="shared" si="95"/>
        <v>0</v>
      </c>
      <c r="L187" s="50"/>
      <c r="M187" s="50">
        <f t="shared" si="96"/>
        <v>0</v>
      </c>
      <c r="N187" s="50"/>
      <c r="O187" s="50">
        <f t="shared" si="97"/>
        <v>0</v>
      </c>
      <c r="P187" s="50">
        <f t="shared" si="98"/>
        <v>0</v>
      </c>
      <c r="Q187" s="50"/>
      <c r="R187" s="50">
        <f t="shared" si="99"/>
        <v>0</v>
      </c>
      <c r="S187" s="50">
        <f t="shared" si="100"/>
        <v>0</v>
      </c>
      <c r="T187" s="50"/>
      <c r="U187" s="50">
        <f t="shared" si="101"/>
        <v>0</v>
      </c>
      <c r="V187" s="50"/>
      <c r="W187" s="50">
        <f t="shared" si="102"/>
        <v>0</v>
      </c>
      <c r="X187" s="50"/>
      <c r="Y187" s="50">
        <f t="shared" si="103"/>
        <v>0</v>
      </c>
      <c r="Z187" s="50"/>
      <c r="AA187" s="50">
        <f t="shared" si="104"/>
        <v>0</v>
      </c>
      <c r="AB187" s="50">
        <f>SUM(H187:AA187)</f>
        <v>0</v>
      </c>
      <c r="AC187" s="30" t="str">
        <f>IF(ABS(AB187-F187)&lt;1,"ok","err")</f>
        <v>ok</v>
      </c>
    </row>
    <row r="188" spans="1:29" x14ac:dyDescent="0.2">
      <c r="A188" s="14">
        <v>565</v>
      </c>
      <c r="B188" s="14" t="s">
        <v>910</v>
      </c>
      <c r="C188" s="14" t="s">
        <v>912</v>
      </c>
      <c r="D188" s="14" t="s">
        <v>390</v>
      </c>
      <c r="F188" s="234">
        <v>0</v>
      </c>
      <c r="G188" s="194"/>
      <c r="H188" s="50">
        <f t="shared" si="93"/>
        <v>0</v>
      </c>
      <c r="I188" s="50">
        <f t="shared" si="94"/>
        <v>0</v>
      </c>
      <c r="J188" s="50"/>
      <c r="K188" s="50">
        <f t="shared" si="95"/>
        <v>0</v>
      </c>
      <c r="L188" s="50"/>
      <c r="M188" s="50">
        <f t="shared" si="96"/>
        <v>0</v>
      </c>
      <c r="N188" s="50"/>
      <c r="O188" s="50">
        <f t="shared" si="97"/>
        <v>0</v>
      </c>
      <c r="P188" s="50">
        <f t="shared" si="98"/>
        <v>0</v>
      </c>
      <c r="Q188" s="50"/>
      <c r="R188" s="50">
        <f t="shared" si="99"/>
        <v>0</v>
      </c>
      <c r="S188" s="50">
        <f t="shared" si="100"/>
        <v>0</v>
      </c>
      <c r="T188" s="50"/>
      <c r="U188" s="50">
        <f t="shared" si="101"/>
        <v>0</v>
      </c>
      <c r="V188" s="50"/>
      <c r="W188" s="50">
        <f t="shared" si="102"/>
        <v>0</v>
      </c>
      <c r="X188" s="50"/>
      <c r="Y188" s="50">
        <f t="shared" si="103"/>
        <v>0</v>
      </c>
      <c r="Z188" s="50"/>
      <c r="AA188" s="50">
        <f t="shared" si="104"/>
        <v>0</v>
      </c>
      <c r="AB188" s="50">
        <f>SUM(H188:AA188)</f>
        <v>0</v>
      </c>
      <c r="AC188" s="30" t="str">
        <f>IF(ABS(AB188-F188)&lt;1,"ok","err")</f>
        <v>ok</v>
      </c>
    </row>
    <row r="189" spans="1:29" x14ac:dyDescent="0.2">
      <c r="A189" s="14">
        <v>566</v>
      </c>
      <c r="B189" s="14" t="s">
        <v>585</v>
      </c>
      <c r="C189" s="14" t="s">
        <v>586</v>
      </c>
      <c r="D189" s="14" t="s">
        <v>390</v>
      </c>
      <c r="F189" s="234">
        <v>0</v>
      </c>
      <c r="G189" s="194"/>
      <c r="H189" s="50">
        <f t="shared" si="93"/>
        <v>0</v>
      </c>
      <c r="I189" s="50">
        <f t="shared" si="94"/>
        <v>0</v>
      </c>
      <c r="J189" s="50"/>
      <c r="K189" s="50">
        <f t="shared" si="95"/>
        <v>0</v>
      </c>
      <c r="L189" s="50"/>
      <c r="M189" s="50">
        <f t="shared" si="96"/>
        <v>0</v>
      </c>
      <c r="N189" s="50"/>
      <c r="O189" s="50">
        <f t="shared" si="97"/>
        <v>0</v>
      </c>
      <c r="P189" s="50">
        <f t="shared" si="98"/>
        <v>0</v>
      </c>
      <c r="Q189" s="50"/>
      <c r="R189" s="50">
        <f t="shared" si="99"/>
        <v>0</v>
      </c>
      <c r="S189" s="50">
        <f t="shared" si="100"/>
        <v>0</v>
      </c>
      <c r="T189" s="50"/>
      <c r="U189" s="50">
        <f t="shared" si="101"/>
        <v>0</v>
      </c>
      <c r="V189" s="50"/>
      <c r="W189" s="50">
        <f t="shared" si="102"/>
        <v>0</v>
      </c>
      <c r="X189" s="50"/>
      <c r="Y189" s="50">
        <f t="shared" si="103"/>
        <v>0</v>
      </c>
      <c r="Z189" s="50"/>
      <c r="AA189" s="50">
        <f t="shared" si="104"/>
        <v>0</v>
      </c>
      <c r="AB189" s="50">
        <f>SUM(H189:AA189)</f>
        <v>0</v>
      </c>
      <c r="AC189" s="30" t="str">
        <f>IF(ABS(AB189-F189)&lt;1,"ok","err")</f>
        <v>ok</v>
      </c>
    </row>
    <row r="190" spans="1:29" x14ac:dyDescent="0.2">
      <c r="A190" s="14">
        <v>567</v>
      </c>
      <c r="B190" s="14" t="s">
        <v>115</v>
      </c>
      <c r="C190" s="14" t="s">
        <v>913</v>
      </c>
      <c r="D190" s="14" t="s">
        <v>390</v>
      </c>
      <c r="F190" s="234">
        <v>0</v>
      </c>
      <c r="G190" s="194"/>
      <c r="H190" s="50">
        <f t="shared" si="93"/>
        <v>0</v>
      </c>
      <c r="I190" s="50">
        <f t="shared" si="94"/>
        <v>0</v>
      </c>
      <c r="J190" s="50"/>
      <c r="K190" s="50">
        <f t="shared" si="95"/>
        <v>0</v>
      </c>
      <c r="L190" s="50"/>
      <c r="M190" s="50">
        <f t="shared" si="96"/>
        <v>0</v>
      </c>
      <c r="N190" s="50"/>
      <c r="O190" s="50">
        <f t="shared" si="97"/>
        <v>0</v>
      </c>
      <c r="P190" s="50">
        <f t="shared" si="98"/>
        <v>0</v>
      </c>
      <c r="Q190" s="50"/>
      <c r="R190" s="50">
        <f t="shared" si="99"/>
        <v>0</v>
      </c>
      <c r="S190" s="50">
        <f t="shared" si="100"/>
        <v>0</v>
      </c>
      <c r="T190" s="50"/>
      <c r="U190" s="50">
        <f t="shared" si="101"/>
        <v>0</v>
      </c>
      <c r="V190" s="50"/>
      <c r="W190" s="50">
        <f t="shared" si="102"/>
        <v>0</v>
      </c>
      <c r="X190" s="50"/>
      <c r="Y190" s="50">
        <f t="shared" si="103"/>
        <v>0</v>
      </c>
      <c r="Z190" s="50"/>
      <c r="AA190" s="50">
        <f t="shared" si="104"/>
        <v>0</v>
      </c>
      <c r="AB190" s="50">
        <f>SUM(H190:AA190)</f>
        <v>0</v>
      </c>
      <c r="AC190" s="30" t="str">
        <f>IF(ABS(AB190-F190)&lt;1,"ok","err")</f>
        <v>ok</v>
      </c>
    </row>
    <row r="191" spans="1:29" x14ac:dyDescent="0.2">
      <c r="A191" s="14">
        <v>568</v>
      </c>
      <c r="B191" s="14" t="s">
        <v>914</v>
      </c>
      <c r="C191" s="14" t="s">
        <v>407</v>
      </c>
      <c r="D191" s="14" t="s">
        <v>390</v>
      </c>
      <c r="F191" s="234">
        <v>0</v>
      </c>
      <c r="G191" s="194"/>
      <c r="H191" s="50">
        <f t="shared" si="93"/>
        <v>0</v>
      </c>
      <c r="I191" s="50">
        <f t="shared" si="94"/>
        <v>0</v>
      </c>
      <c r="J191" s="50"/>
      <c r="K191" s="50">
        <f t="shared" si="95"/>
        <v>0</v>
      </c>
      <c r="L191" s="50"/>
      <c r="M191" s="50">
        <f t="shared" si="96"/>
        <v>0</v>
      </c>
      <c r="N191" s="50"/>
      <c r="O191" s="50">
        <f t="shared" si="97"/>
        <v>0</v>
      </c>
      <c r="P191" s="50">
        <f t="shared" si="98"/>
        <v>0</v>
      </c>
      <c r="Q191" s="50"/>
      <c r="R191" s="50">
        <f t="shared" si="99"/>
        <v>0</v>
      </c>
      <c r="S191" s="50">
        <f t="shared" si="100"/>
        <v>0</v>
      </c>
      <c r="T191" s="50"/>
      <c r="U191" s="50">
        <f t="shared" si="101"/>
        <v>0</v>
      </c>
      <c r="V191" s="50"/>
      <c r="W191" s="50">
        <f t="shared" si="102"/>
        <v>0</v>
      </c>
      <c r="X191" s="50"/>
      <c r="Y191" s="50">
        <f t="shared" si="103"/>
        <v>0</v>
      </c>
      <c r="Z191" s="50"/>
      <c r="AA191" s="50">
        <f t="shared" si="104"/>
        <v>0</v>
      </c>
      <c r="AB191" s="50">
        <f>SUM(H191:AA191)</f>
        <v>0</v>
      </c>
      <c r="AC191" s="30" t="str">
        <f>IF(ABS(AB191-F191)&lt;1,"ok","err")</f>
        <v>ok</v>
      </c>
    </row>
    <row r="192" spans="1:29" x14ac:dyDescent="0.2">
      <c r="A192" s="14">
        <v>569</v>
      </c>
      <c r="B192" s="14" t="s">
        <v>802</v>
      </c>
      <c r="C192" s="14" t="s">
        <v>915</v>
      </c>
      <c r="D192" s="14" t="s">
        <v>390</v>
      </c>
      <c r="F192" s="234">
        <v>0</v>
      </c>
      <c r="G192" s="194"/>
      <c r="H192" s="50">
        <f t="shared" si="93"/>
        <v>0</v>
      </c>
      <c r="I192" s="50">
        <f t="shared" si="94"/>
        <v>0</v>
      </c>
      <c r="J192" s="50"/>
      <c r="K192" s="50">
        <f t="shared" si="95"/>
        <v>0</v>
      </c>
      <c r="L192" s="50"/>
      <c r="M192" s="50">
        <f t="shared" si="96"/>
        <v>0</v>
      </c>
      <c r="N192" s="50"/>
      <c r="O192" s="50">
        <f t="shared" si="97"/>
        <v>0</v>
      </c>
      <c r="P192" s="50">
        <f t="shared" si="98"/>
        <v>0</v>
      </c>
      <c r="Q192" s="50"/>
      <c r="R192" s="50">
        <f t="shared" si="99"/>
        <v>0</v>
      </c>
      <c r="S192" s="50">
        <f t="shared" si="100"/>
        <v>0</v>
      </c>
      <c r="T192" s="50"/>
      <c r="U192" s="50">
        <f t="shared" si="101"/>
        <v>0</v>
      </c>
      <c r="V192" s="50"/>
      <c r="W192" s="50">
        <f t="shared" si="102"/>
        <v>0</v>
      </c>
      <c r="X192" s="50"/>
      <c r="Y192" s="50">
        <f t="shared" si="103"/>
        <v>0</v>
      </c>
      <c r="Z192" s="50"/>
      <c r="AA192" s="50">
        <f t="shared" si="104"/>
        <v>0</v>
      </c>
      <c r="AB192" s="50">
        <f t="shared" si="105"/>
        <v>0</v>
      </c>
      <c r="AC192" s="30" t="str">
        <f t="shared" si="106"/>
        <v>ok</v>
      </c>
    </row>
    <row r="193" spans="1:29" x14ac:dyDescent="0.2">
      <c r="A193" s="14">
        <v>570</v>
      </c>
      <c r="B193" s="14" t="s">
        <v>375</v>
      </c>
      <c r="C193" s="14" t="s">
        <v>408</v>
      </c>
      <c r="D193" s="14" t="s">
        <v>390</v>
      </c>
      <c r="F193" s="234">
        <v>0</v>
      </c>
      <c r="G193" s="194"/>
      <c r="H193" s="50">
        <f t="shared" si="93"/>
        <v>0</v>
      </c>
      <c r="I193" s="50">
        <f t="shared" si="94"/>
        <v>0</v>
      </c>
      <c r="J193" s="50"/>
      <c r="K193" s="50">
        <f t="shared" si="95"/>
        <v>0</v>
      </c>
      <c r="L193" s="50"/>
      <c r="M193" s="50">
        <f t="shared" si="96"/>
        <v>0</v>
      </c>
      <c r="N193" s="50"/>
      <c r="O193" s="50">
        <f t="shared" si="97"/>
        <v>0</v>
      </c>
      <c r="P193" s="50">
        <f t="shared" si="98"/>
        <v>0</v>
      </c>
      <c r="Q193" s="50"/>
      <c r="R193" s="50">
        <f t="shared" si="99"/>
        <v>0</v>
      </c>
      <c r="S193" s="50">
        <f t="shared" si="100"/>
        <v>0</v>
      </c>
      <c r="T193" s="50"/>
      <c r="U193" s="50">
        <f t="shared" si="101"/>
        <v>0</v>
      </c>
      <c r="V193" s="50"/>
      <c r="W193" s="50">
        <f t="shared" si="102"/>
        <v>0</v>
      </c>
      <c r="X193" s="50"/>
      <c r="Y193" s="50">
        <f t="shared" si="103"/>
        <v>0</v>
      </c>
      <c r="Z193" s="50"/>
      <c r="AA193" s="50">
        <f t="shared" si="104"/>
        <v>0</v>
      </c>
      <c r="AB193" s="50">
        <f t="shared" si="105"/>
        <v>0</v>
      </c>
      <c r="AC193" s="30" t="str">
        <f t="shared" si="106"/>
        <v>ok</v>
      </c>
    </row>
    <row r="194" spans="1:29" x14ac:dyDescent="0.2">
      <c r="A194" s="14">
        <v>571</v>
      </c>
      <c r="B194" s="14" t="s">
        <v>376</v>
      </c>
      <c r="C194" s="14" t="s">
        <v>409</v>
      </c>
      <c r="D194" s="14" t="s">
        <v>390</v>
      </c>
      <c r="F194" s="234">
        <v>0</v>
      </c>
      <c r="G194" s="194"/>
      <c r="H194" s="50">
        <f t="shared" si="93"/>
        <v>0</v>
      </c>
      <c r="I194" s="50">
        <f t="shared" si="94"/>
        <v>0</v>
      </c>
      <c r="J194" s="50"/>
      <c r="K194" s="50">
        <f t="shared" si="95"/>
        <v>0</v>
      </c>
      <c r="L194" s="50"/>
      <c r="M194" s="50">
        <f t="shared" si="96"/>
        <v>0</v>
      </c>
      <c r="N194" s="50"/>
      <c r="O194" s="50">
        <f t="shared" si="97"/>
        <v>0</v>
      </c>
      <c r="P194" s="50">
        <f t="shared" si="98"/>
        <v>0</v>
      </c>
      <c r="Q194" s="50"/>
      <c r="R194" s="50">
        <f t="shared" si="99"/>
        <v>0</v>
      </c>
      <c r="S194" s="50">
        <f t="shared" si="100"/>
        <v>0</v>
      </c>
      <c r="T194" s="50"/>
      <c r="U194" s="50">
        <f t="shared" si="101"/>
        <v>0</v>
      </c>
      <c r="V194" s="50"/>
      <c r="W194" s="50">
        <f t="shared" si="102"/>
        <v>0</v>
      </c>
      <c r="X194" s="50"/>
      <c r="Y194" s="50">
        <f t="shared" si="103"/>
        <v>0</v>
      </c>
      <c r="Z194" s="50"/>
      <c r="AA194" s="50">
        <f t="shared" si="104"/>
        <v>0</v>
      </c>
      <c r="AB194" s="50">
        <f t="shared" si="105"/>
        <v>0</v>
      </c>
      <c r="AC194" s="30" t="str">
        <f t="shared" si="106"/>
        <v>ok</v>
      </c>
    </row>
    <row r="195" spans="1:29" x14ac:dyDescent="0.2">
      <c r="A195" s="14">
        <v>572</v>
      </c>
      <c r="B195" s="14" t="s">
        <v>921</v>
      </c>
      <c r="C195" s="14" t="s">
        <v>918</v>
      </c>
      <c r="D195" s="14" t="s">
        <v>390</v>
      </c>
      <c r="F195" s="234">
        <v>0</v>
      </c>
      <c r="G195" s="194"/>
      <c r="H195" s="50">
        <f t="shared" si="93"/>
        <v>0</v>
      </c>
      <c r="I195" s="50">
        <f t="shared" si="94"/>
        <v>0</v>
      </c>
      <c r="J195" s="50"/>
      <c r="K195" s="50">
        <f t="shared" si="95"/>
        <v>0</v>
      </c>
      <c r="L195" s="50"/>
      <c r="M195" s="50">
        <f t="shared" si="96"/>
        <v>0</v>
      </c>
      <c r="N195" s="50"/>
      <c r="O195" s="50">
        <f t="shared" si="97"/>
        <v>0</v>
      </c>
      <c r="P195" s="50">
        <f t="shared" si="98"/>
        <v>0</v>
      </c>
      <c r="Q195" s="50"/>
      <c r="R195" s="50">
        <f t="shared" si="99"/>
        <v>0</v>
      </c>
      <c r="S195" s="50">
        <f t="shared" si="100"/>
        <v>0</v>
      </c>
      <c r="T195" s="50"/>
      <c r="U195" s="50">
        <f t="shared" si="101"/>
        <v>0</v>
      </c>
      <c r="V195" s="50"/>
      <c r="W195" s="50">
        <f t="shared" si="102"/>
        <v>0</v>
      </c>
      <c r="X195" s="50"/>
      <c r="Y195" s="50">
        <f t="shared" si="103"/>
        <v>0</v>
      </c>
      <c r="Z195" s="50"/>
      <c r="AA195" s="50">
        <f t="shared" si="104"/>
        <v>0</v>
      </c>
      <c r="AB195" s="50">
        <f>SUM(H195:AA195)</f>
        <v>0</v>
      </c>
      <c r="AC195" s="30" t="str">
        <f>IF(ABS(AB195-F195)&lt;1,"ok","err")</f>
        <v>ok</v>
      </c>
    </row>
    <row r="196" spans="1:29" x14ac:dyDescent="0.2">
      <c r="A196" s="14">
        <v>573</v>
      </c>
      <c r="B196" s="14" t="s">
        <v>916</v>
      </c>
      <c r="C196" s="14" t="s">
        <v>919</v>
      </c>
      <c r="D196" s="14" t="s">
        <v>390</v>
      </c>
      <c r="F196" s="234">
        <v>0</v>
      </c>
      <c r="G196" s="194"/>
      <c r="H196" s="50">
        <f t="shared" si="93"/>
        <v>0</v>
      </c>
      <c r="I196" s="50">
        <f t="shared" si="94"/>
        <v>0</v>
      </c>
      <c r="J196" s="50"/>
      <c r="K196" s="50">
        <f t="shared" si="95"/>
        <v>0</v>
      </c>
      <c r="L196" s="50"/>
      <c r="M196" s="50">
        <f t="shared" si="96"/>
        <v>0</v>
      </c>
      <c r="N196" s="50"/>
      <c r="O196" s="50">
        <f t="shared" si="97"/>
        <v>0</v>
      </c>
      <c r="P196" s="50">
        <f t="shared" si="98"/>
        <v>0</v>
      </c>
      <c r="Q196" s="50"/>
      <c r="R196" s="50">
        <f t="shared" si="99"/>
        <v>0</v>
      </c>
      <c r="S196" s="50">
        <f t="shared" si="100"/>
        <v>0</v>
      </c>
      <c r="T196" s="50"/>
      <c r="U196" s="50">
        <f t="shared" si="101"/>
        <v>0</v>
      </c>
      <c r="V196" s="50"/>
      <c r="W196" s="50">
        <f t="shared" si="102"/>
        <v>0</v>
      </c>
      <c r="X196" s="50"/>
      <c r="Y196" s="50">
        <f t="shared" si="103"/>
        <v>0</v>
      </c>
      <c r="Z196" s="50"/>
      <c r="AA196" s="50">
        <f t="shared" si="104"/>
        <v>0</v>
      </c>
      <c r="AB196" s="50">
        <f>SUM(H196:AA196)</f>
        <v>0</v>
      </c>
      <c r="AC196" s="30" t="str">
        <f>IF(ABS(AB196-F196)&lt;1,"ok","err")</f>
        <v>ok</v>
      </c>
    </row>
    <row r="197" spans="1:29" x14ac:dyDescent="0.2">
      <c r="A197" s="14">
        <v>574</v>
      </c>
      <c r="B197" s="14" t="s">
        <v>917</v>
      </c>
      <c r="C197" s="14" t="s">
        <v>920</v>
      </c>
      <c r="D197" s="14" t="s">
        <v>390</v>
      </c>
      <c r="F197" s="234">
        <v>0</v>
      </c>
      <c r="G197" s="194"/>
      <c r="H197" s="50">
        <f t="shared" si="93"/>
        <v>0</v>
      </c>
      <c r="I197" s="50">
        <f t="shared" si="94"/>
        <v>0</v>
      </c>
      <c r="J197" s="50"/>
      <c r="K197" s="50">
        <f t="shared" si="95"/>
        <v>0</v>
      </c>
      <c r="L197" s="50"/>
      <c r="M197" s="50">
        <f t="shared" si="96"/>
        <v>0</v>
      </c>
      <c r="N197" s="50"/>
      <c r="O197" s="50">
        <f t="shared" si="97"/>
        <v>0</v>
      </c>
      <c r="P197" s="50">
        <f t="shared" si="98"/>
        <v>0</v>
      </c>
      <c r="Q197" s="50"/>
      <c r="R197" s="50">
        <f t="shared" si="99"/>
        <v>0</v>
      </c>
      <c r="S197" s="50">
        <f t="shared" si="100"/>
        <v>0</v>
      </c>
      <c r="T197" s="50"/>
      <c r="U197" s="50">
        <f t="shared" si="101"/>
        <v>0</v>
      </c>
      <c r="V197" s="50"/>
      <c r="W197" s="50">
        <f t="shared" si="102"/>
        <v>0</v>
      </c>
      <c r="X197" s="50"/>
      <c r="Y197" s="50">
        <f t="shared" si="103"/>
        <v>0</v>
      </c>
      <c r="Z197" s="50"/>
      <c r="AA197" s="50">
        <f t="shared" si="104"/>
        <v>0</v>
      </c>
      <c r="AB197" s="50">
        <f t="shared" si="105"/>
        <v>0</v>
      </c>
      <c r="AC197" s="30" t="str">
        <f t="shared" si="106"/>
        <v>ok</v>
      </c>
    </row>
    <row r="198" spans="1:29" x14ac:dyDescent="0.2">
      <c r="F198" s="233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50"/>
      <c r="AC198" s="30"/>
    </row>
    <row r="199" spans="1:29" x14ac:dyDescent="0.2">
      <c r="A199" s="14" t="s">
        <v>377</v>
      </c>
      <c r="F199" s="226">
        <f>SUM(F183:F197)</f>
        <v>0</v>
      </c>
      <c r="G199" s="93"/>
      <c r="H199" s="93">
        <f t="shared" ref="H199:AA199" si="107">SUM(H183:H197)</f>
        <v>0</v>
      </c>
      <c r="I199" s="93">
        <f t="shared" si="107"/>
        <v>0</v>
      </c>
      <c r="J199" s="93"/>
      <c r="K199" s="93">
        <f t="shared" si="107"/>
        <v>0</v>
      </c>
      <c r="L199" s="93"/>
      <c r="M199" s="93">
        <f t="shared" si="107"/>
        <v>0</v>
      </c>
      <c r="N199" s="93"/>
      <c r="O199" s="93">
        <f t="shared" si="107"/>
        <v>0</v>
      </c>
      <c r="P199" s="93">
        <f t="shared" si="107"/>
        <v>0</v>
      </c>
      <c r="Q199" s="93"/>
      <c r="R199" s="93">
        <f t="shared" si="107"/>
        <v>0</v>
      </c>
      <c r="S199" s="93">
        <f t="shared" si="107"/>
        <v>0</v>
      </c>
      <c r="T199" s="93"/>
      <c r="U199" s="93">
        <f t="shared" si="107"/>
        <v>0</v>
      </c>
      <c r="V199" s="93"/>
      <c r="W199" s="93">
        <f t="shared" si="107"/>
        <v>0</v>
      </c>
      <c r="X199" s="93"/>
      <c r="Y199" s="93">
        <f t="shared" si="107"/>
        <v>0</v>
      </c>
      <c r="Z199" s="93"/>
      <c r="AA199" s="93">
        <f t="shared" si="107"/>
        <v>0</v>
      </c>
      <c r="AB199" s="66">
        <f>SUM(H199:AA199)</f>
        <v>0</v>
      </c>
      <c r="AC199" s="30" t="str">
        <f>IF(ABS(AB199-F199)&lt;1,"ok","err")</f>
        <v>ok</v>
      </c>
    </row>
    <row r="200" spans="1:29" x14ac:dyDescent="0.2">
      <c r="B200" s="93"/>
      <c r="Q200" s="14"/>
      <c r="AC200" s="30"/>
    </row>
    <row r="201" spans="1:29" x14ac:dyDescent="0.2">
      <c r="A201" s="13" t="s">
        <v>98</v>
      </c>
      <c r="Q201" s="14"/>
      <c r="AC201" s="30"/>
    </row>
    <row r="202" spans="1:29" x14ac:dyDescent="0.2">
      <c r="A202" s="14">
        <v>580</v>
      </c>
      <c r="B202" s="14" t="s">
        <v>99</v>
      </c>
      <c r="C202" s="14" t="s">
        <v>100</v>
      </c>
      <c r="D202" s="14" t="s">
        <v>16</v>
      </c>
      <c r="F202" s="233">
        <v>0</v>
      </c>
      <c r="G202" s="193"/>
      <c r="H202" s="50">
        <f t="shared" ref="H202:H213" si="108">IF(VLOOKUP($D202,$C$5:$AA$493,6,)=0,0,((VLOOKUP($D202,$C$5:$AA$493,6,)/VLOOKUP($D202,$C$5:$AA$493,4,))*$F202))</f>
        <v>0</v>
      </c>
      <c r="I202" s="50">
        <f t="shared" ref="I202:I213" si="109">IF(VLOOKUP($D202,$C$5:$AA$493,7,)=0,0,((VLOOKUP($D202,$C$5:$AA$493,7,)/VLOOKUP($D202,$C$5:$AA$493,4,))*$F202))</f>
        <v>0</v>
      </c>
      <c r="J202" s="50"/>
      <c r="K202" s="50">
        <f t="shared" ref="K202:K213" si="110">IF(VLOOKUP($D202,$C$5:$AA$493,9,)=0,0,((VLOOKUP($D202,$C$5:$AA$493,9,)/VLOOKUP($D202,$C$5:$AA$493,4,))*$F202))</f>
        <v>0</v>
      </c>
      <c r="L202" s="50"/>
      <c r="M202" s="50">
        <f t="shared" ref="M202:M213" si="111">IF(VLOOKUP($D202,$C$5:$AA$493,11,)=0,0,((VLOOKUP($D202,$C$5:$AA$493,11,)/VLOOKUP($D202,$C$5:$AA$493,4,))*$F202))</f>
        <v>0</v>
      </c>
      <c r="N202" s="50"/>
      <c r="O202" s="50">
        <f t="shared" ref="O202:O213" si="112">IF(VLOOKUP($D202,$C$5:$AA$493,13,)=0,0,((VLOOKUP($D202,$C$5:$AA$493,13,)/VLOOKUP($D202,$C$5:$AA$493,4,))*$F202))</f>
        <v>0</v>
      </c>
      <c r="P202" s="50">
        <f t="shared" ref="P202:P213" si="113">IF(VLOOKUP($D202,$C$5:$AA$493,14,)=0,0,((VLOOKUP($D202,$C$5:$AA$493,14,)/VLOOKUP($D202,$C$5:$AA$493,4,))*$F202))</f>
        <v>0</v>
      </c>
      <c r="Q202" s="50"/>
      <c r="R202" s="50">
        <f t="shared" ref="R202:R213" si="114">IF(VLOOKUP($D202,$C$5:$AA$493,16,)=0,0,((VLOOKUP($D202,$C$5:$AA$493,16,)/VLOOKUP($D202,$C$5:$AA$493,4,))*$F202))</f>
        <v>0</v>
      </c>
      <c r="S202" s="50">
        <f t="shared" ref="S202:S213" si="115">IF(VLOOKUP($D202,$C$5:$AA$493,17,)=0,0,((VLOOKUP($D202,$C$5:$AA$493,17,)/VLOOKUP($D202,$C$5:$AA$493,4,))*$F202))</f>
        <v>0</v>
      </c>
      <c r="T202" s="50"/>
      <c r="U202" s="50">
        <f t="shared" ref="U202:U213" si="116">IF(VLOOKUP($D202,$C$5:$AA$493,19,)=0,0,((VLOOKUP($D202,$C$5:$AA$493,19,)/VLOOKUP($D202,$C$5:$AA$493,4,))*$F202))</f>
        <v>0</v>
      </c>
      <c r="V202" s="50"/>
      <c r="W202" s="50">
        <f t="shared" ref="W202:W213" si="117">IF(VLOOKUP($D202,$C$5:$AA$493,21,)=0,0,((VLOOKUP($D202,$C$5:$AA$493,21,)/VLOOKUP($D202,$C$5:$AA$493,4,))*$F202))</f>
        <v>0</v>
      </c>
      <c r="X202" s="50"/>
      <c r="Y202" s="50">
        <f t="shared" ref="Y202:Y213" si="118">IF(VLOOKUP($D202,$C$5:$AA$493,23,)=0,0,((VLOOKUP($D202,$C$5:$AA$493,23,)/VLOOKUP($D202,$C$5:$AA$493,4,))*$F202))</f>
        <v>0</v>
      </c>
      <c r="Z202" s="50"/>
      <c r="AA202" s="50">
        <f t="shared" ref="AA202:AA213" si="119">IF(VLOOKUP($D202,$C$5:$AA$493,25,)=0,0,((VLOOKUP($D202,$C$5:$AA$493,25,)/VLOOKUP($D202,$C$5:$AA$493,4,))*$F202))</f>
        <v>0</v>
      </c>
      <c r="AB202" s="50">
        <f t="shared" ref="AB202:AB213" si="120">SUM(H202:AA202)</f>
        <v>0</v>
      </c>
      <c r="AC202" s="30" t="str">
        <f t="shared" ref="AC202:AC213" si="121">IF(ABS(AB202-F202)&lt;1,"ok","err")</f>
        <v>ok</v>
      </c>
    </row>
    <row r="203" spans="1:29" x14ac:dyDescent="0.2">
      <c r="A203" s="14">
        <v>581</v>
      </c>
      <c r="B203" s="14" t="s">
        <v>101</v>
      </c>
      <c r="C203" s="14" t="s">
        <v>102</v>
      </c>
      <c r="D203" s="14" t="s">
        <v>23</v>
      </c>
      <c r="F203" s="234">
        <v>123738.6</v>
      </c>
      <c r="G203" s="194"/>
      <c r="H203" s="50">
        <f t="shared" si="108"/>
        <v>0</v>
      </c>
      <c r="I203" s="50">
        <f t="shared" si="109"/>
        <v>0</v>
      </c>
      <c r="J203" s="50"/>
      <c r="K203" s="50">
        <f t="shared" si="110"/>
        <v>0</v>
      </c>
      <c r="L203" s="50"/>
      <c r="M203" s="50">
        <f t="shared" si="111"/>
        <v>123738.6</v>
      </c>
      <c r="N203" s="50"/>
      <c r="O203" s="50">
        <f t="shared" si="112"/>
        <v>0</v>
      </c>
      <c r="P203" s="50">
        <f t="shared" si="113"/>
        <v>0</v>
      </c>
      <c r="Q203" s="50"/>
      <c r="R203" s="50">
        <f t="shared" si="114"/>
        <v>0</v>
      </c>
      <c r="S203" s="50">
        <f t="shared" si="115"/>
        <v>0</v>
      </c>
      <c r="T203" s="50"/>
      <c r="U203" s="50">
        <f t="shared" si="116"/>
        <v>0</v>
      </c>
      <c r="V203" s="50"/>
      <c r="W203" s="50">
        <f t="shared" si="117"/>
        <v>0</v>
      </c>
      <c r="X203" s="50"/>
      <c r="Y203" s="50">
        <f t="shared" si="118"/>
        <v>0</v>
      </c>
      <c r="Z203" s="50"/>
      <c r="AA203" s="50">
        <f t="shared" si="119"/>
        <v>0</v>
      </c>
      <c r="AB203" s="50">
        <f t="shared" si="120"/>
        <v>123738.6</v>
      </c>
      <c r="AC203" s="30" t="str">
        <f t="shared" si="121"/>
        <v>ok</v>
      </c>
    </row>
    <row r="204" spans="1:29" x14ac:dyDescent="0.2">
      <c r="A204" s="14">
        <v>582</v>
      </c>
      <c r="B204" s="14" t="s">
        <v>372</v>
      </c>
      <c r="C204" s="14" t="s">
        <v>378</v>
      </c>
      <c r="D204" s="14" t="s">
        <v>23</v>
      </c>
      <c r="F204" s="234">
        <f>16352.99+47716.11</f>
        <v>64069.1</v>
      </c>
      <c r="G204" s="194"/>
      <c r="H204" s="50">
        <f t="shared" si="108"/>
        <v>0</v>
      </c>
      <c r="I204" s="50">
        <f t="shared" si="109"/>
        <v>0</v>
      </c>
      <c r="J204" s="50"/>
      <c r="K204" s="50">
        <f t="shared" si="110"/>
        <v>0</v>
      </c>
      <c r="L204" s="50"/>
      <c r="M204" s="50">
        <f t="shared" si="111"/>
        <v>64069.1</v>
      </c>
      <c r="N204" s="50"/>
      <c r="O204" s="50">
        <f t="shared" si="112"/>
        <v>0</v>
      </c>
      <c r="P204" s="50">
        <f t="shared" si="113"/>
        <v>0</v>
      </c>
      <c r="Q204" s="50"/>
      <c r="R204" s="50">
        <f t="shared" si="114"/>
        <v>0</v>
      </c>
      <c r="S204" s="50">
        <f t="shared" si="115"/>
        <v>0</v>
      </c>
      <c r="T204" s="50"/>
      <c r="U204" s="50">
        <f t="shared" si="116"/>
        <v>0</v>
      </c>
      <c r="V204" s="50"/>
      <c r="W204" s="50">
        <f t="shared" si="117"/>
        <v>0</v>
      </c>
      <c r="X204" s="50"/>
      <c r="Y204" s="50">
        <f t="shared" si="118"/>
        <v>0</v>
      </c>
      <c r="Z204" s="50"/>
      <c r="AA204" s="50">
        <f t="shared" si="119"/>
        <v>0</v>
      </c>
      <c r="AB204" s="50">
        <f t="shared" si="120"/>
        <v>64069.1</v>
      </c>
      <c r="AC204" s="30" t="str">
        <f t="shared" si="121"/>
        <v>ok</v>
      </c>
    </row>
    <row r="205" spans="1:29" x14ac:dyDescent="0.2">
      <c r="A205" s="14">
        <v>583</v>
      </c>
      <c r="B205" s="14" t="s">
        <v>103</v>
      </c>
      <c r="C205" s="14" t="s">
        <v>104</v>
      </c>
      <c r="D205" s="14" t="s">
        <v>29</v>
      </c>
      <c r="F205" s="234">
        <f>1252486.31+75509.15</f>
        <v>1327995.46</v>
      </c>
      <c r="G205" s="194"/>
      <c r="H205" s="50">
        <f t="shared" si="108"/>
        <v>0</v>
      </c>
      <c r="I205" s="50">
        <f t="shared" si="109"/>
        <v>0</v>
      </c>
      <c r="J205" s="50"/>
      <c r="K205" s="50">
        <f t="shared" si="110"/>
        <v>0</v>
      </c>
      <c r="L205" s="50"/>
      <c r="M205" s="50">
        <f t="shared" si="111"/>
        <v>0</v>
      </c>
      <c r="N205" s="50"/>
      <c r="O205" s="50">
        <f t="shared" si="112"/>
        <v>948832.71905043989</v>
      </c>
      <c r="P205" s="50">
        <f t="shared" si="113"/>
        <v>379162.74094956007</v>
      </c>
      <c r="Q205" s="50"/>
      <c r="R205" s="50">
        <f t="shared" si="114"/>
        <v>0</v>
      </c>
      <c r="S205" s="50">
        <f t="shared" si="115"/>
        <v>0</v>
      </c>
      <c r="T205" s="50"/>
      <c r="U205" s="50">
        <f t="shared" si="116"/>
        <v>0</v>
      </c>
      <c r="V205" s="50"/>
      <c r="W205" s="50">
        <f t="shared" si="117"/>
        <v>0</v>
      </c>
      <c r="X205" s="50"/>
      <c r="Y205" s="50">
        <f t="shared" si="118"/>
        <v>0</v>
      </c>
      <c r="Z205" s="50"/>
      <c r="AA205" s="50">
        <f t="shared" si="119"/>
        <v>0</v>
      </c>
      <c r="AB205" s="50">
        <f t="shared" si="120"/>
        <v>1327995.46</v>
      </c>
      <c r="AC205" s="30" t="str">
        <f t="shared" si="121"/>
        <v>ok</v>
      </c>
    </row>
    <row r="206" spans="1:29" x14ac:dyDescent="0.2">
      <c r="A206" s="14">
        <v>584</v>
      </c>
      <c r="B206" s="14" t="s">
        <v>105</v>
      </c>
      <c r="C206" s="14" t="s">
        <v>106</v>
      </c>
      <c r="D206" s="14" t="s">
        <v>35</v>
      </c>
      <c r="F206" s="234">
        <v>142278.78</v>
      </c>
      <c r="G206" s="194"/>
      <c r="H206" s="50">
        <f t="shared" si="108"/>
        <v>0</v>
      </c>
      <c r="I206" s="50">
        <f t="shared" si="109"/>
        <v>0</v>
      </c>
      <c r="J206" s="50"/>
      <c r="K206" s="50">
        <f t="shared" si="110"/>
        <v>0</v>
      </c>
      <c r="L206" s="50"/>
      <c r="M206" s="50">
        <f t="shared" si="111"/>
        <v>0</v>
      </c>
      <c r="N206" s="50"/>
      <c r="O206" s="50">
        <f t="shared" si="112"/>
        <v>71545.858225866148</v>
      </c>
      <c r="P206" s="50">
        <f t="shared" si="113"/>
        <v>70732.921774133851</v>
      </c>
      <c r="Q206" s="50"/>
      <c r="R206" s="50">
        <f t="shared" si="114"/>
        <v>0</v>
      </c>
      <c r="S206" s="50">
        <f t="shared" si="115"/>
        <v>0</v>
      </c>
      <c r="T206" s="50"/>
      <c r="U206" s="50">
        <f t="shared" si="116"/>
        <v>0</v>
      </c>
      <c r="V206" s="50"/>
      <c r="W206" s="50">
        <f t="shared" si="117"/>
        <v>0</v>
      </c>
      <c r="X206" s="50"/>
      <c r="Y206" s="50">
        <f t="shared" si="118"/>
        <v>0</v>
      </c>
      <c r="Z206" s="50"/>
      <c r="AA206" s="50">
        <f t="shared" si="119"/>
        <v>0</v>
      </c>
      <c r="AB206" s="50">
        <f t="shared" si="120"/>
        <v>142278.78</v>
      </c>
      <c r="AC206" s="30" t="str">
        <f t="shared" si="121"/>
        <v>ok</v>
      </c>
    </row>
    <row r="207" spans="1:29" x14ac:dyDescent="0.2">
      <c r="A207" s="14">
        <v>585</v>
      </c>
      <c r="B207" s="14" t="s">
        <v>107</v>
      </c>
      <c r="C207" s="14" t="s">
        <v>108</v>
      </c>
      <c r="D207" s="14" t="s">
        <v>46</v>
      </c>
      <c r="F207" s="234">
        <v>0</v>
      </c>
      <c r="G207" s="194"/>
      <c r="H207" s="50">
        <f t="shared" si="108"/>
        <v>0</v>
      </c>
      <c r="I207" s="50">
        <f t="shared" si="109"/>
        <v>0</v>
      </c>
      <c r="J207" s="50"/>
      <c r="K207" s="50">
        <f t="shared" si="110"/>
        <v>0</v>
      </c>
      <c r="L207" s="50"/>
      <c r="M207" s="50">
        <f t="shared" si="111"/>
        <v>0</v>
      </c>
      <c r="N207" s="50"/>
      <c r="O207" s="50">
        <f t="shared" si="112"/>
        <v>0</v>
      </c>
      <c r="P207" s="50">
        <f t="shared" si="113"/>
        <v>0</v>
      </c>
      <c r="Q207" s="50"/>
      <c r="R207" s="50">
        <f t="shared" si="114"/>
        <v>0</v>
      </c>
      <c r="S207" s="50">
        <f t="shared" si="115"/>
        <v>0</v>
      </c>
      <c r="T207" s="50"/>
      <c r="U207" s="50">
        <f t="shared" si="116"/>
        <v>0</v>
      </c>
      <c r="V207" s="50"/>
      <c r="W207" s="50">
        <f t="shared" si="117"/>
        <v>0</v>
      </c>
      <c r="X207" s="50"/>
      <c r="Y207" s="50">
        <f t="shared" si="118"/>
        <v>0</v>
      </c>
      <c r="Z207" s="50"/>
      <c r="AA207" s="50">
        <f t="shared" si="119"/>
        <v>0</v>
      </c>
      <c r="AB207" s="50">
        <f t="shared" si="120"/>
        <v>0</v>
      </c>
      <c r="AC207" s="30" t="str">
        <f t="shared" si="121"/>
        <v>ok</v>
      </c>
    </row>
    <row r="208" spans="1:29" x14ac:dyDescent="0.2">
      <c r="A208" s="14">
        <v>586</v>
      </c>
      <c r="B208" s="14" t="s">
        <v>109</v>
      </c>
      <c r="C208" s="14" t="s">
        <v>110</v>
      </c>
      <c r="D208" s="14" t="s">
        <v>43</v>
      </c>
      <c r="F208" s="234">
        <v>1610498.92</v>
      </c>
      <c r="G208" s="194"/>
      <c r="H208" s="50">
        <f t="shared" si="108"/>
        <v>0</v>
      </c>
      <c r="I208" s="50">
        <f t="shared" si="109"/>
        <v>0</v>
      </c>
      <c r="J208" s="50"/>
      <c r="K208" s="50">
        <f t="shared" si="110"/>
        <v>0</v>
      </c>
      <c r="L208" s="50"/>
      <c r="M208" s="50">
        <f t="shared" si="111"/>
        <v>0</v>
      </c>
      <c r="N208" s="50"/>
      <c r="O208" s="50">
        <f t="shared" si="112"/>
        <v>0</v>
      </c>
      <c r="P208" s="50">
        <f t="shared" si="113"/>
        <v>0</v>
      </c>
      <c r="Q208" s="50"/>
      <c r="R208" s="50">
        <f t="shared" si="114"/>
        <v>0</v>
      </c>
      <c r="S208" s="50">
        <f t="shared" si="115"/>
        <v>0</v>
      </c>
      <c r="T208" s="50"/>
      <c r="U208" s="50">
        <f t="shared" si="116"/>
        <v>1610498.92</v>
      </c>
      <c r="V208" s="50"/>
      <c r="W208" s="50">
        <f t="shared" si="117"/>
        <v>0</v>
      </c>
      <c r="X208" s="50"/>
      <c r="Y208" s="50">
        <f t="shared" si="118"/>
        <v>0</v>
      </c>
      <c r="Z208" s="50"/>
      <c r="AA208" s="50">
        <f t="shared" si="119"/>
        <v>0</v>
      </c>
      <c r="AB208" s="50">
        <f t="shared" si="120"/>
        <v>1610498.92</v>
      </c>
      <c r="AC208" s="30" t="str">
        <f t="shared" si="121"/>
        <v>ok</v>
      </c>
    </row>
    <row r="209" spans="1:29" x14ac:dyDescent="0.2">
      <c r="A209" s="14">
        <v>586</v>
      </c>
      <c r="B209" s="14" t="s">
        <v>450</v>
      </c>
      <c r="C209" s="14" t="s">
        <v>451</v>
      </c>
      <c r="D209" s="14" t="s">
        <v>471</v>
      </c>
      <c r="F209" s="234">
        <v>0</v>
      </c>
      <c r="G209" s="194"/>
      <c r="H209" s="50">
        <f t="shared" si="108"/>
        <v>0</v>
      </c>
      <c r="I209" s="50">
        <f t="shared" si="109"/>
        <v>0</v>
      </c>
      <c r="J209" s="50"/>
      <c r="K209" s="50">
        <f t="shared" si="110"/>
        <v>0</v>
      </c>
      <c r="L209" s="50"/>
      <c r="M209" s="50">
        <f t="shared" si="111"/>
        <v>0</v>
      </c>
      <c r="N209" s="50"/>
      <c r="O209" s="50">
        <f t="shared" si="112"/>
        <v>0</v>
      </c>
      <c r="P209" s="50">
        <f t="shared" si="113"/>
        <v>0</v>
      </c>
      <c r="Q209" s="50"/>
      <c r="R209" s="50">
        <f t="shared" si="114"/>
        <v>0</v>
      </c>
      <c r="S209" s="50">
        <f t="shared" si="115"/>
        <v>0</v>
      </c>
      <c r="T209" s="50"/>
      <c r="U209" s="50">
        <f t="shared" si="116"/>
        <v>0</v>
      </c>
      <c r="V209" s="50"/>
      <c r="W209" s="50">
        <f t="shared" si="117"/>
        <v>0</v>
      </c>
      <c r="X209" s="50"/>
      <c r="Y209" s="50">
        <f t="shared" si="118"/>
        <v>0</v>
      </c>
      <c r="Z209" s="50"/>
      <c r="AA209" s="50">
        <f t="shared" si="119"/>
        <v>0</v>
      </c>
      <c r="AB209" s="50">
        <f t="shared" si="120"/>
        <v>0</v>
      </c>
      <c r="AC209" s="30" t="str">
        <f t="shared" si="121"/>
        <v>ok</v>
      </c>
    </row>
    <row r="210" spans="1:29" x14ac:dyDescent="0.2">
      <c r="A210" s="14">
        <v>587</v>
      </c>
      <c r="B210" s="14" t="s">
        <v>111</v>
      </c>
      <c r="C210" s="14" t="s">
        <v>112</v>
      </c>
      <c r="D210" s="14" t="s">
        <v>40</v>
      </c>
      <c r="F210" s="234">
        <v>389370.5</v>
      </c>
      <c r="G210" s="194"/>
      <c r="H210" s="50">
        <f t="shared" si="108"/>
        <v>0</v>
      </c>
      <c r="I210" s="50">
        <f t="shared" si="109"/>
        <v>0</v>
      </c>
      <c r="J210" s="50"/>
      <c r="K210" s="50">
        <f t="shared" si="110"/>
        <v>0</v>
      </c>
      <c r="L210" s="50"/>
      <c r="M210" s="50">
        <f t="shared" si="111"/>
        <v>0</v>
      </c>
      <c r="N210" s="50"/>
      <c r="O210" s="50">
        <f t="shared" si="112"/>
        <v>0</v>
      </c>
      <c r="P210" s="50">
        <f t="shared" si="113"/>
        <v>0</v>
      </c>
      <c r="Q210" s="50"/>
      <c r="R210" s="50">
        <f t="shared" si="114"/>
        <v>0</v>
      </c>
      <c r="S210" s="50">
        <f t="shared" si="115"/>
        <v>389370.5</v>
      </c>
      <c r="T210" s="50"/>
      <c r="U210" s="50">
        <f t="shared" si="116"/>
        <v>0</v>
      </c>
      <c r="V210" s="50"/>
      <c r="W210" s="50">
        <f t="shared" si="117"/>
        <v>0</v>
      </c>
      <c r="X210" s="50"/>
      <c r="Y210" s="50">
        <f t="shared" si="118"/>
        <v>0</v>
      </c>
      <c r="Z210" s="50"/>
      <c r="AA210" s="50">
        <f t="shared" si="119"/>
        <v>0</v>
      </c>
      <c r="AB210" s="50">
        <f t="shared" si="120"/>
        <v>389370.5</v>
      </c>
      <c r="AC210" s="30" t="str">
        <f t="shared" si="121"/>
        <v>ok</v>
      </c>
    </row>
    <row r="211" spans="1:29" x14ac:dyDescent="0.2">
      <c r="A211" s="14">
        <v>588</v>
      </c>
      <c r="B211" s="14" t="s">
        <v>113</v>
      </c>
      <c r="C211" s="14" t="s">
        <v>114</v>
      </c>
      <c r="D211" s="14" t="s">
        <v>16</v>
      </c>
      <c r="F211" s="234">
        <v>666537.61</v>
      </c>
      <c r="G211" s="194"/>
      <c r="H211" s="50">
        <f t="shared" si="108"/>
        <v>0</v>
      </c>
      <c r="I211" s="50">
        <f t="shared" si="109"/>
        <v>0</v>
      </c>
      <c r="J211" s="50"/>
      <c r="K211" s="50">
        <f t="shared" si="110"/>
        <v>0</v>
      </c>
      <c r="L211" s="50"/>
      <c r="M211" s="50">
        <f t="shared" si="111"/>
        <v>2456.6879664746457</v>
      </c>
      <c r="N211" s="50"/>
      <c r="O211" s="50">
        <f t="shared" si="112"/>
        <v>324611.04957100423</v>
      </c>
      <c r="P211" s="50">
        <f t="shared" si="113"/>
        <v>182703.93797033172</v>
      </c>
      <c r="Q211" s="50"/>
      <c r="R211" s="50">
        <f t="shared" si="114"/>
        <v>0</v>
      </c>
      <c r="S211" s="50">
        <f t="shared" si="115"/>
        <v>83966.444750279043</v>
      </c>
      <c r="T211" s="50"/>
      <c r="U211" s="50">
        <f t="shared" si="116"/>
        <v>36533.777054046608</v>
      </c>
      <c r="V211" s="50"/>
      <c r="W211" s="50">
        <f t="shared" si="117"/>
        <v>36265.71268786383</v>
      </c>
      <c r="X211" s="50"/>
      <c r="Y211" s="50">
        <f t="shared" si="118"/>
        <v>0</v>
      </c>
      <c r="Z211" s="50"/>
      <c r="AA211" s="50">
        <f t="shared" si="119"/>
        <v>0</v>
      </c>
      <c r="AB211" s="50">
        <f t="shared" si="120"/>
        <v>666537.6100000001</v>
      </c>
      <c r="AC211" s="30" t="str">
        <f t="shared" si="121"/>
        <v>ok</v>
      </c>
    </row>
    <row r="212" spans="1:29" x14ac:dyDescent="0.2">
      <c r="A212" s="14">
        <v>588</v>
      </c>
      <c r="B212" s="14" t="s">
        <v>707</v>
      </c>
      <c r="C212" s="14" t="s">
        <v>550</v>
      </c>
      <c r="D212" s="14" t="s">
        <v>551</v>
      </c>
      <c r="F212" s="234">
        <v>211182.39</v>
      </c>
      <c r="G212" s="194"/>
      <c r="H212" s="50">
        <f t="shared" si="108"/>
        <v>0</v>
      </c>
      <c r="I212" s="50">
        <f t="shared" si="109"/>
        <v>0</v>
      </c>
      <c r="J212" s="50"/>
      <c r="K212" s="50">
        <f t="shared" si="110"/>
        <v>0</v>
      </c>
      <c r="L212" s="50"/>
      <c r="M212" s="50">
        <f t="shared" si="111"/>
        <v>0</v>
      </c>
      <c r="N212" s="50"/>
      <c r="O212" s="50">
        <f t="shared" si="112"/>
        <v>0</v>
      </c>
      <c r="P212" s="50">
        <f t="shared" si="113"/>
        <v>211182.39</v>
      </c>
      <c r="Q212" s="50"/>
      <c r="R212" s="50">
        <f t="shared" si="114"/>
        <v>0</v>
      </c>
      <c r="S212" s="50">
        <f t="shared" si="115"/>
        <v>0</v>
      </c>
      <c r="T212" s="50"/>
      <c r="U212" s="50">
        <f t="shared" si="116"/>
        <v>0</v>
      </c>
      <c r="V212" s="50"/>
      <c r="W212" s="50">
        <f t="shared" si="117"/>
        <v>0</v>
      </c>
      <c r="X212" s="50"/>
      <c r="Y212" s="50">
        <f t="shared" si="118"/>
        <v>0</v>
      </c>
      <c r="Z212" s="50"/>
      <c r="AA212" s="50">
        <f t="shared" si="119"/>
        <v>0</v>
      </c>
      <c r="AB212" s="50">
        <f t="shared" si="120"/>
        <v>211182.39</v>
      </c>
      <c r="AC212" s="30" t="str">
        <f t="shared" si="121"/>
        <v>ok</v>
      </c>
    </row>
    <row r="213" spans="1:29" x14ac:dyDescent="0.2">
      <c r="A213" s="14">
        <v>589</v>
      </c>
      <c r="B213" s="14" t="s">
        <v>115</v>
      </c>
      <c r="C213" s="14" t="s">
        <v>116</v>
      </c>
      <c r="D213" s="14" t="s">
        <v>16</v>
      </c>
      <c r="F213" s="234">
        <v>0</v>
      </c>
      <c r="G213" s="194"/>
      <c r="H213" s="50">
        <f t="shared" si="108"/>
        <v>0</v>
      </c>
      <c r="I213" s="50">
        <f t="shared" si="109"/>
        <v>0</v>
      </c>
      <c r="J213" s="50"/>
      <c r="K213" s="50">
        <f t="shared" si="110"/>
        <v>0</v>
      </c>
      <c r="L213" s="50"/>
      <c r="M213" s="50">
        <f t="shared" si="111"/>
        <v>0</v>
      </c>
      <c r="N213" s="50"/>
      <c r="O213" s="50">
        <f t="shared" si="112"/>
        <v>0</v>
      </c>
      <c r="P213" s="50">
        <f t="shared" si="113"/>
        <v>0</v>
      </c>
      <c r="Q213" s="50"/>
      <c r="R213" s="50">
        <f t="shared" si="114"/>
        <v>0</v>
      </c>
      <c r="S213" s="50">
        <f t="shared" si="115"/>
        <v>0</v>
      </c>
      <c r="T213" s="50"/>
      <c r="U213" s="50">
        <f t="shared" si="116"/>
        <v>0</v>
      </c>
      <c r="V213" s="50"/>
      <c r="W213" s="50">
        <f t="shared" si="117"/>
        <v>0</v>
      </c>
      <c r="X213" s="50"/>
      <c r="Y213" s="50">
        <f t="shared" si="118"/>
        <v>0</v>
      </c>
      <c r="Z213" s="50"/>
      <c r="AA213" s="50">
        <f t="shared" si="119"/>
        <v>0</v>
      </c>
      <c r="AB213" s="50">
        <f t="shared" si="120"/>
        <v>0</v>
      </c>
      <c r="AC213" s="30" t="str">
        <f t="shared" si="121"/>
        <v>ok</v>
      </c>
    </row>
    <row r="214" spans="1:29" x14ac:dyDescent="0.2">
      <c r="F214" s="234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C214" s="30"/>
    </row>
    <row r="215" spans="1:29" x14ac:dyDescent="0.2">
      <c r="A215" s="14" t="s">
        <v>117</v>
      </c>
      <c r="C215" s="14" t="s">
        <v>118</v>
      </c>
      <c r="F215" s="233">
        <f>SUM(F202:F214)</f>
        <v>4535671.3599999994</v>
      </c>
      <c r="G215" s="66"/>
      <c r="H215" s="66">
        <f t="shared" ref="H215:AA215" si="122">SUM(H202:H214)</f>
        <v>0</v>
      </c>
      <c r="I215" s="66">
        <f t="shared" si="122"/>
        <v>0</v>
      </c>
      <c r="J215" s="66"/>
      <c r="K215" s="66">
        <f t="shared" si="122"/>
        <v>0</v>
      </c>
      <c r="L215" s="66"/>
      <c r="M215" s="66">
        <f t="shared" si="122"/>
        <v>190264.38796647466</v>
      </c>
      <c r="N215" s="66"/>
      <c r="O215" s="66">
        <f t="shared" si="122"/>
        <v>1344989.6268473102</v>
      </c>
      <c r="P215" s="66">
        <f t="shared" si="122"/>
        <v>843781.99069402565</v>
      </c>
      <c r="Q215" s="66"/>
      <c r="R215" s="66">
        <f t="shared" si="122"/>
        <v>0</v>
      </c>
      <c r="S215" s="66">
        <f t="shared" si="122"/>
        <v>473336.94475027907</v>
      </c>
      <c r="T215" s="66"/>
      <c r="U215" s="66">
        <f t="shared" si="122"/>
        <v>1647032.6970540464</v>
      </c>
      <c r="V215" s="66"/>
      <c r="W215" s="66">
        <f t="shared" si="122"/>
        <v>36265.71268786383</v>
      </c>
      <c r="X215" s="66"/>
      <c r="Y215" s="66">
        <f t="shared" si="122"/>
        <v>0</v>
      </c>
      <c r="Z215" s="66"/>
      <c r="AA215" s="66">
        <f t="shared" si="122"/>
        <v>0</v>
      </c>
      <c r="AB215" s="50">
        <f>SUM(H215:AA215)</f>
        <v>4535671.3600000003</v>
      </c>
      <c r="AC215" s="30" t="str">
        <f>IF(ABS(AB215-F215)&lt;1,"ok","err")</f>
        <v>ok</v>
      </c>
    </row>
    <row r="216" spans="1:29" x14ac:dyDescent="0.2">
      <c r="F216" s="233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50"/>
      <c r="AC216" s="30"/>
    </row>
    <row r="217" spans="1:29" x14ac:dyDescent="0.2">
      <c r="A217" s="28" t="s">
        <v>136</v>
      </c>
      <c r="F217" s="234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C217" s="30"/>
    </row>
    <row r="218" spans="1:29" x14ac:dyDescent="0.2">
      <c r="F218" s="234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C218" s="30"/>
    </row>
    <row r="219" spans="1:29" x14ac:dyDescent="0.2">
      <c r="A219" s="13" t="s">
        <v>119</v>
      </c>
      <c r="F219" s="234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C219" s="30"/>
    </row>
    <row r="220" spans="1:29" x14ac:dyDescent="0.2">
      <c r="A220" s="14">
        <v>590</v>
      </c>
      <c r="B220" s="14" t="s">
        <v>120</v>
      </c>
      <c r="C220" s="14" t="s">
        <v>121</v>
      </c>
      <c r="D220" s="14" t="s">
        <v>16</v>
      </c>
      <c r="F220" s="233">
        <v>77926.66</v>
      </c>
      <c r="G220" s="193"/>
      <c r="H220" s="50">
        <f t="shared" ref="H220:H225" si="123">IF(VLOOKUP($D220,$C$5:$AA$493,6,)=0,0,((VLOOKUP($D220,$C$5:$AA$493,6,)/VLOOKUP($D220,$C$5:$AA$493,4,))*$F220))</f>
        <v>0</v>
      </c>
      <c r="I220" s="50">
        <f t="shared" ref="I220:I227" si="124">IF(VLOOKUP($D220,$C$5:$AA$493,7,)=0,0,((VLOOKUP($D220,$C$5:$AA$493,7,)/VLOOKUP($D220,$C$5:$AA$493,4,))*$F220))</f>
        <v>0</v>
      </c>
      <c r="J220" s="50"/>
      <c r="K220" s="50">
        <f t="shared" ref="K220:K227" si="125">IF(VLOOKUP($D220,$C$5:$AA$493,9,)=0,0,((VLOOKUP($D220,$C$5:$AA$493,9,)/VLOOKUP($D220,$C$5:$AA$493,4,))*$F220))</f>
        <v>0</v>
      </c>
      <c r="L220" s="50"/>
      <c r="M220" s="50">
        <f t="shared" ref="M220:M227" si="126">IF(VLOOKUP($D220,$C$5:$AA$493,11,)=0,0,((VLOOKUP($D220,$C$5:$AA$493,11,)/VLOOKUP($D220,$C$5:$AA$493,4,))*$F220))</f>
        <v>287.2178328985234</v>
      </c>
      <c r="N220" s="50"/>
      <c r="O220" s="50">
        <f t="shared" ref="O220:O227" si="127">IF(VLOOKUP($D220,$C$5:$AA$493,13,)=0,0,((VLOOKUP($D220,$C$5:$AA$493,13,)/VLOOKUP($D220,$C$5:$AA$493,4,))*$F220))</f>
        <v>37951.12910757248</v>
      </c>
      <c r="P220" s="50">
        <f t="shared" ref="P220:P227" si="128">IF(VLOOKUP($D220,$C$5:$AA$493,14,)=0,0,((VLOOKUP($D220,$C$5:$AA$493,14,)/VLOOKUP($D220,$C$5:$AA$493,4,))*$F220))</f>
        <v>21360.396534675863</v>
      </c>
      <c r="Q220" s="50"/>
      <c r="R220" s="50">
        <f t="shared" ref="R220:R227" si="129">IF(VLOOKUP($D220,$C$5:$AA$493,16,)=0,0,((VLOOKUP($D220,$C$5:$AA$493,16,)/VLOOKUP($D220,$C$5:$AA$493,4,))*$F220))</f>
        <v>0</v>
      </c>
      <c r="S220" s="50">
        <f t="shared" ref="S220:S227" si="130">IF(VLOOKUP($D220,$C$5:$AA$493,17,)=0,0,((VLOOKUP($D220,$C$5:$AA$493,17,)/VLOOKUP($D220,$C$5:$AA$493,4,))*$F220))</f>
        <v>9816.7372602782016</v>
      </c>
      <c r="T220" s="50"/>
      <c r="U220" s="50">
        <f t="shared" ref="U220:U227" si="131">IF(VLOOKUP($D220,$C$5:$AA$493,19,)=0,0,((VLOOKUP($D220,$C$5:$AA$493,19,)/VLOOKUP($D220,$C$5:$AA$493,4,))*$F220))</f>
        <v>4271.2596863161134</v>
      </c>
      <c r="V220" s="50"/>
      <c r="W220" s="50">
        <f t="shared" ref="W220:W227" si="132">IF(VLOOKUP($D220,$C$5:$AA$493,21,)=0,0,((VLOOKUP($D220,$C$5:$AA$493,21,)/VLOOKUP($D220,$C$5:$AA$493,4,))*$F220))</f>
        <v>4239.9195782588331</v>
      </c>
      <c r="X220" s="50"/>
      <c r="Y220" s="50">
        <f t="shared" ref="Y220:Y227" si="133">IF(VLOOKUP($D220,$C$5:$AA$493,23,)=0,0,((VLOOKUP($D220,$C$5:$AA$493,23,)/VLOOKUP($D220,$C$5:$AA$493,4,))*$F220))</f>
        <v>0</v>
      </c>
      <c r="Z220" s="50"/>
      <c r="AA220" s="50">
        <f t="shared" ref="AA220:AA227" si="134">IF(VLOOKUP($D220,$C$5:$AA$493,25,)=0,0,((VLOOKUP($D220,$C$5:$AA$493,25,)/VLOOKUP($D220,$C$5:$AA$493,4,))*$F220))</f>
        <v>0</v>
      </c>
      <c r="AB220" s="50">
        <f t="shared" ref="AB220:AB227" si="135">SUM(H220:AA220)</f>
        <v>77926.660000000018</v>
      </c>
      <c r="AC220" s="30" t="str">
        <f t="shared" ref="AC220:AC227" si="136">IF(ABS(AB220-F220)&lt;1,"ok","err")</f>
        <v>ok</v>
      </c>
    </row>
    <row r="221" spans="1:29" x14ac:dyDescent="0.2">
      <c r="A221" s="14">
        <v>592</v>
      </c>
      <c r="B221" s="14" t="s">
        <v>122</v>
      </c>
      <c r="C221" s="14" t="s">
        <v>123</v>
      </c>
      <c r="D221" s="14" t="s">
        <v>23</v>
      </c>
      <c r="F221" s="234">
        <v>6393.92</v>
      </c>
      <c r="G221" s="194"/>
      <c r="H221" s="50">
        <f t="shared" si="123"/>
        <v>0</v>
      </c>
      <c r="I221" s="50">
        <f t="shared" si="124"/>
        <v>0</v>
      </c>
      <c r="J221" s="50"/>
      <c r="K221" s="50">
        <f t="shared" si="125"/>
        <v>0</v>
      </c>
      <c r="L221" s="50"/>
      <c r="M221" s="50">
        <f t="shared" si="126"/>
        <v>6393.92</v>
      </c>
      <c r="N221" s="50"/>
      <c r="O221" s="50">
        <f t="shared" si="127"/>
        <v>0</v>
      </c>
      <c r="P221" s="50">
        <f t="shared" si="128"/>
        <v>0</v>
      </c>
      <c r="Q221" s="50"/>
      <c r="R221" s="50">
        <f t="shared" si="129"/>
        <v>0</v>
      </c>
      <c r="S221" s="50">
        <f t="shared" si="130"/>
        <v>0</v>
      </c>
      <c r="T221" s="50"/>
      <c r="U221" s="50">
        <f t="shared" si="131"/>
        <v>0</v>
      </c>
      <c r="V221" s="50"/>
      <c r="W221" s="50">
        <f t="shared" si="132"/>
        <v>0</v>
      </c>
      <c r="X221" s="50"/>
      <c r="Y221" s="50">
        <f t="shared" si="133"/>
        <v>0</v>
      </c>
      <c r="Z221" s="50"/>
      <c r="AA221" s="50">
        <f t="shared" si="134"/>
        <v>0</v>
      </c>
      <c r="AB221" s="50">
        <f t="shared" si="135"/>
        <v>6393.92</v>
      </c>
      <c r="AC221" s="30" t="str">
        <f t="shared" si="136"/>
        <v>ok</v>
      </c>
    </row>
    <row r="222" spans="1:29" x14ac:dyDescent="0.2">
      <c r="A222" s="14">
        <v>593</v>
      </c>
      <c r="B222" s="14" t="s">
        <v>124</v>
      </c>
      <c r="C222" s="14" t="s">
        <v>125</v>
      </c>
      <c r="D222" s="14" t="s">
        <v>29</v>
      </c>
      <c r="F222" s="234">
        <f>5895981.72+15718.02+655473.37+-1416873.33+11604592.86</f>
        <v>16754892.639999999</v>
      </c>
      <c r="G222" s="194"/>
      <c r="H222" s="50">
        <f t="shared" si="123"/>
        <v>0</v>
      </c>
      <c r="I222" s="50">
        <f t="shared" si="124"/>
        <v>0</v>
      </c>
      <c r="J222" s="50"/>
      <c r="K222" s="50">
        <f t="shared" si="125"/>
        <v>0</v>
      </c>
      <c r="L222" s="50"/>
      <c r="M222" s="50">
        <f t="shared" si="126"/>
        <v>0</v>
      </c>
      <c r="N222" s="50"/>
      <c r="O222" s="50">
        <f t="shared" si="127"/>
        <v>11971117.98937129</v>
      </c>
      <c r="P222" s="50">
        <f t="shared" si="128"/>
        <v>4783774.6506287074</v>
      </c>
      <c r="Q222" s="50"/>
      <c r="R222" s="50">
        <f t="shared" si="129"/>
        <v>0</v>
      </c>
      <c r="S222" s="50">
        <f t="shared" si="130"/>
        <v>0</v>
      </c>
      <c r="T222" s="50"/>
      <c r="U222" s="50">
        <f t="shared" si="131"/>
        <v>0</v>
      </c>
      <c r="V222" s="50"/>
      <c r="W222" s="50">
        <f t="shared" si="132"/>
        <v>0</v>
      </c>
      <c r="X222" s="50"/>
      <c r="Y222" s="50">
        <f t="shared" si="133"/>
        <v>0</v>
      </c>
      <c r="Z222" s="50"/>
      <c r="AA222" s="50">
        <f t="shared" si="134"/>
        <v>0</v>
      </c>
      <c r="AB222" s="50">
        <f t="shared" si="135"/>
        <v>16754892.639999997</v>
      </c>
      <c r="AC222" s="30" t="str">
        <f t="shared" si="136"/>
        <v>ok</v>
      </c>
    </row>
    <row r="223" spans="1:29" x14ac:dyDescent="0.2">
      <c r="A223" s="14">
        <v>594</v>
      </c>
      <c r="B223" s="14" t="s">
        <v>126</v>
      </c>
      <c r="C223" s="14" t="s">
        <v>127</v>
      </c>
      <c r="D223" s="14" t="s">
        <v>35</v>
      </c>
      <c r="F223" s="234">
        <v>2088.44</v>
      </c>
      <c r="G223" s="194"/>
      <c r="H223" s="50">
        <f t="shared" si="123"/>
        <v>0</v>
      </c>
      <c r="I223" s="50">
        <f t="shared" si="124"/>
        <v>0</v>
      </c>
      <c r="J223" s="50"/>
      <c r="K223" s="50">
        <f t="shared" si="125"/>
        <v>0</v>
      </c>
      <c r="L223" s="50"/>
      <c r="M223" s="50">
        <f t="shared" si="126"/>
        <v>0</v>
      </c>
      <c r="N223" s="50"/>
      <c r="O223" s="50">
        <f t="shared" si="127"/>
        <v>1050.1863465038703</v>
      </c>
      <c r="P223" s="50">
        <f t="shared" si="128"/>
        <v>1038.2536534961298</v>
      </c>
      <c r="Q223" s="50"/>
      <c r="R223" s="50">
        <f t="shared" si="129"/>
        <v>0</v>
      </c>
      <c r="S223" s="50">
        <f t="shared" si="130"/>
        <v>0</v>
      </c>
      <c r="T223" s="50"/>
      <c r="U223" s="50">
        <f t="shared" si="131"/>
        <v>0</v>
      </c>
      <c r="V223" s="50"/>
      <c r="W223" s="50">
        <f t="shared" si="132"/>
        <v>0</v>
      </c>
      <c r="X223" s="50"/>
      <c r="Y223" s="50">
        <f t="shared" si="133"/>
        <v>0</v>
      </c>
      <c r="Z223" s="50"/>
      <c r="AA223" s="50">
        <f t="shared" si="134"/>
        <v>0</v>
      </c>
      <c r="AB223" s="50">
        <f t="shared" si="135"/>
        <v>2088.44</v>
      </c>
      <c r="AC223" s="30" t="str">
        <f t="shared" si="136"/>
        <v>ok</v>
      </c>
    </row>
    <row r="224" spans="1:29" x14ac:dyDescent="0.2">
      <c r="A224" s="14">
        <v>595</v>
      </c>
      <c r="B224" s="14" t="s">
        <v>128</v>
      </c>
      <c r="C224" s="14" t="s">
        <v>129</v>
      </c>
      <c r="D224" s="14" t="s">
        <v>37</v>
      </c>
      <c r="F224" s="234">
        <v>1821.99</v>
      </c>
      <c r="G224" s="194"/>
      <c r="H224" s="50">
        <f t="shared" si="123"/>
        <v>0</v>
      </c>
      <c r="I224" s="50">
        <f t="shared" si="124"/>
        <v>0</v>
      </c>
      <c r="J224" s="50"/>
      <c r="K224" s="50">
        <f t="shared" si="125"/>
        <v>0</v>
      </c>
      <c r="L224" s="50"/>
      <c r="M224" s="50">
        <f t="shared" si="126"/>
        <v>0</v>
      </c>
      <c r="N224" s="50"/>
      <c r="O224" s="50">
        <f t="shared" si="127"/>
        <v>817.74094824734539</v>
      </c>
      <c r="P224" s="50">
        <f t="shared" si="128"/>
        <v>1004.2490517526546</v>
      </c>
      <c r="Q224" s="50"/>
      <c r="R224" s="50">
        <f t="shared" si="129"/>
        <v>0</v>
      </c>
      <c r="S224" s="50">
        <f t="shared" si="130"/>
        <v>0</v>
      </c>
      <c r="T224" s="50"/>
      <c r="U224" s="50">
        <f t="shared" si="131"/>
        <v>0</v>
      </c>
      <c r="V224" s="50"/>
      <c r="W224" s="50">
        <f t="shared" si="132"/>
        <v>0</v>
      </c>
      <c r="X224" s="50"/>
      <c r="Y224" s="50">
        <f t="shared" si="133"/>
        <v>0</v>
      </c>
      <c r="Z224" s="50"/>
      <c r="AA224" s="50">
        <f t="shared" si="134"/>
        <v>0</v>
      </c>
      <c r="AB224" s="50">
        <f t="shared" si="135"/>
        <v>1821.99</v>
      </c>
      <c r="AC224" s="30" t="str">
        <f t="shared" si="136"/>
        <v>ok</v>
      </c>
    </row>
    <row r="225" spans="1:29" x14ac:dyDescent="0.2">
      <c r="A225" s="14">
        <v>596</v>
      </c>
      <c r="B225" s="14" t="s">
        <v>380</v>
      </c>
      <c r="C225" s="14" t="s">
        <v>381</v>
      </c>
      <c r="D225" s="14" t="s">
        <v>48</v>
      </c>
      <c r="F225" s="234">
        <f>4904.23</f>
        <v>4904.2299999999996</v>
      </c>
      <c r="G225" s="194"/>
      <c r="H225" s="50">
        <f t="shared" si="123"/>
        <v>0</v>
      </c>
      <c r="I225" s="50">
        <f t="shared" si="124"/>
        <v>0</v>
      </c>
      <c r="J225" s="50"/>
      <c r="K225" s="50">
        <f t="shared" si="125"/>
        <v>0</v>
      </c>
      <c r="L225" s="50"/>
      <c r="M225" s="50">
        <f t="shared" si="126"/>
        <v>0</v>
      </c>
      <c r="N225" s="50"/>
      <c r="O225" s="50">
        <f t="shared" si="127"/>
        <v>0</v>
      </c>
      <c r="P225" s="50">
        <f t="shared" si="128"/>
        <v>0</v>
      </c>
      <c r="Q225" s="50"/>
      <c r="R225" s="50">
        <f t="shared" si="129"/>
        <v>0</v>
      </c>
      <c r="S225" s="50">
        <f t="shared" si="130"/>
        <v>0</v>
      </c>
      <c r="T225" s="50"/>
      <c r="U225" s="50">
        <f t="shared" si="131"/>
        <v>0</v>
      </c>
      <c r="V225" s="50"/>
      <c r="W225" s="50">
        <f t="shared" si="132"/>
        <v>4904.2299999999996</v>
      </c>
      <c r="X225" s="50"/>
      <c r="Y225" s="50">
        <f t="shared" si="133"/>
        <v>0</v>
      </c>
      <c r="Z225" s="50"/>
      <c r="AA225" s="50">
        <f t="shared" si="134"/>
        <v>0</v>
      </c>
      <c r="AB225" s="50">
        <f t="shared" si="135"/>
        <v>4904.2299999999996</v>
      </c>
      <c r="AC225" s="30" t="str">
        <f t="shared" si="136"/>
        <v>ok</v>
      </c>
    </row>
    <row r="226" spans="1:29" x14ac:dyDescent="0.2">
      <c r="A226" s="14">
        <v>597</v>
      </c>
      <c r="B226" s="14" t="s">
        <v>130</v>
      </c>
      <c r="C226" s="14" t="s">
        <v>131</v>
      </c>
      <c r="D226" s="14" t="s">
        <v>43</v>
      </c>
      <c r="F226" s="234">
        <v>22407.93</v>
      </c>
      <c r="G226" s="194"/>
      <c r="H226" s="50"/>
      <c r="I226" s="50">
        <f t="shared" si="124"/>
        <v>0</v>
      </c>
      <c r="J226" s="50"/>
      <c r="K226" s="50">
        <f t="shared" si="125"/>
        <v>0</v>
      </c>
      <c r="L226" s="50"/>
      <c r="M226" s="50">
        <f t="shared" si="126"/>
        <v>0</v>
      </c>
      <c r="N226" s="50"/>
      <c r="O226" s="50">
        <f t="shared" si="127"/>
        <v>0</v>
      </c>
      <c r="P226" s="50">
        <f t="shared" si="128"/>
        <v>0</v>
      </c>
      <c r="Q226" s="50"/>
      <c r="R226" s="50">
        <f t="shared" si="129"/>
        <v>0</v>
      </c>
      <c r="S226" s="50">
        <f t="shared" si="130"/>
        <v>0</v>
      </c>
      <c r="T226" s="50"/>
      <c r="U226" s="50">
        <f t="shared" si="131"/>
        <v>22407.93</v>
      </c>
      <c r="V226" s="50"/>
      <c r="W226" s="50">
        <f t="shared" si="132"/>
        <v>0</v>
      </c>
      <c r="X226" s="50"/>
      <c r="Y226" s="50">
        <f t="shared" si="133"/>
        <v>0</v>
      </c>
      <c r="Z226" s="50"/>
      <c r="AA226" s="50">
        <f t="shared" si="134"/>
        <v>0</v>
      </c>
      <c r="AB226" s="50">
        <f t="shared" si="135"/>
        <v>22407.93</v>
      </c>
      <c r="AC226" s="30" t="str">
        <f t="shared" si="136"/>
        <v>ok</v>
      </c>
    </row>
    <row r="227" spans="1:29" x14ac:dyDescent="0.2">
      <c r="A227" s="14">
        <v>598</v>
      </c>
      <c r="B227" s="14" t="s">
        <v>384</v>
      </c>
      <c r="C227" s="14" t="s">
        <v>132</v>
      </c>
      <c r="D227" s="14" t="s">
        <v>16</v>
      </c>
      <c r="F227" s="234">
        <f>12798.04+224.36+148.29+21182.01</f>
        <v>34352.699999999997</v>
      </c>
      <c r="G227" s="194"/>
      <c r="H227" s="50">
        <f>IF(VLOOKUP($D227,$C$5:$AA$493,6,)=0,0,((VLOOKUP($D227,$C$5:$AA$493,6,)/VLOOKUP($D227,$C$5:$AA$493,4,))*$F227))</f>
        <v>0</v>
      </c>
      <c r="I227" s="50">
        <f t="shared" si="124"/>
        <v>0</v>
      </c>
      <c r="J227" s="50"/>
      <c r="K227" s="50">
        <f t="shared" si="125"/>
        <v>0</v>
      </c>
      <c r="L227" s="50"/>
      <c r="M227" s="50">
        <f t="shared" si="126"/>
        <v>126.61530788324693</v>
      </c>
      <c r="N227" s="50"/>
      <c r="O227" s="50">
        <f t="shared" si="127"/>
        <v>16730.137707604881</v>
      </c>
      <c r="P227" s="50">
        <f t="shared" si="128"/>
        <v>9416.3832254168137</v>
      </c>
      <c r="Q227" s="50"/>
      <c r="R227" s="50">
        <f t="shared" si="129"/>
        <v>0</v>
      </c>
      <c r="S227" s="50">
        <f t="shared" si="130"/>
        <v>4327.548878408993</v>
      </c>
      <c r="T227" s="50"/>
      <c r="U227" s="50">
        <f t="shared" si="131"/>
        <v>1882.915328670721</v>
      </c>
      <c r="V227" s="50"/>
      <c r="W227" s="50">
        <f t="shared" si="132"/>
        <v>1869.0995520153465</v>
      </c>
      <c r="X227" s="50"/>
      <c r="Y227" s="50">
        <f t="shared" si="133"/>
        <v>0</v>
      </c>
      <c r="Z227" s="50"/>
      <c r="AA227" s="50">
        <f t="shared" si="134"/>
        <v>0</v>
      </c>
      <c r="AB227" s="50">
        <f t="shared" si="135"/>
        <v>34352.700000000004</v>
      </c>
      <c r="AC227" s="30" t="str">
        <f t="shared" si="136"/>
        <v>ok</v>
      </c>
    </row>
    <row r="228" spans="1:29" x14ac:dyDescent="0.2">
      <c r="F228" s="234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30"/>
    </row>
    <row r="229" spans="1:29" x14ac:dyDescent="0.2">
      <c r="A229" s="14" t="s">
        <v>133</v>
      </c>
      <c r="C229" s="14" t="s">
        <v>134</v>
      </c>
      <c r="F229" s="233">
        <f t="shared" ref="F229:M229" si="137">SUM(F220:F228)</f>
        <v>16904788.509999998</v>
      </c>
      <c r="G229" s="66"/>
      <c r="H229" s="66">
        <f t="shared" si="137"/>
        <v>0</v>
      </c>
      <c r="I229" s="66">
        <f t="shared" si="137"/>
        <v>0</v>
      </c>
      <c r="J229" s="66"/>
      <c r="K229" s="66">
        <f t="shared" si="137"/>
        <v>0</v>
      </c>
      <c r="L229" s="66"/>
      <c r="M229" s="66">
        <f t="shared" si="137"/>
        <v>6807.7531407817705</v>
      </c>
      <c r="N229" s="66"/>
      <c r="O229" s="66">
        <f t="shared" ref="O229:AA229" si="138">SUM(O220:O228)</f>
        <v>12027667.183481216</v>
      </c>
      <c r="P229" s="66">
        <f t="shared" si="138"/>
        <v>4816593.9330940489</v>
      </c>
      <c r="Q229" s="66"/>
      <c r="R229" s="66">
        <f t="shared" si="138"/>
        <v>0</v>
      </c>
      <c r="S229" s="66">
        <f t="shared" si="138"/>
        <v>14144.286138687195</v>
      </c>
      <c r="T229" s="66"/>
      <c r="U229" s="66">
        <f t="shared" si="138"/>
        <v>28562.105014986835</v>
      </c>
      <c r="V229" s="66"/>
      <c r="W229" s="66">
        <f t="shared" si="138"/>
        <v>11013.249130274178</v>
      </c>
      <c r="X229" s="66"/>
      <c r="Y229" s="66">
        <f t="shared" si="138"/>
        <v>0</v>
      </c>
      <c r="Z229" s="66"/>
      <c r="AA229" s="66">
        <f t="shared" si="138"/>
        <v>0</v>
      </c>
      <c r="AB229" s="50">
        <f>SUM(H229:AA229)</f>
        <v>16904788.509999998</v>
      </c>
      <c r="AC229" s="30" t="str">
        <f>IF(ABS(AB229-F229)&lt;1,"ok","err")</f>
        <v>ok</v>
      </c>
    </row>
    <row r="230" spans="1:29" x14ac:dyDescent="0.2">
      <c r="D230" s="36"/>
      <c r="F230" s="234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C230" s="30"/>
    </row>
    <row r="231" spans="1:29" x14ac:dyDescent="0.2">
      <c r="A231" s="14" t="s">
        <v>382</v>
      </c>
      <c r="F231" s="234">
        <f>F215+F229</f>
        <v>21440459.869999997</v>
      </c>
      <c r="G231" s="50"/>
      <c r="H231" s="50">
        <f>H215+H229</f>
        <v>0</v>
      </c>
      <c r="I231" s="50">
        <f>I215+I229</f>
        <v>0</v>
      </c>
      <c r="J231" s="50"/>
      <c r="K231" s="50">
        <f>K215+K229</f>
        <v>0</v>
      </c>
      <c r="L231" s="50"/>
      <c r="M231" s="50">
        <f>M215+M229</f>
        <v>197072.14110725644</v>
      </c>
      <c r="N231" s="50"/>
      <c r="O231" s="50">
        <f>O215+O229</f>
        <v>13372656.810328526</v>
      </c>
      <c r="P231" s="50">
        <f>P215+P229</f>
        <v>5660375.9237880744</v>
      </c>
      <c r="Q231" s="50"/>
      <c r="R231" s="50">
        <f>R215+R229</f>
        <v>0</v>
      </c>
      <c r="S231" s="50">
        <f>S215+S229</f>
        <v>487481.23088896624</v>
      </c>
      <c r="T231" s="50"/>
      <c r="U231" s="50">
        <f>U215+U229</f>
        <v>1675594.8020690333</v>
      </c>
      <c r="V231" s="50"/>
      <c r="W231" s="50">
        <f>W215+W229</f>
        <v>47278.961818138006</v>
      </c>
      <c r="X231" s="50"/>
      <c r="Y231" s="50">
        <f>Y215+Y229</f>
        <v>0</v>
      </c>
      <c r="Z231" s="50"/>
      <c r="AA231" s="50">
        <f>AA215+AA229</f>
        <v>0</v>
      </c>
      <c r="AB231" s="50">
        <f>SUM(H231:AA231)</f>
        <v>21440459.869999994</v>
      </c>
      <c r="AC231" s="30" t="str">
        <f>IF(ABS(AB231-F231)&lt;1,"ok","err")</f>
        <v>ok</v>
      </c>
    </row>
    <row r="232" spans="1:29" x14ac:dyDescent="0.2">
      <c r="F232" s="234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C232" s="30"/>
    </row>
    <row r="233" spans="1:29" x14ac:dyDescent="0.2">
      <c r="A233" s="14" t="s">
        <v>383</v>
      </c>
      <c r="F233" s="234">
        <f>F231+F199</f>
        <v>21440459.869999997</v>
      </c>
      <c r="G233" s="50"/>
      <c r="H233" s="50">
        <f>H231+H199</f>
        <v>0</v>
      </c>
      <c r="I233" s="50">
        <f>I231+I199</f>
        <v>0</v>
      </c>
      <c r="J233" s="50"/>
      <c r="K233" s="50">
        <f>K231+K199</f>
        <v>0</v>
      </c>
      <c r="L233" s="50"/>
      <c r="M233" s="50">
        <f>M231+M199</f>
        <v>197072.14110725644</v>
      </c>
      <c r="N233" s="50"/>
      <c r="O233" s="50">
        <f>O231+O199</f>
        <v>13372656.810328526</v>
      </c>
      <c r="P233" s="50">
        <f>P231+P199</f>
        <v>5660375.9237880744</v>
      </c>
      <c r="Q233" s="50"/>
      <c r="R233" s="50">
        <f>R231+R199</f>
        <v>0</v>
      </c>
      <c r="S233" s="50">
        <f>S231+S199</f>
        <v>487481.23088896624</v>
      </c>
      <c r="T233" s="50"/>
      <c r="U233" s="50">
        <f>U231+U199</f>
        <v>1675594.8020690333</v>
      </c>
      <c r="V233" s="50"/>
      <c r="W233" s="50">
        <f>W231+W199</f>
        <v>47278.961818138006</v>
      </c>
      <c r="X233" s="50"/>
      <c r="Y233" s="50">
        <f>Y231+Y199</f>
        <v>0</v>
      </c>
      <c r="Z233" s="50"/>
      <c r="AA233" s="50">
        <f>AA231+AA199</f>
        <v>0</v>
      </c>
      <c r="AB233" s="50">
        <f>SUM(H233:AA233)</f>
        <v>21440459.869999994</v>
      </c>
      <c r="AC233" s="30" t="str">
        <f>IF(ABS(AB233-F233)&lt;1,"ok","err")</f>
        <v>ok</v>
      </c>
    </row>
    <row r="234" spans="1:29" x14ac:dyDescent="0.2">
      <c r="F234" s="234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C234" s="30"/>
    </row>
    <row r="235" spans="1:29" x14ac:dyDescent="0.2">
      <c r="A235" s="14" t="s">
        <v>826</v>
      </c>
      <c r="F235" s="234">
        <f>F170+F199+F231</f>
        <v>21440459.869999997</v>
      </c>
      <c r="G235" s="50"/>
      <c r="H235" s="50">
        <f>H170+H199+H231</f>
        <v>0</v>
      </c>
      <c r="I235" s="50">
        <f>I170+I199+I231</f>
        <v>0</v>
      </c>
      <c r="J235" s="50"/>
      <c r="K235" s="50">
        <f>K170+K199+K231</f>
        <v>0</v>
      </c>
      <c r="L235" s="50"/>
      <c r="M235" s="50">
        <f>M170+M199+M231</f>
        <v>197072.14110725644</v>
      </c>
      <c r="N235" s="50"/>
      <c r="O235" s="50">
        <f>O170+O199+O231</f>
        <v>13372656.810328526</v>
      </c>
      <c r="P235" s="50">
        <f>P170+P199+P231</f>
        <v>5660375.9237880744</v>
      </c>
      <c r="Q235" s="50"/>
      <c r="R235" s="50">
        <f>R170+R199+R231</f>
        <v>0</v>
      </c>
      <c r="S235" s="50">
        <f>S170+S199+S231</f>
        <v>487481.23088896624</v>
      </c>
      <c r="T235" s="50"/>
      <c r="U235" s="50">
        <f>U170+U199+U231</f>
        <v>1675594.8020690333</v>
      </c>
      <c r="V235" s="50"/>
      <c r="W235" s="50">
        <f>W170+W199+W231</f>
        <v>47278.961818138006</v>
      </c>
      <c r="X235" s="50"/>
      <c r="Y235" s="50">
        <f>Y170+Y199+Y231</f>
        <v>0</v>
      </c>
      <c r="Z235" s="50"/>
      <c r="AA235" s="50">
        <f>AA170+AA199+AA231</f>
        <v>0</v>
      </c>
      <c r="AB235" s="50">
        <f>SUM(H235:AA235)</f>
        <v>21440459.869999994</v>
      </c>
      <c r="AC235" s="30" t="str">
        <f>IF(ABS(AB235-F235)&lt;1,"ok","err")</f>
        <v>ok</v>
      </c>
    </row>
    <row r="236" spans="1:29" x14ac:dyDescent="0.2">
      <c r="F236" s="234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C236" s="30"/>
    </row>
    <row r="237" spans="1:29" x14ac:dyDescent="0.2">
      <c r="A237" s="14" t="s">
        <v>825</v>
      </c>
      <c r="C237" s="14" t="s">
        <v>135</v>
      </c>
      <c r="F237" s="233">
        <f>F231+F199+F180+F170</f>
        <v>130481664.87</v>
      </c>
      <c r="G237" s="66"/>
      <c r="H237" s="66">
        <f>H231+H199+H180+H170</f>
        <v>32193190.155008759</v>
      </c>
      <c r="I237" s="66">
        <f>I231+I199+I180+I170</f>
        <v>76848014.844991267</v>
      </c>
      <c r="J237" s="66"/>
      <c r="K237" s="66">
        <f>K231+K199+K180+K170</f>
        <v>0</v>
      </c>
      <c r="L237" s="66"/>
      <c r="M237" s="66">
        <f>M231+M199+M180+M170</f>
        <v>197072.14110725644</v>
      </c>
      <c r="N237" s="66"/>
      <c r="O237" s="66">
        <f>O231+O199+O180+O170</f>
        <v>13372656.810328526</v>
      </c>
      <c r="P237" s="66">
        <f>P231+P199+P180+P170</f>
        <v>5660375.9237880744</v>
      </c>
      <c r="Q237" s="66"/>
      <c r="R237" s="66">
        <f>R231+R199+R180+R170</f>
        <v>0</v>
      </c>
      <c r="S237" s="66">
        <f>S231+S199+S180+S170</f>
        <v>487481.23088896624</v>
      </c>
      <c r="T237" s="66"/>
      <c r="U237" s="66">
        <f>U231+U199+U180+U170</f>
        <v>1675594.8020690333</v>
      </c>
      <c r="V237" s="66"/>
      <c r="W237" s="66">
        <f>W231+W199+W180+W170</f>
        <v>47278.961818138006</v>
      </c>
      <c r="X237" s="66"/>
      <c r="Y237" s="66">
        <f>Y231+Y199+Y180+Y170</f>
        <v>0</v>
      </c>
      <c r="Z237" s="66"/>
      <c r="AA237" s="66">
        <f>AA231+AA199+AA180+AA170</f>
        <v>0</v>
      </c>
      <c r="AB237" s="50">
        <f>SUM(H237:AA237)</f>
        <v>130481664.87000003</v>
      </c>
      <c r="AC237" s="30" t="str">
        <f>IF(ABS(AB237-F237)&lt;1,"ok","err")</f>
        <v>ok</v>
      </c>
    </row>
    <row r="238" spans="1:29" x14ac:dyDescent="0.2">
      <c r="A238" s="13"/>
      <c r="F238" s="234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C238" s="30"/>
    </row>
    <row r="239" spans="1:29" x14ac:dyDescent="0.2">
      <c r="A239" s="13" t="s">
        <v>137</v>
      </c>
      <c r="F239" s="234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C239" s="30"/>
    </row>
    <row r="240" spans="1:29" x14ac:dyDescent="0.2">
      <c r="A240" s="14">
        <v>901</v>
      </c>
      <c r="B240" s="14" t="s">
        <v>138</v>
      </c>
      <c r="C240" s="14" t="s">
        <v>139</v>
      </c>
      <c r="D240" s="14" t="s">
        <v>140</v>
      </c>
      <c r="F240" s="233">
        <v>32568</v>
      </c>
      <c r="G240" s="193"/>
      <c r="H240" s="50">
        <f>IF(VLOOKUP($D240,$C$5:$AA$493,6,)=0,0,((VLOOKUP($D240,$C$5:$AA$493,6,)/VLOOKUP($D240,$C$5:$AA$493,4,))*$F240))</f>
        <v>0</v>
      </c>
      <c r="I240" s="50">
        <f>IF(VLOOKUP($D240,$C$5:$AA$493,7,)=0,0,((VLOOKUP($D240,$C$5:$AA$493,7,)/VLOOKUP($D240,$C$5:$AA$493,4,))*$F240))</f>
        <v>0</v>
      </c>
      <c r="J240" s="50"/>
      <c r="K240" s="50">
        <f>IF(VLOOKUP($D240,$C$5:$AA$493,9,)=0,0,((VLOOKUP($D240,$C$5:$AA$493,9,)/VLOOKUP($D240,$C$5:$AA$493,4,))*$F240))</f>
        <v>0</v>
      </c>
      <c r="L240" s="50"/>
      <c r="M240" s="50">
        <f>IF(VLOOKUP($D240,$C$5:$AA$493,11,)=0,0,((VLOOKUP($D240,$C$5:$AA$493,11,)/VLOOKUP($D240,$C$5:$AA$493,4,))*$F240))</f>
        <v>0</v>
      </c>
      <c r="N240" s="50"/>
      <c r="O240" s="50">
        <f>IF(VLOOKUP($D240,$C$5:$AA$493,13,)=0,0,((VLOOKUP($D240,$C$5:$AA$493,13,)/VLOOKUP($D240,$C$5:$AA$493,4,))*$F240))</f>
        <v>0</v>
      </c>
      <c r="P240" s="50">
        <f>IF(VLOOKUP($D240,$C$5:$AA$493,14,)=0,0,((VLOOKUP($D240,$C$5:$AA$493,14,)/VLOOKUP($D240,$C$5:$AA$493,4,))*$F240))</f>
        <v>0</v>
      </c>
      <c r="Q240" s="50"/>
      <c r="R240" s="50">
        <f>IF(VLOOKUP($D240,$C$5:$AA$493,16,)=0,0,((VLOOKUP($D240,$C$5:$AA$493,16,)/VLOOKUP($D240,$C$5:$AA$493,4,))*$F240))</f>
        <v>0</v>
      </c>
      <c r="S240" s="50">
        <f>IF(VLOOKUP($D240,$C$5:$AA$493,17,)=0,0,((VLOOKUP($D240,$C$5:$AA$493,17,)/VLOOKUP($D240,$C$5:$AA$493,4,))*$F240))</f>
        <v>0</v>
      </c>
      <c r="T240" s="50"/>
      <c r="U240" s="50">
        <f>IF(VLOOKUP($D240,$C$5:$AA$493,19,)=0,0,((VLOOKUP($D240,$C$5:$AA$493,19,)/VLOOKUP($D240,$C$5:$AA$493,4,))*$F240))</f>
        <v>0</v>
      </c>
      <c r="V240" s="50"/>
      <c r="W240" s="50">
        <f>IF(VLOOKUP($D240,$C$5:$AA$493,21,)=0,0,((VLOOKUP($D240,$C$5:$AA$493,21,)/VLOOKUP($D240,$C$5:$AA$493,4,))*$F240))</f>
        <v>0</v>
      </c>
      <c r="X240" s="50"/>
      <c r="Y240" s="50">
        <f>IF(VLOOKUP($D240,$C$5:$AA$493,23,)=0,0,((VLOOKUP($D240,$C$5:$AA$493,23,)/VLOOKUP($D240,$C$5:$AA$493,4,))*$F240))</f>
        <v>32568</v>
      </c>
      <c r="Z240" s="50"/>
      <c r="AA240" s="50">
        <f>IF(VLOOKUP($D240,$C$5:$AA$493,25,)=0,0,((VLOOKUP($D240,$C$5:$AA$493,25,)/VLOOKUP($D240,$C$5:$AA$493,4,))*$F240))</f>
        <v>0</v>
      </c>
      <c r="AB240" s="50">
        <f>SUM(H240:AA240)</f>
        <v>32568</v>
      </c>
      <c r="AC240" s="30" t="str">
        <f>IF(ABS(AB240-F240)&lt;1,"ok","err")</f>
        <v>ok</v>
      </c>
    </row>
    <row r="241" spans="1:29" x14ac:dyDescent="0.2">
      <c r="A241" s="14">
        <v>902</v>
      </c>
      <c r="B241" s="14" t="s">
        <v>141</v>
      </c>
      <c r="C241" s="14" t="s">
        <v>142</v>
      </c>
      <c r="D241" s="14" t="s">
        <v>140</v>
      </c>
      <c r="F241" s="234">
        <f>4159546.89+790</f>
        <v>4160336.89</v>
      </c>
      <c r="G241" s="194"/>
      <c r="H241" s="50">
        <f>IF(VLOOKUP($D241,$C$5:$AA$493,6,)=0,0,((VLOOKUP($D241,$C$5:$AA$493,6,)/VLOOKUP($D241,$C$5:$AA$493,4,))*$F241))</f>
        <v>0</v>
      </c>
      <c r="I241" s="50">
        <f>IF(VLOOKUP($D241,$C$5:$AA$493,7,)=0,0,((VLOOKUP($D241,$C$5:$AA$493,7,)/VLOOKUP($D241,$C$5:$AA$493,4,))*$F241))</f>
        <v>0</v>
      </c>
      <c r="J241" s="50"/>
      <c r="K241" s="50">
        <f>IF(VLOOKUP($D241,$C$5:$AA$493,9,)=0,0,((VLOOKUP($D241,$C$5:$AA$493,9,)/VLOOKUP($D241,$C$5:$AA$493,4,))*$F241))</f>
        <v>0</v>
      </c>
      <c r="L241" s="50"/>
      <c r="M241" s="50">
        <f>IF(VLOOKUP($D241,$C$5:$AA$493,11,)=0,0,((VLOOKUP($D241,$C$5:$AA$493,11,)/VLOOKUP($D241,$C$5:$AA$493,4,))*$F241))</f>
        <v>0</v>
      </c>
      <c r="N241" s="50"/>
      <c r="O241" s="50">
        <f>IF(VLOOKUP($D241,$C$5:$AA$493,13,)=0,0,((VLOOKUP($D241,$C$5:$AA$493,13,)/VLOOKUP($D241,$C$5:$AA$493,4,))*$F241))</f>
        <v>0</v>
      </c>
      <c r="P241" s="50">
        <f>IF(VLOOKUP($D241,$C$5:$AA$493,14,)=0,0,((VLOOKUP($D241,$C$5:$AA$493,14,)/VLOOKUP($D241,$C$5:$AA$493,4,))*$F241))</f>
        <v>0</v>
      </c>
      <c r="Q241" s="50"/>
      <c r="R241" s="50">
        <f>IF(VLOOKUP($D241,$C$5:$AA$493,16,)=0,0,((VLOOKUP($D241,$C$5:$AA$493,16,)/VLOOKUP($D241,$C$5:$AA$493,4,))*$F241))</f>
        <v>0</v>
      </c>
      <c r="S241" s="50">
        <f>IF(VLOOKUP($D241,$C$5:$AA$493,17,)=0,0,((VLOOKUP($D241,$C$5:$AA$493,17,)/VLOOKUP($D241,$C$5:$AA$493,4,))*$F241))</f>
        <v>0</v>
      </c>
      <c r="T241" s="50"/>
      <c r="U241" s="50">
        <f>IF(VLOOKUP($D241,$C$5:$AA$493,19,)=0,0,((VLOOKUP($D241,$C$5:$AA$493,19,)/VLOOKUP($D241,$C$5:$AA$493,4,))*$F241))</f>
        <v>0</v>
      </c>
      <c r="V241" s="50"/>
      <c r="W241" s="50">
        <f>IF(VLOOKUP($D241,$C$5:$AA$493,21,)=0,0,((VLOOKUP($D241,$C$5:$AA$493,21,)/VLOOKUP($D241,$C$5:$AA$493,4,))*$F241))</f>
        <v>0</v>
      </c>
      <c r="X241" s="50"/>
      <c r="Y241" s="50">
        <f>IF(VLOOKUP($D241,$C$5:$AA$493,23,)=0,0,((VLOOKUP($D241,$C$5:$AA$493,23,)/VLOOKUP($D241,$C$5:$AA$493,4,))*$F241))</f>
        <v>4160336.89</v>
      </c>
      <c r="Z241" s="50"/>
      <c r="AA241" s="50">
        <f>IF(VLOOKUP($D241,$C$5:$AA$493,25,)=0,0,((VLOOKUP($D241,$C$5:$AA$493,25,)/VLOOKUP($D241,$C$5:$AA$493,4,))*$F241))</f>
        <v>0</v>
      </c>
      <c r="AB241" s="50">
        <f>SUM(H241:AA241)</f>
        <v>4160336.89</v>
      </c>
      <c r="AC241" s="30" t="str">
        <f>IF(ABS(AB241-F241)&lt;1,"ok","err")</f>
        <v>ok</v>
      </c>
    </row>
    <row r="242" spans="1:29" x14ac:dyDescent="0.2">
      <c r="A242" s="14">
        <v>903</v>
      </c>
      <c r="B242" s="14" t="s">
        <v>452</v>
      </c>
      <c r="C242" s="14" t="s">
        <v>143</v>
      </c>
      <c r="D242" s="14" t="s">
        <v>140</v>
      </c>
      <c r="F242" s="234">
        <v>137103.17000000001</v>
      </c>
      <c r="G242" s="194"/>
      <c r="H242" s="50">
        <f>IF(VLOOKUP($D242,$C$5:$AA$493,6,)=0,0,((VLOOKUP($D242,$C$5:$AA$493,6,)/VLOOKUP($D242,$C$5:$AA$493,4,))*$F242))</f>
        <v>0</v>
      </c>
      <c r="I242" s="50">
        <f>IF(VLOOKUP($D242,$C$5:$AA$493,7,)=0,0,((VLOOKUP($D242,$C$5:$AA$493,7,)/VLOOKUP($D242,$C$5:$AA$493,4,))*$F242))</f>
        <v>0</v>
      </c>
      <c r="J242" s="50"/>
      <c r="K242" s="50">
        <f>IF(VLOOKUP($D242,$C$5:$AA$493,9,)=0,0,((VLOOKUP($D242,$C$5:$AA$493,9,)/VLOOKUP($D242,$C$5:$AA$493,4,))*$F242))</f>
        <v>0</v>
      </c>
      <c r="L242" s="50"/>
      <c r="M242" s="50">
        <f>IF(VLOOKUP($D242,$C$5:$AA$493,11,)=0,0,((VLOOKUP($D242,$C$5:$AA$493,11,)/VLOOKUP($D242,$C$5:$AA$493,4,))*$F242))</f>
        <v>0</v>
      </c>
      <c r="N242" s="50"/>
      <c r="O242" s="50">
        <f>IF(VLOOKUP($D242,$C$5:$AA$493,13,)=0,0,((VLOOKUP($D242,$C$5:$AA$493,13,)/VLOOKUP($D242,$C$5:$AA$493,4,))*$F242))</f>
        <v>0</v>
      </c>
      <c r="P242" s="50">
        <f>IF(VLOOKUP($D242,$C$5:$AA$493,14,)=0,0,((VLOOKUP($D242,$C$5:$AA$493,14,)/VLOOKUP($D242,$C$5:$AA$493,4,))*$F242))</f>
        <v>0</v>
      </c>
      <c r="Q242" s="50"/>
      <c r="R242" s="50">
        <f>IF(VLOOKUP($D242,$C$5:$AA$493,16,)=0,0,((VLOOKUP($D242,$C$5:$AA$493,16,)/VLOOKUP($D242,$C$5:$AA$493,4,))*$F242))</f>
        <v>0</v>
      </c>
      <c r="S242" s="50">
        <f>IF(VLOOKUP($D242,$C$5:$AA$493,17,)=0,0,((VLOOKUP($D242,$C$5:$AA$493,17,)/VLOOKUP($D242,$C$5:$AA$493,4,))*$F242))</f>
        <v>0</v>
      </c>
      <c r="T242" s="50"/>
      <c r="U242" s="50">
        <f>IF(VLOOKUP($D242,$C$5:$AA$493,19,)=0,0,((VLOOKUP($D242,$C$5:$AA$493,19,)/VLOOKUP($D242,$C$5:$AA$493,4,))*$F242))</f>
        <v>0</v>
      </c>
      <c r="V242" s="50"/>
      <c r="W242" s="50">
        <f>IF(VLOOKUP($D242,$C$5:$AA$493,21,)=0,0,((VLOOKUP($D242,$C$5:$AA$493,21,)/VLOOKUP($D242,$C$5:$AA$493,4,))*$F242))</f>
        <v>0</v>
      </c>
      <c r="X242" s="50"/>
      <c r="Y242" s="50">
        <f>IF(VLOOKUP($D242,$C$5:$AA$493,23,)=0,0,((VLOOKUP($D242,$C$5:$AA$493,23,)/VLOOKUP($D242,$C$5:$AA$493,4,))*$F242))</f>
        <v>137103.17000000001</v>
      </c>
      <c r="Z242" s="50"/>
      <c r="AA242" s="50">
        <f>IF(VLOOKUP($D242,$C$5:$AA$493,25,)=0,0,((VLOOKUP($D242,$C$5:$AA$493,25,)/VLOOKUP($D242,$C$5:$AA$493,4,))*$F242))</f>
        <v>0</v>
      </c>
      <c r="AB242" s="50">
        <f>SUM(H242:AA242)</f>
        <v>137103.17000000001</v>
      </c>
      <c r="AC242" s="30" t="str">
        <f>IF(ABS(AB242-F242)&lt;1,"ok","err")</f>
        <v>ok</v>
      </c>
    </row>
    <row r="243" spans="1:29" x14ac:dyDescent="0.2">
      <c r="A243" s="14">
        <v>904</v>
      </c>
      <c r="B243" s="14" t="s">
        <v>144</v>
      </c>
      <c r="C243" s="14" t="s">
        <v>145</v>
      </c>
      <c r="D243" s="14" t="s">
        <v>140</v>
      </c>
      <c r="F243" s="234">
        <v>0</v>
      </c>
      <c r="G243" s="194"/>
      <c r="H243" s="50">
        <f>IF(VLOOKUP($D243,$C$5:$AA$493,6,)=0,0,((VLOOKUP($D243,$C$5:$AA$493,6,)/VLOOKUP($D243,$C$5:$AA$493,4,))*$F243))</f>
        <v>0</v>
      </c>
      <c r="I243" s="50">
        <f>IF(VLOOKUP($D243,$C$5:$AA$493,7,)=0,0,((VLOOKUP($D243,$C$5:$AA$493,7,)/VLOOKUP($D243,$C$5:$AA$493,4,))*$F243))</f>
        <v>0</v>
      </c>
      <c r="J243" s="50"/>
      <c r="K243" s="50">
        <f>IF(VLOOKUP($D243,$C$5:$AA$493,9,)=0,0,((VLOOKUP($D243,$C$5:$AA$493,9,)/VLOOKUP($D243,$C$5:$AA$493,4,))*$F243))</f>
        <v>0</v>
      </c>
      <c r="L243" s="50"/>
      <c r="M243" s="50">
        <f>IF(VLOOKUP($D243,$C$5:$AA$493,11,)=0,0,((VLOOKUP($D243,$C$5:$AA$493,11,)/VLOOKUP($D243,$C$5:$AA$493,4,))*$F243))</f>
        <v>0</v>
      </c>
      <c r="N243" s="50"/>
      <c r="O243" s="50">
        <f>IF(VLOOKUP($D243,$C$5:$AA$493,13,)=0,0,((VLOOKUP($D243,$C$5:$AA$493,13,)/VLOOKUP($D243,$C$5:$AA$493,4,))*$F243))</f>
        <v>0</v>
      </c>
      <c r="P243" s="50">
        <f>IF(VLOOKUP($D243,$C$5:$AA$493,14,)=0,0,((VLOOKUP($D243,$C$5:$AA$493,14,)/VLOOKUP($D243,$C$5:$AA$493,4,))*$F243))</f>
        <v>0</v>
      </c>
      <c r="Q243" s="50"/>
      <c r="R243" s="50">
        <f>IF(VLOOKUP($D243,$C$5:$AA$493,16,)=0,0,((VLOOKUP($D243,$C$5:$AA$493,16,)/VLOOKUP($D243,$C$5:$AA$493,4,))*$F243))</f>
        <v>0</v>
      </c>
      <c r="S243" s="50">
        <f>IF(VLOOKUP($D243,$C$5:$AA$493,17,)=0,0,((VLOOKUP($D243,$C$5:$AA$493,17,)/VLOOKUP($D243,$C$5:$AA$493,4,))*$F243))</f>
        <v>0</v>
      </c>
      <c r="T243" s="50"/>
      <c r="U243" s="50">
        <f>IF(VLOOKUP($D243,$C$5:$AA$493,19,)=0,0,((VLOOKUP($D243,$C$5:$AA$493,19,)/VLOOKUP($D243,$C$5:$AA$493,4,))*$F243))</f>
        <v>0</v>
      </c>
      <c r="V243" s="50"/>
      <c r="W243" s="50">
        <f>IF(VLOOKUP($D243,$C$5:$AA$493,21,)=0,0,((VLOOKUP($D243,$C$5:$AA$493,21,)/VLOOKUP($D243,$C$5:$AA$493,4,))*$F243))</f>
        <v>0</v>
      </c>
      <c r="X243" s="50"/>
      <c r="Y243" s="50">
        <f>IF(VLOOKUP($D243,$C$5:$AA$493,23,)=0,0,((VLOOKUP($D243,$C$5:$AA$493,23,)/VLOOKUP($D243,$C$5:$AA$493,4,))*$F243))</f>
        <v>0</v>
      </c>
      <c r="Z243" s="50"/>
      <c r="AA243" s="50">
        <f>IF(VLOOKUP($D243,$C$5:$AA$493,25,)=0,0,((VLOOKUP($D243,$C$5:$AA$493,25,)/VLOOKUP($D243,$C$5:$AA$493,4,))*$F243))</f>
        <v>0</v>
      </c>
      <c r="AB243" s="50">
        <f>SUM(H243:AA243)</f>
        <v>0</v>
      </c>
      <c r="AC243" s="30" t="str">
        <f>IF(ABS(AB243-F243)&lt;1,"ok","err")</f>
        <v>ok</v>
      </c>
    </row>
    <row r="244" spans="1:29" x14ac:dyDescent="0.2">
      <c r="A244" s="14">
        <v>905</v>
      </c>
      <c r="B244" s="14" t="s">
        <v>453</v>
      </c>
      <c r="C244" s="14" t="s">
        <v>143</v>
      </c>
      <c r="D244" s="14" t="s">
        <v>140</v>
      </c>
      <c r="F244" s="234">
        <v>0</v>
      </c>
      <c r="G244" s="194"/>
      <c r="H244" s="50">
        <f>IF(VLOOKUP($D244,$C$5:$AA$493,6,)=0,0,((VLOOKUP($D244,$C$5:$AA$493,6,)/VLOOKUP($D244,$C$5:$AA$493,4,))*$F244))</f>
        <v>0</v>
      </c>
      <c r="I244" s="50">
        <f>IF(VLOOKUP($D244,$C$5:$AA$493,7,)=0,0,((VLOOKUP($D244,$C$5:$AA$493,7,)/VLOOKUP($D244,$C$5:$AA$493,4,))*$F244))</f>
        <v>0</v>
      </c>
      <c r="J244" s="50"/>
      <c r="K244" s="50">
        <f>IF(VLOOKUP($D244,$C$5:$AA$493,9,)=0,0,((VLOOKUP($D244,$C$5:$AA$493,9,)/VLOOKUP($D244,$C$5:$AA$493,4,))*$F244))</f>
        <v>0</v>
      </c>
      <c r="L244" s="50"/>
      <c r="M244" s="50">
        <f>IF(VLOOKUP($D244,$C$5:$AA$493,11,)=0,0,((VLOOKUP($D244,$C$5:$AA$493,11,)/VLOOKUP($D244,$C$5:$AA$493,4,))*$F244))</f>
        <v>0</v>
      </c>
      <c r="N244" s="50"/>
      <c r="O244" s="50">
        <f>IF(VLOOKUP($D244,$C$5:$AA$493,13,)=0,0,((VLOOKUP($D244,$C$5:$AA$493,13,)/VLOOKUP($D244,$C$5:$AA$493,4,))*$F244))</f>
        <v>0</v>
      </c>
      <c r="P244" s="50">
        <f>IF(VLOOKUP($D244,$C$5:$AA$493,14,)=0,0,((VLOOKUP($D244,$C$5:$AA$493,14,)/VLOOKUP($D244,$C$5:$AA$493,4,))*$F244))</f>
        <v>0</v>
      </c>
      <c r="Q244" s="50"/>
      <c r="R244" s="50">
        <f>IF(VLOOKUP($D244,$C$5:$AA$493,16,)=0,0,((VLOOKUP($D244,$C$5:$AA$493,16,)/VLOOKUP($D244,$C$5:$AA$493,4,))*$F244))</f>
        <v>0</v>
      </c>
      <c r="S244" s="50">
        <f>IF(VLOOKUP($D244,$C$5:$AA$493,17,)=0,0,((VLOOKUP($D244,$C$5:$AA$493,17,)/VLOOKUP($D244,$C$5:$AA$493,4,))*$F244))</f>
        <v>0</v>
      </c>
      <c r="T244" s="50"/>
      <c r="U244" s="50">
        <f>IF(VLOOKUP($D244,$C$5:$AA$493,19,)=0,0,((VLOOKUP($D244,$C$5:$AA$493,19,)/VLOOKUP($D244,$C$5:$AA$493,4,))*$F244))</f>
        <v>0</v>
      </c>
      <c r="V244" s="50"/>
      <c r="W244" s="50">
        <f>IF(VLOOKUP($D244,$C$5:$AA$493,21,)=0,0,((VLOOKUP($D244,$C$5:$AA$493,21,)/VLOOKUP($D244,$C$5:$AA$493,4,))*$F244))</f>
        <v>0</v>
      </c>
      <c r="X244" s="50"/>
      <c r="Y244" s="50">
        <f>IF(VLOOKUP($D244,$C$5:$AA$493,23,)=0,0,((VLOOKUP($D244,$C$5:$AA$493,23,)/VLOOKUP($D244,$C$5:$AA$493,4,))*$F244))</f>
        <v>0</v>
      </c>
      <c r="Z244" s="50"/>
      <c r="AA244" s="50">
        <f>IF(VLOOKUP($D244,$C$5:$AA$493,25,)=0,0,((VLOOKUP($D244,$C$5:$AA$493,25,)/VLOOKUP($D244,$C$5:$AA$493,4,))*$F244))</f>
        <v>0</v>
      </c>
      <c r="AB244" s="50">
        <f>SUM(H244:AA244)</f>
        <v>0</v>
      </c>
      <c r="AC244" s="30" t="str">
        <f>IF(ABS(AB244-F244)&lt;1,"ok","err")</f>
        <v>ok</v>
      </c>
    </row>
    <row r="245" spans="1:29" x14ac:dyDescent="0.2">
      <c r="A245" s="13"/>
      <c r="F245" s="234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30"/>
    </row>
    <row r="246" spans="1:29" x14ac:dyDescent="0.2">
      <c r="A246" s="14" t="s">
        <v>146</v>
      </c>
      <c r="C246" s="14" t="s">
        <v>147</v>
      </c>
      <c r="F246" s="233">
        <f>SUM(F240:F245)</f>
        <v>4330008.0600000005</v>
      </c>
      <c r="G246" s="66"/>
      <c r="H246" s="66">
        <f t="shared" ref="H246:W246" si="139">SUM(H240:H245)</f>
        <v>0</v>
      </c>
      <c r="I246" s="66">
        <f t="shared" si="139"/>
        <v>0</v>
      </c>
      <c r="J246" s="66"/>
      <c r="K246" s="66">
        <f t="shared" si="139"/>
        <v>0</v>
      </c>
      <c r="L246" s="66"/>
      <c r="M246" s="66">
        <f t="shared" si="139"/>
        <v>0</v>
      </c>
      <c r="N246" s="66"/>
      <c r="O246" s="66">
        <f t="shared" si="139"/>
        <v>0</v>
      </c>
      <c r="P246" s="66">
        <f t="shared" si="139"/>
        <v>0</v>
      </c>
      <c r="Q246" s="66"/>
      <c r="R246" s="66">
        <f t="shared" si="139"/>
        <v>0</v>
      </c>
      <c r="S246" s="66">
        <f t="shared" si="139"/>
        <v>0</v>
      </c>
      <c r="T246" s="66"/>
      <c r="U246" s="66">
        <f t="shared" si="139"/>
        <v>0</v>
      </c>
      <c r="V246" s="66"/>
      <c r="W246" s="66">
        <f t="shared" si="139"/>
        <v>0</v>
      </c>
      <c r="X246" s="66"/>
      <c r="Y246" s="66">
        <f>SUM(Y240:Y245)</f>
        <v>4330008.0600000005</v>
      </c>
      <c r="Z246" s="66"/>
      <c r="AA246" s="66">
        <f>SUM(AA240:AA245)</f>
        <v>0</v>
      </c>
      <c r="AB246" s="50">
        <f>SUM(H246:AA246)</f>
        <v>4330008.0600000005</v>
      </c>
      <c r="AC246" s="30" t="str">
        <f>IF(ABS(AB246-F246)&lt;1,"ok","err")</f>
        <v>ok</v>
      </c>
    </row>
    <row r="247" spans="1:29" x14ac:dyDescent="0.2">
      <c r="F247" s="234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C247" s="30"/>
    </row>
    <row r="248" spans="1:29" x14ac:dyDescent="0.2">
      <c r="A248" s="13" t="s">
        <v>148</v>
      </c>
      <c r="F248" s="234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C248" s="30"/>
    </row>
    <row r="249" spans="1:29" x14ac:dyDescent="0.2">
      <c r="A249" s="14">
        <v>907</v>
      </c>
      <c r="B249" s="14" t="s">
        <v>385</v>
      </c>
      <c r="C249" s="14" t="s">
        <v>149</v>
      </c>
      <c r="D249" s="14" t="s">
        <v>150</v>
      </c>
      <c r="F249" s="233">
        <v>32568</v>
      </c>
      <c r="G249" s="193"/>
      <c r="H249" s="50">
        <f>IF(VLOOKUP($D249,$C$5:$AA$493,6,)=0,0,((VLOOKUP($D249,$C$5:$AA$493,6,)/VLOOKUP($D249,$C$5:$AA$493,4,))*$F249))</f>
        <v>0</v>
      </c>
      <c r="I249" s="50">
        <f t="shared" ref="I249:I260" si="140">IF(VLOOKUP($D249,$C$5:$AA$493,7,)=0,0,((VLOOKUP($D249,$C$5:$AA$493,7,)/VLOOKUP($D249,$C$5:$AA$493,4,))*$F249))</f>
        <v>0</v>
      </c>
      <c r="J249" s="50"/>
      <c r="K249" s="50">
        <f t="shared" ref="K249:K260" si="141">IF(VLOOKUP($D249,$C$5:$AA$493,9,)=0,0,((VLOOKUP($D249,$C$5:$AA$493,9,)/VLOOKUP($D249,$C$5:$AA$493,4,))*$F249))</f>
        <v>0</v>
      </c>
      <c r="L249" s="50"/>
      <c r="M249" s="50">
        <f t="shared" ref="M249:M260" si="142">IF(VLOOKUP($D249,$C$5:$AA$493,11,)=0,0,((VLOOKUP($D249,$C$5:$AA$493,11,)/VLOOKUP($D249,$C$5:$AA$493,4,))*$F249))</f>
        <v>0</v>
      </c>
      <c r="N249" s="50"/>
      <c r="O249" s="50">
        <f t="shared" ref="O249:O260" si="143">IF(VLOOKUP($D249,$C$5:$AA$493,13,)=0,0,((VLOOKUP($D249,$C$5:$AA$493,13,)/VLOOKUP($D249,$C$5:$AA$493,4,))*$F249))</f>
        <v>0</v>
      </c>
      <c r="P249" s="50">
        <f t="shared" ref="P249:P260" si="144">IF(VLOOKUP($D249,$C$5:$AA$493,14,)=0,0,((VLOOKUP($D249,$C$5:$AA$493,14,)/VLOOKUP($D249,$C$5:$AA$493,4,))*$F249))</f>
        <v>0</v>
      </c>
      <c r="Q249" s="50"/>
      <c r="R249" s="50">
        <f t="shared" ref="R249:R260" si="145">IF(VLOOKUP($D249,$C$5:$AA$493,16,)=0,0,((VLOOKUP($D249,$C$5:$AA$493,16,)/VLOOKUP($D249,$C$5:$AA$493,4,))*$F249))</f>
        <v>0</v>
      </c>
      <c r="S249" s="50">
        <f t="shared" ref="S249:S260" si="146">IF(VLOOKUP($D249,$C$5:$AA$493,17,)=0,0,((VLOOKUP($D249,$C$5:$AA$493,17,)/VLOOKUP($D249,$C$5:$AA$493,4,))*$F249))</f>
        <v>0</v>
      </c>
      <c r="T249" s="50"/>
      <c r="U249" s="50">
        <f t="shared" ref="U249:U260" si="147">IF(VLOOKUP($D249,$C$5:$AA$493,19,)=0,0,((VLOOKUP($D249,$C$5:$AA$493,19,)/VLOOKUP($D249,$C$5:$AA$493,4,))*$F249))</f>
        <v>0</v>
      </c>
      <c r="V249" s="50"/>
      <c r="W249" s="50">
        <f t="shared" ref="W249:W260" si="148">IF(VLOOKUP($D249,$C$5:$AA$493,21,)=0,0,((VLOOKUP($D249,$C$5:$AA$493,21,)/VLOOKUP($D249,$C$5:$AA$493,4,))*$F249))</f>
        <v>0</v>
      </c>
      <c r="X249" s="50"/>
      <c r="Y249" s="50">
        <f t="shared" ref="Y249:Y260" si="149">IF(VLOOKUP($D249,$C$5:$AA$493,23,)=0,0,((VLOOKUP($D249,$C$5:$AA$493,23,)/VLOOKUP($D249,$C$5:$AA$493,4,))*$F249))</f>
        <v>32568</v>
      </c>
      <c r="Z249" s="50"/>
      <c r="AA249" s="50">
        <f t="shared" ref="AA249:AA260" si="150">IF(VLOOKUP($D249,$C$5:$AA$493,25,)=0,0,((VLOOKUP($D249,$C$5:$AA$493,25,)/VLOOKUP($D249,$C$5:$AA$493,4,))*$F249))</f>
        <v>0</v>
      </c>
      <c r="AB249" s="50">
        <f t="shared" ref="AB249:AB260" si="151">SUM(H249:AA249)</f>
        <v>32568</v>
      </c>
      <c r="AC249" s="30" t="str">
        <f t="shared" ref="AC249:AC260" si="152">IF(ABS(AB249-F249)&lt;1,"ok","err")</f>
        <v>ok</v>
      </c>
    </row>
    <row r="250" spans="1:29" x14ac:dyDescent="0.2">
      <c r="A250" s="14">
        <v>908</v>
      </c>
      <c r="B250" s="14" t="s">
        <v>151</v>
      </c>
      <c r="C250" s="14" t="s">
        <v>152</v>
      </c>
      <c r="D250" s="14" t="s">
        <v>150</v>
      </c>
      <c r="F250" s="234">
        <f>281709.1+-10020.14+60.6</f>
        <v>271749.55999999994</v>
      </c>
      <c r="G250" s="194"/>
      <c r="H250" s="50"/>
      <c r="I250" s="50">
        <f t="shared" si="140"/>
        <v>0</v>
      </c>
      <c r="J250" s="50"/>
      <c r="K250" s="50">
        <f t="shared" si="141"/>
        <v>0</v>
      </c>
      <c r="L250" s="50"/>
      <c r="M250" s="50">
        <f t="shared" si="142"/>
        <v>0</v>
      </c>
      <c r="N250" s="50"/>
      <c r="O250" s="50">
        <f t="shared" si="143"/>
        <v>0</v>
      </c>
      <c r="P250" s="50">
        <f t="shared" si="144"/>
        <v>0</v>
      </c>
      <c r="Q250" s="50"/>
      <c r="R250" s="50">
        <f t="shared" si="145"/>
        <v>0</v>
      </c>
      <c r="S250" s="50">
        <f t="shared" si="146"/>
        <v>0</v>
      </c>
      <c r="T250" s="50"/>
      <c r="U250" s="50">
        <f t="shared" si="147"/>
        <v>0</v>
      </c>
      <c r="V250" s="50"/>
      <c r="W250" s="50">
        <f t="shared" si="148"/>
        <v>0</v>
      </c>
      <c r="X250" s="50"/>
      <c r="Y250" s="50">
        <f t="shared" si="149"/>
        <v>271749.55999999994</v>
      </c>
      <c r="Z250" s="50"/>
      <c r="AA250" s="50">
        <f t="shared" si="150"/>
        <v>0</v>
      </c>
      <c r="AB250" s="50">
        <f t="shared" si="151"/>
        <v>271749.55999999994</v>
      </c>
      <c r="AC250" s="30" t="str">
        <f t="shared" si="152"/>
        <v>ok</v>
      </c>
    </row>
    <row r="251" spans="1:29" x14ac:dyDescent="0.2">
      <c r="A251" s="14">
        <v>908</v>
      </c>
      <c r="B251" s="14" t="s">
        <v>454</v>
      </c>
      <c r="C251" s="14" t="s">
        <v>455</v>
      </c>
      <c r="D251" s="14" t="s">
        <v>471</v>
      </c>
      <c r="F251" s="234">
        <v>297216.78999999998</v>
      </c>
      <c r="G251" s="194"/>
      <c r="H251" s="50">
        <f t="shared" ref="H251:H260" si="153">IF(VLOOKUP($D251,$C$5:$AA$493,6,)=0,0,((VLOOKUP($D251,$C$5:$AA$493,6,)/VLOOKUP($D251,$C$5:$AA$493,4,))*$F251))</f>
        <v>0</v>
      </c>
      <c r="I251" s="50">
        <f t="shared" si="140"/>
        <v>0</v>
      </c>
      <c r="J251" s="50"/>
      <c r="K251" s="50">
        <f t="shared" si="141"/>
        <v>0</v>
      </c>
      <c r="L251" s="50"/>
      <c r="M251" s="50">
        <f t="shared" si="142"/>
        <v>0</v>
      </c>
      <c r="N251" s="50"/>
      <c r="O251" s="50">
        <f t="shared" si="143"/>
        <v>0</v>
      </c>
      <c r="P251" s="50">
        <f t="shared" si="144"/>
        <v>0</v>
      </c>
      <c r="Q251" s="50"/>
      <c r="R251" s="50">
        <f t="shared" si="145"/>
        <v>0</v>
      </c>
      <c r="S251" s="50">
        <f t="shared" si="146"/>
        <v>0</v>
      </c>
      <c r="T251" s="50"/>
      <c r="U251" s="50">
        <f t="shared" si="147"/>
        <v>0</v>
      </c>
      <c r="V251" s="50"/>
      <c r="W251" s="50">
        <f t="shared" si="148"/>
        <v>0</v>
      </c>
      <c r="X251" s="50"/>
      <c r="Y251" s="50">
        <f t="shared" si="149"/>
        <v>0</v>
      </c>
      <c r="Z251" s="50"/>
      <c r="AA251" s="50">
        <f t="shared" si="150"/>
        <v>297216.78999999998</v>
      </c>
      <c r="AB251" s="50">
        <f t="shared" si="151"/>
        <v>297216.78999999998</v>
      </c>
      <c r="AC251" s="30" t="str">
        <f t="shared" si="152"/>
        <v>ok</v>
      </c>
    </row>
    <row r="252" spans="1:29" x14ac:dyDescent="0.2">
      <c r="A252" s="14">
        <v>909</v>
      </c>
      <c r="B252" s="14" t="s">
        <v>153</v>
      </c>
      <c r="C252" s="14" t="s">
        <v>154</v>
      </c>
      <c r="D252" s="14" t="s">
        <v>150</v>
      </c>
      <c r="F252" s="234">
        <v>1037.6400000000001</v>
      </c>
      <c r="G252" s="194"/>
      <c r="H252" s="50">
        <f t="shared" si="153"/>
        <v>0</v>
      </c>
      <c r="I252" s="50">
        <f t="shared" si="140"/>
        <v>0</v>
      </c>
      <c r="J252" s="50"/>
      <c r="K252" s="50">
        <f t="shared" si="141"/>
        <v>0</v>
      </c>
      <c r="L252" s="50"/>
      <c r="M252" s="50">
        <f t="shared" si="142"/>
        <v>0</v>
      </c>
      <c r="N252" s="50"/>
      <c r="O252" s="50">
        <f t="shared" si="143"/>
        <v>0</v>
      </c>
      <c r="P252" s="50">
        <f t="shared" si="144"/>
        <v>0</v>
      </c>
      <c r="Q252" s="50"/>
      <c r="R252" s="50">
        <f t="shared" si="145"/>
        <v>0</v>
      </c>
      <c r="S252" s="50">
        <f t="shared" si="146"/>
        <v>0</v>
      </c>
      <c r="T252" s="50"/>
      <c r="U252" s="50">
        <f t="shared" si="147"/>
        <v>0</v>
      </c>
      <c r="V252" s="50"/>
      <c r="W252" s="50">
        <f t="shared" si="148"/>
        <v>0</v>
      </c>
      <c r="X252" s="50"/>
      <c r="Y252" s="50">
        <f t="shared" si="149"/>
        <v>1037.6400000000001</v>
      </c>
      <c r="Z252" s="50"/>
      <c r="AA252" s="50">
        <f t="shared" si="150"/>
        <v>0</v>
      </c>
      <c r="AB252" s="50">
        <f t="shared" si="151"/>
        <v>1037.6400000000001</v>
      </c>
      <c r="AC252" s="30" t="str">
        <f t="shared" si="152"/>
        <v>ok</v>
      </c>
    </row>
    <row r="253" spans="1:29" x14ac:dyDescent="0.2">
      <c r="A253" s="14">
        <v>909</v>
      </c>
      <c r="B253" s="14" t="s">
        <v>456</v>
      </c>
      <c r="C253" s="14" t="s">
        <v>457</v>
      </c>
      <c r="D253" s="14" t="s">
        <v>471</v>
      </c>
      <c r="F253" s="234">
        <v>0</v>
      </c>
      <c r="G253" s="194"/>
      <c r="H253" s="50">
        <f t="shared" si="153"/>
        <v>0</v>
      </c>
      <c r="I253" s="50">
        <f t="shared" si="140"/>
        <v>0</v>
      </c>
      <c r="J253" s="50"/>
      <c r="K253" s="50">
        <f t="shared" si="141"/>
        <v>0</v>
      </c>
      <c r="L253" s="50"/>
      <c r="M253" s="50">
        <f t="shared" si="142"/>
        <v>0</v>
      </c>
      <c r="N253" s="50"/>
      <c r="O253" s="50">
        <f t="shared" si="143"/>
        <v>0</v>
      </c>
      <c r="P253" s="50">
        <f t="shared" si="144"/>
        <v>0</v>
      </c>
      <c r="Q253" s="50"/>
      <c r="R253" s="50">
        <f t="shared" si="145"/>
        <v>0</v>
      </c>
      <c r="S253" s="50">
        <f t="shared" si="146"/>
        <v>0</v>
      </c>
      <c r="T253" s="50"/>
      <c r="U253" s="50">
        <f t="shared" si="147"/>
        <v>0</v>
      </c>
      <c r="V253" s="50"/>
      <c r="W253" s="50">
        <f t="shared" si="148"/>
        <v>0</v>
      </c>
      <c r="X253" s="50"/>
      <c r="Y253" s="50">
        <f t="shared" si="149"/>
        <v>0</v>
      </c>
      <c r="Z253" s="50"/>
      <c r="AA253" s="50">
        <f t="shared" si="150"/>
        <v>0</v>
      </c>
      <c r="AB253" s="50">
        <f t="shared" si="151"/>
        <v>0</v>
      </c>
      <c r="AC253" s="30" t="str">
        <f t="shared" si="152"/>
        <v>ok</v>
      </c>
    </row>
    <row r="254" spans="1:29" x14ac:dyDescent="0.2">
      <c r="A254" s="14">
        <v>910</v>
      </c>
      <c r="B254" s="14" t="s">
        <v>155</v>
      </c>
      <c r="C254" s="14" t="s">
        <v>156</v>
      </c>
      <c r="D254" s="14" t="s">
        <v>150</v>
      </c>
      <c r="F254" s="234">
        <v>0</v>
      </c>
      <c r="G254" s="194"/>
      <c r="H254" s="50">
        <f t="shared" si="153"/>
        <v>0</v>
      </c>
      <c r="I254" s="50">
        <f t="shared" si="140"/>
        <v>0</v>
      </c>
      <c r="J254" s="50"/>
      <c r="K254" s="50">
        <f t="shared" si="141"/>
        <v>0</v>
      </c>
      <c r="L254" s="50"/>
      <c r="M254" s="50">
        <f t="shared" si="142"/>
        <v>0</v>
      </c>
      <c r="N254" s="50"/>
      <c r="O254" s="50">
        <f t="shared" si="143"/>
        <v>0</v>
      </c>
      <c r="P254" s="50">
        <f t="shared" si="144"/>
        <v>0</v>
      </c>
      <c r="Q254" s="50"/>
      <c r="R254" s="50">
        <f t="shared" si="145"/>
        <v>0</v>
      </c>
      <c r="S254" s="50">
        <f t="shared" si="146"/>
        <v>0</v>
      </c>
      <c r="T254" s="50"/>
      <c r="U254" s="50">
        <f t="shared" si="147"/>
        <v>0</v>
      </c>
      <c r="V254" s="50"/>
      <c r="W254" s="50">
        <f t="shared" si="148"/>
        <v>0</v>
      </c>
      <c r="X254" s="50"/>
      <c r="Y254" s="50">
        <f t="shared" si="149"/>
        <v>0</v>
      </c>
      <c r="Z254" s="50"/>
      <c r="AA254" s="50">
        <f t="shared" si="150"/>
        <v>0</v>
      </c>
      <c r="AB254" s="50">
        <f t="shared" si="151"/>
        <v>0</v>
      </c>
      <c r="AC254" s="30" t="str">
        <f t="shared" si="152"/>
        <v>ok</v>
      </c>
    </row>
    <row r="255" spans="1:29" x14ac:dyDescent="0.2">
      <c r="A255" s="14">
        <v>911</v>
      </c>
      <c r="B255" s="14" t="s">
        <v>385</v>
      </c>
      <c r="C255" s="14" t="s">
        <v>708</v>
      </c>
      <c r="D255" s="14" t="s">
        <v>150</v>
      </c>
      <c r="F255" s="234">
        <v>0</v>
      </c>
      <c r="G255" s="194"/>
      <c r="H255" s="50">
        <f t="shared" si="153"/>
        <v>0</v>
      </c>
      <c r="I255" s="50">
        <f t="shared" si="140"/>
        <v>0</v>
      </c>
      <c r="J255" s="50"/>
      <c r="K255" s="50">
        <f t="shared" si="141"/>
        <v>0</v>
      </c>
      <c r="L255" s="50"/>
      <c r="M255" s="50">
        <f t="shared" si="142"/>
        <v>0</v>
      </c>
      <c r="N255" s="50"/>
      <c r="O255" s="50">
        <f t="shared" si="143"/>
        <v>0</v>
      </c>
      <c r="P255" s="50">
        <f t="shared" si="144"/>
        <v>0</v>
      </c>
      <c r="Q255" s="50"/>
      <c r="R255" s="50">
        <f t="shared" si="145"/>
        <v>0</v>
      </c>
      <c r="S255" s="50">
        <f t="shared" si="146"/>
        <v>0</v>
      </c>
      <c r="T255" s="50"/>
      <c r="U255" s="50">
        <f t="shared" si="147"/>
        <v>0</v>
      </c>
      <c r="V255" s="50"/>
      <c r="W255" s="50">
        <f t="shared" si="148"/>
        <v>0</v>
      </c>
      <c r="X255" s="50"/>
      <c r="Y255" s="50">
        <f t="shared" si="149"/>
        <v>0</v>
      </c>
      <c r="Z255" s="50"/>
      <c r="AA255" s="50">
        <f t="shared" si="150"/>
        <v>0</v>
      </c>
      <c r="AB255" s="50">
        <f>SUM(H255:AA255)</f>
        <v>0</v>
      </c>
      <c r="AC255" s="30" t="str">
        <f>IF(ABS(AB255-F255)&lt;1,"ok","err")</f>
        <v>ok</v>
      </c>
    </row>
    <row r="256" spans="1:29" x14ac:dyDescent="0.2">
      <c r="A256" s="14">
        <v>912</v>
      </c>
      <c r="B256" s="14" t="s">
        <v>587</v>
      </c>
      <c r="C256" s="14" t="s">
        <v>588</v>
      </c>
      <c r="D256" s="14" t="s">
        <v>471</v>
      </c>
      <c r="F256" s="234">
        <v>32568</v>
      </c>
      <c r="G256" s="194"/>
      <c r="H256" s="50">
        <f t="shared" si="153"/>
        <v>0</v>
      </c>
      <c r="I256" s="50">
        <f t="shared" si="140"/>
        <v>0</v>
      </c>
      <c r="J256" s="50"/>
      <c r="K256" s="50">
        <f t="shared" si="141"/>
        <v>0</v>
      </c>
      <c r="L256" s="50"/>
      <c r="M256" s="50">
        <f t="shared" si="142"/>
        <v>0</v>
      </c>
      <c r="N256" s="50"/>
      <c r="O256" s="50">
        <f t="shared" si="143"/>
        <v>0</v>
      </c>
      <c r="P256" s="50">
        <f t="shared" si="144"/>
        <v>0</v>
      </c>
      <c r="Q256" s="50"/>
      <c r="R256" s="50">
        <f t="shared" si="145"/>
        <v>0</v>
      </c>
      <c r="S256" s="50">
        <f t="shared" si="146"/>
        <v>0</v>
      </c>
      <c r="T256" s="50"/>
      <c r="U256" s="50">
        <f t="shared" si="147"/>
        <v>0</v>
      </c>
      <c r="V256" s="50"/>
      <c r="W256" s="50">
        <f t="shared" si="148"/>
        <v>0</v>
      </c>
      <c r="X256" s="50"/>
      <c r="Y256" s="50">
        <f t="shared" si="149"/>
        <v>0</v>
      </c>
      <c r="Z256" s="50"/>
      <c r="AA256" s="50">
        <f t="shared" si="150"/>
        <v>32568</v>
      </c>
      <c r="AB256" s="50">
        <f t="shared" si="151"/>
        <v>32568</v>
      </c>
      <c r="AC256" s="30" t="str">
        <f t="shared" si="152"/>
        <v>ok</v>
      </c>
    </row>
    <row r="257" spans="1:29" x14ac:dyDescent="0.2">
      <c r="A257" s="14">
        <v>913</v>
      </c>
      <c r="B257" s="14" t="s">
        <v>636</v>
      </c>
      <c r="C257" s="14" t="s">
        <v>577</v>
      </c>
      <c r="D257" s="14" t="s">
        <v>471</v>
      </c>
      <c r="F257" s="234">
        <v>0</v>
      </c>
      <c r="G257" s="194"/>
      <c r="H257" s="50">
        <f t="shared" si="153"/>
        <v>0</v>
      </c>
      <c r="I257" s="50">
        <f t="shared" si="140"/>
        <v>0</v>
      </c>
      <c r="J257" s="50"/>
      <c r="K257" s="50">
        <f t="shared" si="141"/>
        <v>0</v>
      </c>
      <c r="L257" s="50"/>
      <c r="M257" s="50">
        <f t="shared" si="142"/>
        <v>0</v>
      </c>
      <c r="N257" s="50"/>
      <c r="O257" s="50">
        <f t="shared" si="143"/>
        <v>0</v>
      </c>
      <c r="P257" s="50">
        <f t="shared" si="144"/>
        <v>0</v>
      </c>
      <c r="Q257" s="50"/>
      <c r="R257" s="50">
        <f t="shared" si="145"/>
        <v>0</v>
      </c>
      <c r="S257" s="50">
        <f t="shared" si="146"/>
        <v>0</v>
      </c>
      <c r="T257" s="50"/>
      <c r="U257" s="50">
        <f t="shared" si="147"/>
        <v>0</v>
      </c>
      <c r="V257" s="50"/>
      <c r="W257" s="50">
        <f t="shared" si="148"/>
        <v>0</v>
      </c>
      <c r="X257" s="50"/>
      <c r="Y257" s="50">
        <f t="shared" si="149"/>
        <v>0</v>
      </c>
      <c r="Z257" s="50"/>
      <c r="AA257" s="50">
        <f t="shared" si="150"/>
        <v>0</v>
      </c>
      <c r="AB257" s="50">
        <f t="shared" si="151"/>
        <v>0</v>
      </c>
      <c r="AC257" s="30" t="str">
        <f t="shared" si="152"/>
        <v>ok</v>
      </c>
    </row>
    <row r="258" spans="1:29" x14ac:dyDescent="0.2">
      <c r="A258" s="14">
        <v>914</v>
      </c>
      <c r="B258" s="14" t="s">
        <v>928</v>
      </c>
      <c r="C258" s="14" t="s">
        <v>929</v>
      </c>
      <c r="D258" s="14" t="s">
        <v>471</v>
      </c>
      <c r="F258" s="234">
        <v>0</v>
      </c>
      <c r="G258" s="194"/>
      <c r="H258" s="50">
        <f t="shared" si="153"/>
        <v>0</v>
      </c>
      <c r="I258" s="50">
        <f t="shared" si="140"/>
        <v>0</v>
      </c>
      <c r="J258" s="50"/>
      <c r="K258" s="50">
        <f t="shared" si="141"/>
        <v>0</v>
      </c>
      <c r="L258" s="50"/>
      <c r="M258" s="50">
        <f t="shared" si="142"/>
        <v>0</v>
      </c>
      <c r="N258" s="50"/>
      <c r="O258" s="50">
        <f t="shared" si="143"/>
        <v>0</v>
      </c>
      <c r="P258" s="50">
        <f t="shared" si="144"/>
        <v>0</v>
      </c>
      <c r="Q258" s="50"/>
      <c r="R258" s="50">
        <f t="shared" si="145"/>
        <v>0</v>
      </c>
      <c r="S258" s="50">
        <f t="shared" si="146"/>
        <v>0</v>
      </c>
      <c r="T258" s="50"/>
      <c r="U258" s="50">
        <f t="shared" si="147"/>
        <v>0</v>
      </c>
      <c r="V258" s="50"/>
      <c r="W258" s="50">
        <f t="shared" si="148"/>
        <v>0</v>
      </c>
      <c r="X258" s="50"/>
      <c r="Y258" s="50">
        <f t="shared" si="149"/>
        <v>0</v>
      </c>
      <c r="Z258" s="50"/>
      <c r="AA258" s="50">
        <f t="shared" si="150"/>
        <v>0</v>
      </c>
      <c r="AB258" s="50">
        <f>SUM(H258:AA258)</f>
        <v>0</v>
      </c>
      <c r="AC258" s="30" t="str">
        <f>IF(ABS(AB258-F258)&lt;1,"ok","err")</f>
        <v>ok</v>
      </c>
    </row>
    <row r="259" spans="1:29" x14ac:dyDescent="0.2">
      <c r="A259" s="14">
        <v>916</v>
      </c>
      <c r="B259" s="14" t="s">
        <v>638</v>
      </c>
      <c r="C259" s="14" t="s">
        <v>639</v>
      </c>
      <c r="D259" s="14" t="s">
        <v>471</v>
      </c>
      <c r="F259" s="234">
        <v>0</v>
      </c>
      <c r="G259" s="194"/>
      <c r="H259" s="50">
        <f t="shared" si="153"/>
        <v>0</v>
      </c>
      <c r="I259" s="50">
        <f t="shared" si="140"/>
        <v>0</v>
      </c>
      <c r="J259" s="50"/>
      <c r="K259" s="50">
        <f t="shared" si="141"/>
        <v>0</v>
      </c>
      <c r="L259" s="50"/>
      <c r="M259" s="50">
        <f t="shared" si="142"/>
        <v>0</v>
      </c>
      <c r="N259" s="50"/>
      <c r="O259" s="50">
        <f t="shared" si="143"/>
        <v>0</v>
      </c>
      <c r="P259" s="50">
        <f t="shared" si="144"/>
        <v>0</v>
      </c>
      <c r="Q259" s="50"/>
      <c r="R259" s="50">
        <f t="shared" si="145"/>
        <v>0</v>
      </c>
      <c r="S259" s="50">
        <f t="shared" si="146"/>
        <v>0</v>
      </c>
      <c r="T259" s="50"/>
      <c r="U259" s="50">
        <f t="shared" si="147"/>
        <v>0</v>
      </c>
      <c r="V259" s="50"/>
      <c r="W259" s="50">
        <f t="shared" si="148"/>
        <v>0</v>
      </c>
      <c r="X259" s="50"/>
      <c r="Y259" s="50">
        <f t="shared" si="149"/>
        <v>0</v>
      </c>
      <c r="Z259" s="50"/>
      <c r="AA259" s="50">
        <f t="shared" si="150"/>
        <v>0</v>
      </c>
      <c r="AB259" s="50">
        <f t="shared" si="151"/>
        <v>0</v>
      </c>
      <c r="AC259" s="30" t="str">
        <f t="shared" si="152"/>
        <v>ok</v>
      </c>
    </row>
    <row r="260" spans="1:29" x14ac:dyDescent="0.2">
      <c r="A260" s="14">
        <v>917</v>
      </c>
      <c r="B260" s="14" t="s">
        <v>638</v>
      </c>
      <c r="C260" s="14" t="s">
        <v>922</v>
      </c>
      <c r="D260" s="14" t="s">
        <v>471</v>
      </c>
      <c r="F260" s="234">
        <v>0</v>
      </c>
      <c r="G260" s="194"/>
      <c r="H260" s="50">
        <f t="shared" si="153"/>
        <v>0</v>
      </c>
      <c r="I260" s="50">
        <f t="shared" si="140"/>
        <v>0</v>
      </c>
      <c r="J260" s="50"/>
      <c r="K260" s="50">
        <f t="shared" si="141"/>
        <v>0</v>
      </c>
      <c r="L260" s="50"/>
      <c r="M260" s="50">
        <f t="shared" si="142"/>
        <v>0</v>
      </c>
      <c r="N260" s="50"/>
      <c r="O260" s="50">
        <f t="shared" si="143"/>
        <v>0</v>
      </c>
      <c r="P260" s="50">
        <f t="shared" si="144"/>
        <v>0</v>
      </c>
      <c r="Q260" s="50"/>
      <c r="R260" s="50">
        <f t="shared" si="145"/>
        <v>0</v>
      </c>
      <c r="S260" s="50">
        <f t="shared" si="146"/>
        <v>0</v>
      </c>
      <c r="T260" s="50"/>
      <c r="U260" s="50">
        <f t="shared" si="147"/>
        <v>0</v>
      </c>
      <c r="V260" s="50"/>
      <c r="W260" s="50">
        <f t="shared" si="148"/>
        <v>0</v>
      </c>
      <c r="X260" s="50"/>
      <c r="Y260" s="50">
        <f t="shared" si="149"/>
        <v>0</v>
      </c>
      <c r="Z260" s="50"/>
      <c r="AA260" s="50">
        <f t="shared" si="150"/>
        <v>0</v>
      </c>
      <c r="AB260" s="50">
        <f t="shared" si="151"/>
        <v>0</v>
      </c>
      <c r="AC260" s="30" t="str">
        <f t="shared" si="152"/>
        <v>ok</v>
      </c>
    </row>
    <row r="261" spans="1:29" x14ac:dyDescent="0.2">
      <c r="F261" s="234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30"/>
    </row>
    <row r="262" spans="1:29" x14ac:dyDescent="0.2">
      <c r="A262" s="14" t="s">
        <v>157</v>
      </c>
      <c r="C262" s="14" t="s">
        <v>158</v>
      </c>
      <c r="F262" s="233">
        <f>SUM(F249:F260)</f>
        <v>635139.98999999987</v>
      </c>
      <c r="G262" s="66"/>
      <c r="H262" s="66">
        <f t="shared" ref="H262:W262" si="154">SUM(H249:H261)</f>
        <v>0</v>
      </c>
      <c r="I262" s="66">
        <f t="shared" si="154"/>
        <v>0</v>
      </c>
      <c r="J262" s="66"/>
      <c r="K262" s="66">
        <f t="shared" si="154"/>
        <v>0</v>
      </c>
      <c r="L262" s="66"/>
      <c r="M262" s="66">
        <f t="shared" si="154"/>
        <v>0</v>
      </c>
      <c r="N262" s="66"/>
      <c r="O262" s="66">
        <f t="shared" si="154"/>
        <v>0</v>
      </c>
      <c r="P262" s="66">
        <f t="shared" si="154"/>
        <v>0</v>
      </c>
      <c r="Q262" s="66"/>
      <c r="R262" s="66">
        <f t="shared" si="154"/>
        <v>0</v>
      </c>
      <c r="S262" s="66">
        <f t="shared" si="154"/>
        <v>0</v>
      </c>
      <c r="T262" s="66"/>
      <c r="U262" s="66">
        <f t="shared" si="154"/>
        <v>0</v>
      </c>
      <c r="V262" s="66"/>
      <c r="W262" s="66">
        <f t="shared" si="154"/>
        <v>0</v>
      </c>
      <c r="X262" s="66"/>
      <c r="Y262" s="66">
        <f>SUM(Y249:Y261)</f>
        <v>305355.19999999995</v>
      </c>
      <c r="Z262" s="66"/>
      <c r="AA262" s="66">
        <f>SUM(AA249:AA261)</f>
        <v>329784.78999999998</v>
      </c>
      <c r="AB262" s="50">
        <f>SUM(H262:AA262)</f>
        <v>635139.99</v>
      </c>
      <c r="AC262" s="30" t="str">
        <f>IF(ABS(AB262-F262)&lt;1,"ok","err")</f>
        <v>ok</v>
      </c>
    </row>
    <row r="263" spans="1:29" x14ac:dyDescent="0.2">
      <c r="D263" s="93"/>
      <c r="F263" s="234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C263" s="30"/>
    </row>
    <row r="264" spans="1:29" x14ac:dyDescent="0.2">
      <c r="A264" s="14" t="s">
        <v>410</v>
      </c>
      <c r="C264" s="14" t="s">
        <v>411</v>
      </c>
      <c r="F264" s="234">
        <f t="shared" ref="F264:M264" si="155">F233+F246+F262</f>
        <v>26405607.919999998</v>
      </c>
      <c r="G264" s="50"/>
      <c r="H264" s="50">
        <f t="shared" si="155"/>
        <v>0</v>
      </c>
      <c r="I264" s="50">
        <f t="shared" si="155"/>
        <v>0</v>
      </c>
      <c r="J264" s="50"/>
      <c r="K264" s="50">
        <f t="shared" si="155"/>
        <v>0</v>
      </c>
      <c r="L264" s="50"/>
      <c r="M264" s="50">
        <f t="shared" si="155"/>
        <v>197072.14110725644</v>
      </c>
      <c r="N264" s="50"/>
      <c r="O264" s="50">
        <f t="shared" ref="O264:AA264" si="156">O233+O246+O262</f>
        <v>13372656.810328526</v>
      </c>
      <c r="P264" s="50">
        <f t="shared" si="156"/>
        <v>5660375.9237880744</v>
      </c>
      <c r="Q264" s="50"/>
      <c r="R264" s="50">
        <f t="shared" si="156"/>
        <v>0</v>
      </c>
      <c r="S264" s="50">
        <f t="shared" si="156"/>
        <v>487481.23088896624</v>
      </c>
      <c r="T264" s="50"/>
      <c r="U264" s="50">
        <f t="shared" si="156"/>
        <v>1675594.8020690333</v>
      </c>
      <c r="V264" s="50"/>
      <c r="W264" s="50">
        <f t="shared" si="156"/>
        <v>47278.961818138006</v>
      </c>
      <c r="X264" s="50"/>
      <c r="Y264" s="50">
        <f t="shared" si="156"/>
        <v>4635363.2600000007</v>
      </c>
      <c r="Z264" s="50"/>
      <c r="AA264" s="50">
        <f t="shared" si="156"/>
        <v>329784.78999999998</v>
      </c>
      <c r="AB264" s="50">
        <f>SUM(H264:AA264)</f>
        <v>26405607.919999994</v>
      </c>
      <c r="AC264" s="30" t="str">
        <f>IF(ABS(AB264-F264)&lt;1,"ok","err")</f>
        <v>ok</v>
      </c>
    </row>
    <row r="265" spans="1:29" x14ac:dyDescent="0.2">
      <c r="F265" s="234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C265" s="30"/>
    </row>
    <row r="266" spans="1:29" x14ac:dyDescent="0.2">
      <c r="A266" s="28" t="s">
        <v>136</v>
      </c>
      <c r="F266" s="234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C266" s="30"/>
    </row>
    <row r="267" spans="1:29" x14ac:dyDescent="0.2">
      <c r="F267" s="234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C267" s="30"/>
    </row>
    <row r="268" spans="1:29" x14ac:dyDescent="0.2">
      <c r="A268" s="13" t="s">
        <v>159</v>
      </c>
      <c r="F268" s="234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C268" s="30"/>
    </row>
    <row r="269" spans="1:29" x14ac:dyDescent="0.2">
      <c r="A269" s="14">
        <v>920</v>
      </c>
      <c r="B269" s="14" t="s">
        <v>160</v>
      </c>
      <c r="C269" s="14" t="s">
        <v>161</v>
      </c>
      <c r="D269" s="14" t="s">
        <v>411</v>
      </c>
      <c r="F269" s="233">
        <v>1481177.88</v>
      </c>
      <c r="G269" s="193"/>
      <c r="H269" s="50">
        <f>IF((VLOOKUP($D269,$C$5:$AA$493,6,)=0),0,((VLOOKUP($D269,$C$5:$AA$493,6,)/VLOOKUP($D269,$C$5:$AA$493,4,))*$F269))</f>
        <v>0</v>
      </c>
      <c r="I269" s="50">
        <f>(VLOOKUP($D269,$C$5:$AA$493,7,)/VLOOKUP($D269,$C$5:$AA$493,4,))*$F269</f>
        <v>0</v>
      </c>
      <c r="J269" s="50"/>
      <c r="K269" s="50">
        <f>(VLOOKUP($D269,$C$5:$AA$493,9,)/VLOOKUP($D269,$C$5:$AA$493,4,))*$F269</f>
        <v>0</v>
      </c>
      <c r="L269" s="50"/>
      <c r="M269" s="50">
        <f>(VLOOKUP($D269,$C$5:$AA$493,11,)/VLOOKUP($D269,$C$5:$AA$493,4,))*$F269</f>
        <v>11054.428175130874</v>
      </c>
      <c r="N269" s="50"/>
      <c r="O269" s="50">
        <f>(VLOOKUP($D269,$C$5:$AA$493,13,)/VLOOKUP($D269,$C$5:$AA$493,4,))*$F269</f>
        <v>750116.54813247605</v>
      </c>
      <c r="P269" s="50">
        <f>(VLOOKUP($D269,$C$5:$AA$493,14,)/VLOOKUP($D269,$C$5:$AA$493,4,))*$F269</f>
        <v>317509.2062337742</v>
      </c>
      <c r="Q269" s="50"/>
      <c r="R269" s="50">
        <f>(VLOOKUP($D269,$C$5:$AA$493,16,)/VLOOKUP($D269,$C$5:$AA$493,4,))*$F269</f>
        <v>0</v>
      </c>
      <c r="S269" s="50">
        <f>(VLOOKUP($D269,$C$5:$AA$493,17,)/VLOOKUP($D269,$C$5:$AA$493,4,))*$F269</f>
        <v>27344.434496470003</v>
      </c>
      <c r="T269" s="50"/>
      <c r="U269" s="50">
        <f>(VLOOKUP($D269,$C$5:$AA$493,19,)/VLOOKUP($D269,$C$5:$AA$493,4,))*$F269</f>
        <v>93989.654174476978</v>
      </c>
      <c r="V269" s="50"/>
      <c r="W269" s="50">
        <f>(VLOOKUP($D269,$C$5:$AA$493,21,)/VLOOKUP($D269,$C$5:$AA$493,4,))*$F269</f>
        <v>2652.0333349852526</v>
      </c>
      <c r="X269" s="50"/>
      <c r="Y269" s="50">
        <f>(VLOOKUP($D269,$C$5:$AA$493,23,)/VLOOKUP($D269,$C$5:$AA$493,4,))*$F269</f>
        <v>260012.85587810431</v>
      </c>
      <c r="Z269" s="50"/>
      <c r="AA269" s="50">
        <f>(VLOOKUP($D269,$C$5:$AA$493,25,)/VLOOKUP($D269,$C$5:$AA$493,4,))*$F269</f>
        <v>18498.719574582141</v>
      </c>
      <c r="AB269" s="50">
        <f t="shared" ref="AB269:AB281" si="157">SUM(H269:AA269)</f>
        <v>1481177.8799999997</v>
      </c>
      <c r="AC269" s="30" t="str">
        <f t="shared" ref="AC269:AC281" si="158">IF(ABS(AB269-F269)&lt;1,"ok","err")</f>
        <v>ok</v>
      </c>
    </row>
    <row r="270" spans="1:29" x14ac:dyDescent="0.2">
      <c r="A270" s="14">
        <v>921</v>
      </c>
      <c r="B270" s="14" t="s">
        <v>162</v>
      </c>
      <c r="C270" s="14" t="s">
        <v>163</v>
      </c>
      <c r="D270" s="14" t="s">
        <v>516</v>
      </c>
      <c r="F270" s="234">
        <v>979869.06</v>
      </c>
      <c r="G270" s="194"/>
      <c r="H270" s="50">
        <f>IF(VLOOKUP($D270,$C$5:$AA$493,6,)=0,0,((VLOOKUP($D270,$C$5:$AA$493,6,)/VLOOKUP($D270,$C$5:$AA$493,4,))*$F270))</f>
        <v>0</v>
      </c>
      <c r="I270" s="50">
        <f>IF(VLOOKUP($D270,$C$5:$AA$493,7,)=0,0,((VLOOKUP($D270,$C$5:$AA$493,7,)/VLOOKUP($D270,$C$5:$AA$493,4,))*$F270))</f>
        <v>0</v>
      </c>
      <c r="J270" s="50"/>
      <c r="K270" s="50">
        <f>IF(VLOOKUP($D270,$C$5:$AA$493,9,)=0,0,((VLOOKUP($D270,$C$5:$AA$493,9,)/VLOOKUP($D270,$C$5:$AA$493,4,))*$F270))</f>
        <v>0</v>
      </c>
      <c r="L270" s="50"/>
      <c r="M270" s="50">
        <f>IF(VLOOKUP($D270,$C$5:$AA$493,11,)=0,0,((VLOOKUP($D270,$C$5:$AA$493,11,)/VLOOKUP($D270,$C$5:$AA$493,4,))*$F270))</f>
        <v>222.23640305439019</v>
      </c>
      <c r="N270" s="50"/>
      <c r="O270" s="50">
        <f>IF(VLOOKUP($D270,$C$5:$AA$493,13,)=0,0,((VLOOKUP($D270,$C$5:$AA$493,13,)/VLOOKUP($D270,$C$5:$AA$493,4,))*$F270))</f>
        <v>380408.47317098372</v>
      </c>
      <c r="P270" s="50">
        <f>IF(VLOOKUP($D270,$C$5:$AA$493,14,)=0,0,((VLOOKUP($D270,$C$5:$AA$493,14,)/VLOOKUP($D270,$C$5:$AA$493,4,))*$F270))</f>
        <v>156881.43543930267</v>
      </c>
      <c r="Q270" s="50"/>
      <c r="R270" s="50">
        <f>IF(VLOOKUP($D270,$C$5:$AA$493,16,)=0,0,((VLOOKUP($D270,$C$5:$AA$493,16,)/VLOOKUP($D270,$C$5:$AA$493,4,))*$F270))</f>
        <v>0</v>
      </c>
      <c r="S270" s="50">
        <f>IF(VLOOKUP($D270,$C$5:$AA$493,17,)=0,0,((VLOOKUP($D270,$C$5:$AA$493,17,)/VLOOKUP($D270,$C$5:$AA$493,4,))*$F270))</f>
        <v>7595.7553068267443</v>
      </c>
      <c r="T270" s="50"/>
      <c r="U270" s="50">
        <f>IF(VLOOKUP($D270,$C$5:$AA$493,19,)=0,0,((VLOOKUP($D270,$C$5:$AA$493,19,)/VLOOKUP($D270,$C$5:$AA$493,4,))*$F270))</f>
        <v>3304.9110482408214</v>
      </c>
      <c r="V270" s="50"/>
      <c r="W270" s="50">
        <f>IF(VLOOKUP($D270,$C$5:$AA$493,21,)=0,0,((VLOOKUP($D270,$C$5:$AA$493,21,)/VLOOKUP($D270,$C$5:$AA$493,4,))*$F270))</f>
        <v>119724.02271884294</v>
      </c>
      <c r="X270" s="50"/>
      <c r="Y270" s="50">
        <f>IF(VLOOKUP($D270,$C$5:$AA$493,23,)=0,0,((VLOOKUP($D270,$C$5:$AA$493,23,)/VLOOKUP($D270,$C$5:$AA$493,4,))*$F270))</f>
        <v>282879.89814486803</v>
      </c>
      <c r="Z270" s="50"/>
      <c r="AA270" s="50">
        <f>IF(VLOOKUP($D270,$C$5:$AA$493,25,)=0,0,((VLOOKUP($D270,$C$5:$AA$493,25,)/VLOOKUP($D270,$C$5:$AA$493,4,))*$F270))</f>
        <v>28852.327767880626</v>
      </c>
      <c r="AB270" s="50">
        <f>SUM(H270:AA270)</f>
        <v>979869.06</v>
      </c>
      <c r="AC270" s="30" t="str">
        <f>IF(ABS(AB270-F270)&lt;1,"ok","err")</f>
        <v>ok</v>
      </c>
    </row>
    <row r="271" spans="1:29" x14ac:dyDescent="0.2">
      <c r="A271" s="14">
        <v>923</v>
      </c>
      <c r="B271" s="14" t="s">
        <v>164</v>
      </c>
      <c r="C271" s="14" t="s">
        <v>165</v>
      </c>
      <c r="D271" s="14" t="s">
        <v>411</v>
      </c>
      <c r="F271" s="234">
        <v>823477.12</v>
      </c>
      <c r="G271" s="194"/>
      <c r="H271" s="50">
        <f t="shared" ref="H271:H278" si="159">IF((VLOOKUP($D271,$C$5:$AA$493,6,)=0),0,((VLOOKUP($D271,$C$5:$AA$493,6,)/VLOOKUP($D271,$C$5:$AA$493,4,))*$F271))</f>
        <v>0</v>
      </c>
      <c r="I271" s="50">
        <f t="shared" ref="I271:I281" si="160">(VLOOKUP($D271,$C$5:$AA$493,7,)/VLOOKUP($D271,$C$5:$AA$493,4,))*$F271</f>
        <v>0</v>
      </c>
      <c r="J271" s="50"/>
      <c r="K271" s="50">
        <f t="shared" ref="K271:K281" si="161">(VLOOKUP($D271,$C$5:$AA$493,9,)/VLOOKUP($D271,$C$5:$AA$493,4,))*$F271</f>
        <v>0</v>
      </c>
      <c r="L271" s="50"/>
      <c r="M271" s="50">
        <f t="shared" ref="M271:M281" si="162">(VLOOKUP($D271,$C$5:$AA$493,11,)/VLOOKUP($D271,$C$5:$AA$493,4,))*$F271</f>
        <v>6145.8308281673962</v>
      </c>
      <c r="N271" s="50"/>
      <c r="O271" s="50">
        <f t="shared" ref="O271:O281" si="163">(VLOOKUP($D271,$C$5:$AA$493,13,)/VLOOKUP($D271,$C$5:$AA$493,4,))*$F271</f>
        <v>417035.53844624845</v>
      </c>
      <c r="P271" s="50">
        <f t="shared" ref="P271:P281" si="164">(VLOOKUP($D271,$C$5:$AA$493,14,)/VLOOKUP($D271,$C$5:$AA$493,4,))*$F271</f>
        <v>176522.7325180379</v>
      </c>
      <c r="Q271" s="50"/>
      <c r="R271" s="50">
        <f t="shared" ref="R271:R281" si="165">(VLOOKUP($D271,$C$5:$AA$493,16,)/VLOOKUP($D271,$C$5:$AA$493,4,))*$F271</f>
        <v>0</v>
      </c>
      <c r="S271" s="50">
        <f t="shared" ref="S271:S281" si="166">(VLOOKUP($D271,$C$5:$AA$493,17,)/VLOOKUP($D271,$C$5:$AA$493,4,))*$F271</f>
        <v>15202.438863846502</v>
      </c>
      <c r="T271" s="50"/>
      <c r="U271" s="50">
        <f t="shared" ref="U271:U281" si="167">(VLOOKUP($D271,$C$5:$AA$493,19,)/VLOOKUP($D271,$C$5:$AA$493,4,))*$F271</f>
        <v>52254.581150910977</v>
      </c>
      <c r="V271" s="50"/>
      <c r="W271" s="50">
        <f t="shared" ref="W271:W281" si="168">(VLOOKUP($D271,$C$5:$AA$493,21,)/VLOOKUP($D271,$C$5:$AA$493,4,))*$F271</f>
        <v>1474.4270774808297</v>
      </c>
      <c r="X271" s="50"/>
      <c r="Y271" s="50">
        <f t="shared" ref="Y271:Y281" si="169">(VLOOKUP($D271,$C$5:$AA$493,23,)/VLOOKUP($D271,$C$5:$AA$493,4,))*$F271</f>
        <v>144557.00467352135</v>
      </c>
      <c r="Z271" s="50"/>
      <c r="AA271" s="50">
        <f t="shared" ref="AA271:AA281" si="170">(VLOOKUP($D271,$C$5:$AA$493,25,)/VLOOKUP($D271,$C$5:$AA$493,4,))*$F271</f>
        <v>10284.566441786537</v>
      </c>
      <c r="AB271" s="50">
        <f t="shared" si="157"/>
        <v>823477.12</v>
      </c>
      <c r="AC271" s="30" t="str">
        <f t="shared" si="158"/>
        <v>ok</v>
      </c>
    </row>
    <row r="272" spans="1:29" x14ac:dyDescent="0.2">
      <c r="A272" s="14">
        <v>924</v>
      </c>
      <c r="B272" s="14" t="s">
        <v>166</v>
      </c>
      <c r="C272" s="14" t="s">
        <v>167</v>
      </c>
      <c r="D272" s="14" t="s">
        <v>84</v>
      </c>
      <c r="F272" s="234">
        <v>0</v>
      </c>
      <c r="G272" s="194"/>
      <c r="H272" s="50">
        <f t="shared" si="159"/>
        <v>0</v>
      </c>
      <c r="I272" s="50">
        <f t="shared" si="160"/>
        <v>0</v>
      </c>
      <c r="J272" s="50"/>
      <c r="K272" s="50">
        <f t="shared" si="161"/>
        <v>0</v>
      </c>
      <c r="L272" s="50"/>
      <c r="M272" s="50">
        <f t="shared" si="162"/>
        <v>0</v>
      </c>
      <c r="N272" s="50"/>
      <c r="O272" s="50">
        <f t="shared" si="163"/>
        <v>0</v>
      </c>
      <c r="P272" s="50">
        <f t="shared" si="164"/>
        <v>0</v>
      </c>
      <c r="Q272" s="50"/>
      <c r="R272" s="50">
        <f t="shared" si="165"/>
        <v>0</v>
      </c>
      <c r="S272" s="50">
        <f t="shared" si="166"/>
        <v>0</v>
      </c>
      <c r="T272" s="50"/>
      <c r="U272" s="50">
        <f t="shared" si="167"/>
        <v>0</v>
      </c>
      <c r="V272" s="50"/>
      <c r="W272" s="50">
        <f t="shared" si="168"/>
        <v>0</v>
      </c>
      <c r="X272" s="50"/>
      <c r="Y272" s="50">
        <f t="shared" si="169"/>
        <v>0</v>
      </c>
      <c r="Z272" s="50"/>
      <c r="AA272" s="50">
        <f t="shared" si="170"/>
        <v>0</v>
      </c>
      <c r="AB272" s="50">
        <f t="shared" si="157"/>
        <v>0</v>
      </c>
      <c r="AC272" s="30" t="str">
        <f t="shared" si="158"/>
        <v>ok</v>
      </c>
    </row>
    <row r="273" spans="1:29" x14ac:dyDescent="0.2">
      <c r="A273" s="14">
        <v>925</v>
      </c>
      <c r="B273" s="14" t="s">
        <v>168</v>
      </c>
      <c r="C273" s="14" t="s">
        <v>169</v>
      </c>
      <c r="D273" s="14" t="s">
        <v>516</v>
      </c>
      <c r="F273" s="234">
        <f>402599.65+16408.66</f>
        <v>419008.31</v>
      </c>
      <c r="G273" s="194"/>
      <c r="H273" s="50">
        <f t="shared" si="159"/>
        <v>0</v>
      </c>
      <c r="I273" s="50">
        <f t="shared" si="160"/>
        <v>0</v>
      </c>
      <c r="J273" s="50"/>
      <c r="K273" s="50">
        <f t="shared" si="161"/>
        <v>0</v>
      </c>
      <c r="L273" s="50"/>
      <c r="M273" s="50">
        <f t="shared" si="162"/>
        <v>95.031982808293648</v>
      </c>
      <c r="N273" s="50"/>
      <c r="O273" s="50">
        <f t="shared" si="163"/>
        <v>162668.99115383255</v>
      </c>
      <c r="P273" s="50">
        <f t="shared" si="164"/>
        <v>67085.111488055671</v>
      </c>
      <c r="Q273" s="50"/>
      <c r="R273" s="50">
        <f t="shared" si="165"/>
        <v>0</v>
      </c>
      <c r="S273" s="50">
        <f t="shared" si="166"/>
        <v>3248.0713232102721</v>
      </c>
      <c r="T273" s="50"/>
      <c r="U273" s="50">
        <f t="shared" si="167"/>
        <v>1413.2349408233331</v>
      </c>
      <c r="V273" s="50"/>
      <c r="W273" s="50">
        <f t="shared" si="168"/>
        <v>51195.983701969308</v>
      </c>
      <c r="X273" s="50"/>
      <c r="Y273" s="50">
        <f t="shared" si="169"/>
        <v>120964.15010251808</v>
      </c>
      <c r="Z273" s="50"/>
      <c r="AA273" s="50">
        <f t="shared" si="170"/>
        <v>12337.735306782452</v>
      </c>
      <c r="AB273" s="50">
        <f t="shared" si="157"/>
        <v>419008.31</v>
      </c>
      <c r="AC273" s="30" t="str">
        <f t="shared" si="158"/>
        <v>ok</v>
      </c>
    </row>
    <row r="274" spans="1:29" x14ac:dyDescent="0.2">
      <c r="A274" s="14">
        <v>926</v>
      </c>
      <c r="B274" s="14" t="s">
        <v>170</v>
      </c>
      <c r="C274" s="14" t="s">
        <v>171</v>
      </c>
      <c r="D274" s="14" t="s">
        <v>516</v>
      </c>
      <c r="F274" s="234">
        <v>0</v>
      </c>
      <c r="G274" s="194"/>
      <c r="H274" s="50">
        <f t="shared" si="159"/>
        <v>0</v>
      </c>
      <c r="I274" s="50">
        <f t="shared" si="160"/>
        <v>0</v>
      </c>
      <c r="J274" s="50"/>
      <c r="K274" s="50">
        <f t="shared" si="161"/>
        <v>0</v>
      </c>
      <c r="L274" s="50"/>
      <c r="M274" s="50">
        <f t="shared" si="162"/>
        <v>0</v>
      </c>
      <c r="N274" s="50"/>
      <c r="O274" s="50">
        <f t="shared" si="163"/>
        <v>0</v>
      </c>
      <c r="P274" s="50">
        <f t="shared" si="164"/>
        <v>0</v>
      </c>
      <c r="Q274" s="50"/>
      <c r="R274" s="50">
        <f t="shared" si="165"/>
        <v>0</v>
      </c>
      <c r="S274" s="50">
        <f t="shared" si="166"/>
        <v>0</v>
      </c>
      <c r="T274" s="50"/>
      <c r="U274" s="50">
        <f t="shared" si="167"/>
        <v>0</v>
      </c>
      <c r="V274" s="50"/>
      <c r="W274" s="50">
        <f t="shared" si="168"/>
        <v>0</v>
      </c>
      <c r="X274" s="50"/>
      <c r="Y274" s="50">
        <f t="shared" si="169"/>
        <v>0</v>
      </c>
      <c r="Z274" s="50"/>
      <c r="AA274" s="50">
        <f t="shared" si="170"/>
        <v>0</v>
      </c>
      <c r="AB274" s="50">
        <f t="shared" si="157"/>
        <v>0</v>
      </c>
      <c r="AC274" s="30" t="str">
        <f t="shared" si="158"/>
        <v>ok</v>
      </c>
    </row>
    <row r="275" spans="1:29" x14ac:dyDescent="0.2">
      <c r="A275" s="14">
        <v>928</v>
      </c>
      <c r="B275" s="14" t="s">
        <v>578</v>
      </c>
      <c r="C275" s="14" t="s">
        <v>173</v>
      </c>
      <c r="D275" s="14" t="s">
        <v>411</v>
      </c>
      <c r="F275" s="234">
        <v>76074.240000000005</v>
      </c>
      <c r="G275" s="194"/>
      <c r="H275" s="50">
        <f t="shared" si="159"/>
        <v>0</v>
      </c>
      <c r="I275" s="50">
        <f t="shared" si="160"/>
        <v>0</v>
      </c>
      <c r="J275" s="50"/>
      <c r="K275" s="50">
        <f t="shared" si="161"/>
        <v>0</v>
      </c>
      <c r="L275" s="50"/>
      <c r="M275" s="50">
        <f t="shared" si="162"/>
        <v>567.76247702110447</v>
      </c>
      <c r="N275" s="50"/>
      <c r="O275" s="50">
        <f t="shared" si="163"/>
        <v>38526.464026455447</v>
      </c>
      <c r="P275" s="50">
        <f t="shared" si="164"/>
        <v>16307.475208337326</v>
      </c>
      <c r="Q275" s="50"/>
      <c r="R275" s="50">
        <f t="shared" si="165"/>
        <v>0</v>
      </c>
      <c r="S275" s="50">
        <f t="shared" si="166"/>
        <v>1404.4275847197628</v>
      </c>
      <c r="T275" s="50"/>
      <c r="U275" s="50">
        <f t="shared" si="167"/>
        <v>4827.3685461641944</v>
      </c>
      <c r="V275" s="50"/>
      <c r="W275" s="50">
        <f t="shared" si="168"/>
        <v>136.21012245583125</v>
      </c>
      <c r="X275" s="50"/>
      <c r="Y275" s="50">
        <f t="shared" si="169"/>
        <v>13354.426006656488</v>
      </c>
      <c r="Z275" s="50"/>
      <c r="AA275" s="50">
        <f t="shared" si="170"/>
        <v>950.1060281898483</v>
      </c>
      <c r="AB275" s="50">
        <f t="shared" si="157"/>
        <v>76074.240000000005</v>
      </c>
      <c r="AC275" s="30" t="str">
        <f t="shared" si="158"/>
        <v>ok</v>
      </c>
    </row>
    <row r="276" spans="1:29" x14ac:dyDescent="0.2">
      <c r="A276" s="14">
        <v>929</v>
      </c>
      <c r="B276" s="14" t="s">
        <v>930</v>
      </c>
      <c r="C276" s="14" t="s">
        <v>387</v>
      </c>
      <c r="D276" s="14" t="s">
        <v>411</v>
      </c>
      <c r="F276" s="234">
        <v>-274624.74</v>
      </c>
      <c r="G276" s="194"/>
      <c r="H276" s="50">
        <f t="shared" si="159"/>
        <v>0</v>
      </c>
      <c r="I276" s="50">
        <f t="shared" si="160"/>
        <v>0</v>
      </c>
      <c r="J276" s="50"/>
      <c r="K276" s="50">
        <f t="shared" si="161"/>
        <v>0</v>
      </c>
      <c r="L276" s="50"/>
      <c r="M276" s="50">
        <f t="shared" si="162"/>
        <v>-2049.5981640260457</v>
      </c>
      <c r="N276" s="50"/>
      <c r="O276" s="50">
        <f t="shared" si="163"/>
        <v>-139078.88092453737</v>
      </c>
      <c r="P276" s="50">
        <f t="shared" si="164"/>
        <v>-58869.285307958162</v>
      </c>
      <c r="Q276" s="50"/>
      <c r="R276" s="50">
        <f t="shared" si="165"/>
        <v>0</v>
      </c>
      <c r="S276" s="50">
        <f t="shared" si="166"/>
        <v>-5069.9232789245452</v>
      </c>
      <c r="T276" s="50"/>
      <c r="U276" s="50">
        <f t="shared" si="167"/>
        <v>-17426.593178906813</v>
      </c>
      <c r="V276" s="50"/>
      <c r="W276" s="50">
        <f t="shared" si="168"/>
        <v>-491.71269361088343</v>
      </c>
      <c r="X276" s="50"/>
      <c r="Y276" s="50">
        <f t="shared" si="169"/>
        <v>-48208.904484977778</v>
      </c>
      <c r="Z276" s="50"/>
      <c r="AA276" s="50">
        <f t="shared" si="170"/>
        <v>-3429.8419670583594</v>
      </c>
      <c r="AB276" s="50">
        <f t="shared" si="157"/>
        <v>-274624.73999999993</v>
      </c>
      <c r="AC276" s="30" t="str">
        <f t="shared" si="158"/>
        <v>ok</v>
      </c>
    </row>
    <row r="277" spans="1:29" x14ac:dyDescent="0.2">
      <c r="A277" s="14">
        <v>930</v>
      </c>
      <c r="B277" s="14" t="s">
        <v>174</v>
      </c>
      <c r="C277" s="14" t="s">
        <v>175</v>
      </c>
      <c r="D277" s="14" t="s">
        <v>411</v>
      </c>
      <c r="F277" s="234">
        <f>27300.14+5712.78+526900.35+193939.77+204030.38+7000+110035.48</f>
        <v>1074918.9000000001</v>
      </c>
      <c r="G277" s="194"/>
      <c r="H277" s="50">
        <f t="shared" si="159"/>
        <v>0</v>
      </c>
      <c r="I277" s="50">
        <f t="shared" si="160"/>
        <v>0</v>
      </c>
      <c r="J277" s="50"/>
      <c r="K277" s="50">
        <f t="shared" si="161"/>
        <v>0</v>
      </c>
      <c r="L277" s="50"/>
      <c r="M277" s="50">
        <f t="shared" si="162"/>
        <v>8022.4083377080196</v>
      </c>
      <c r="N277" s="50"/>
      <c r="O277" s="50">
        <f t="shared" si="163"/>
        <v>544373.81605398958</v>
      </c>
      <c r="P277" s="50">
        <f t="shared" si="164"/>
        <v>230422.45723024284</v>
      </c>
      <c r="Q277" s="50"/>
      <c r="R277" s="50">
        <f t="shared" si="165"/>
        <v>0</v>
      </c>
      <c r="S277" s="50">
        <f t="shared" si="166"/>
        <v>19844.375106430562</v>
      </c>
      <c r="T277" s="50"/>
      <c r="U277" s="50">
        <f t="shared" si="167"/>
        <v>68210.075940783834</v>
      </c>
      <c r="V277" s="50"/>
      <c r="W277" s="50">
        <f t="shared" si="168"/>
        <v>1924.6309263041921</v>
      </c>
      <c r="X277" s="50"/>
      <c r="Y277" s="50">
        <f t="shared" si="169"/>
        <v>188696.26450696826</v>
      </c>
      <c r="Z277" s="50"/>
      <c r="AA277" s="50">
        <f t="shared" si="170"/>
        <v>13424.871897572697</v>
      </c>
      <c r="AB277" s="50">
        <f t="shared" si="157"/>
        <v>1074918.8999999999</v>
      </c>
      <c r="AC277" s="30" t="str">
        <f t="shared" si="158"/>
        <v>ok</v>
      </c>
    </row>
    <row r="278" spans="1:29" x14ac:dyDescent="0.2">
      <c r="A278" s="14">
        <v>931</v>
      </c>
      <c r="B278" s="14" t="s">
        <v>176</v>
      </c>
      <c r="C278" s="14" t="s">
        <v>177</v>
      </c>
      <c r="D278" s="14" t="s">
        <v>84</v>
      </c>
      <c r="F278" s="234">
        <v>0</v>
      </c>
      <c r="G278" s="194"/>
      <c r="H278" s="50">
        <f t="shared" si="159"/>
        <v>0</v>
      </c>
      <c r="I278" s="50">
        <f t="shared" si="160"/>
        <v>0</v>
      </c>
      <c r="J278" s="50"/>
      <c r="K278" s="50">
        <f t="shared" si="161"/>
        <v>0</v>
      </c>
      <c r="L278" s="50"/>
      <c r="M278" s="50">
        <f t="shared" si="162"/>
        <v>0</v>
      </c>
      <c r="N278" s="50"/>
      <c r="O278" s="50">
        <f t="shared" si="163"/>
        <v>0</v>
      </c>
      <c r="P278" s="50">
        <f t="shared" si="164"/>
        <v>0</v>
      </c>
      <c r="Q278" s="50"/>
      <c r="R278" s="50">
        <f t="shared" si="165"/>
        <v>0</v>
      </c>
      <c r="S278" s="50">
        <f t="shared" si="166"/>
        <v>0</v>
      </c>
      <c r="T278" s="50"/>
      <c r="U278" s="50">
        <f t="shared" si="167"/>
        <v>0</v>
      </c>
      <c r="V278" s="50"/>
      <c r="W278" s="50">
        <f t="shared" si="168"/>
        <v>0</v>
      </c>
      <c r="X278" s="50"/>
      <c r="Y278" s="50">
        <f t="shared" si="169"/>
        <v>0</v>
      </c>
      <c r="Z278" s="50"/>
      <c r="AA278" s="50">
        <f t="shared" si="170"/>
        <v>0</v>
      </c>
      <c r="AB278" s="50">
        <f t="shared" si="157"/>
        <v>0</v>
      </c>
      <c r="AC278" s="30" t="str">
        <f t="shared" si="158"/>
        <v>ok</v>
      </c>
    </row>
    <row r="279" spans="1:29" x14ac:dyDescent="0.2">
      <c r="A279" s="14">
        <v>932</v>
      </c>
      <c r="B279" s="14" t="s">
        <v>178</v>
      </c>
      <c r="C279" s="14" t="s">
        <v>925</v>
      </c>
      <c r="D279" s="14" t="s">
        <v>70</v>
      </c>
      <c r="F279" s="234">
        <v>0</v>
      </c>
      <c r="G279" s="194"/>
      <c r="H279" s="50"/>
      <c r="I279" s="50">
        <f t="shared" si="160"/>
        <v>0</v>
      </c>
      <c r="J279" s="50"/>
      <c r="K279" s="50">
        <f t="shared" si="161"/>
        <v>0</v>
      </c>
      <c r="L279" s="50"/>
      <c r="M279" s="50">
        <f t="shared" si="162"/>
        <v>0</v>
      </c>
      <c r="N279" s="50"/>
      <c r="O279" s="50">
        <f t="shared" si="163"/>
        <v>0</v>
      </c>
      <c r="P279" s="50">
        <f t="shared" si="164"/>
        <v>0</v>
      </c>
      <c r="Q279" s="50"/>
      <c r="R279" s="50">
        <f t="shared" si="165"/>
        <v>0</v>
      </c>
      <c r="S279" s="50">
        <f t="shared" si="166"/>
        <v>0</v>
      </c>
      <c r="T279" s="50"/>
      <c r="U279" s="50">
        <f t="shared" si="167"/>
        <v>0</v>
      </c>
      <c r="V279" s="50"/>
      <c r="W279" s="50">
        <f t="shared" si="168"/>
        <v>0</v>
      </c>
      <c r="X279" s="50"/>
      <c r="Y279" s="50">
        <f t="shared" si="169"/>
        <v>0</v>
      </c>
      <c r="Z279" s="50"/>
      <c r="AA279" s="50">
        <f t="shared" si="170"/>
        <v>0</v>
      </c>
      <c r="AB279" s="50">
        <f>SUM(H279:AA279)</f>
        <v>0</v>
      </c>
      <c r="AC279" s="30" t="str">
        <f>IF(ABS(AB279-F279)&lt;1,"ok","err")</f>
        <v>ok</v>
      </c>
    </row>
    <row r="280" spans="1:29" x14ac:dyDescent="0.2">
      <c r="A280" s="14">
        <v>933</v>
      </c>
      <c r="B280" s="14" t="s">
        <v>923</v>
      </c>
      <c r="C280" s="14" t="s">
        <v>924</v>
      </c>
      <c r="D280" s="14" t="s">
        <v>70</v>
      </c>
      <c r="F280" s="234">
        <v>0</v>
      </c>
      <c r="G280" s="194"/>
      <c r="H280" s="50">
        <f>IF((VLOOKUP($D280,$C$5:$AA$493,6,)=0),0,((VLOOKUP($D280,$C$5:$AA$493,6,)/VLOOKUP($D280,$C$5:$AA$493,4,))*$F280))</f>
        <v>0</v>
      </c>
      <c r="I280" s="50">
        <f t="shared" si="160"/>
        <v>0</v>
      </c>
      <c r="J280" s="50"/>
      <c r="K280" s="50">
        <f t="shared" si="161"/>
        <v>0</v>
      </c>
      <c r="L280" s="50"/>
      <c r="M280" s="50">
        <f t="shared" si="162"/>
        <v>0</v>
      </c>
      <c r="N280" s="50"/>
      <c r="O280" s="50">
        <f t="shared" si="163"/>
        <v>0</v>
      </c>
      <c r="P280" s="50">
        <f t="shared" si="164"/>
        <v>0</v>
      </c>
      <c r="Q280" s="50"/>
      <c r="R280" s="50">
        <f t="shared" si="165"/>
        <v>0</v>
      </c>
      <c r="S280" s="50">
        <f t="shared" si="166"/>
        <v>0</v>
      </c>
      <c r="T280" s="50"/>
      <c r="U280" s="50">
        <f t="shared" si="167"/>
        <v>0</v>
      </c>
      <c r="V280" s="50"/>
      <c r="W280" s="50">
        <f t="shared" si="168"/>
        <v>0</v>
      </c>
      <c r="X280" s="50"/>
      <c r="Y280" s="50">
        <f t="shared" si="169"/>
        <v>0</v>
      </c>
      <c r="Z280" s="50"/>
      <c r="AA280" s="50">
        <f t="shared" si="170"/>
        <v>0</v>
      </c>
      <c r="AB280" s="50">
        <f>SUM(H280:AA280)</f>
        <v>0</v>
      </c>
      <c r="AC280" s="30" t="str">
        <f>IF(ABS(AB280-F280)&lt;1,"ok","err")</f>
        <v>ok</v>
      </c>
    </row>
    <row r="281" spans="1:29" x14ac:dyDescent="0.2">
      <c r="A281" s="14">
        <v>935</v>
      </c>
      <c r="B281" s="14" t="s">
        <v>926</v>
      </c>
      <c r="C281" s="14" t="s">
        <v>709</v>
      </c>
      <c r="D281" s="14" t="s">
        <v>84</v>
      </c>
      <c r="F281" s="234">
        <v>1096715.656</v>
      </c>
      <c r="G281" s="194"/>
      <c r="H281" s="50">
        <f>IF((VLOOKUP($D281,$C$5:$AA$493,6,)=0),0,((VLOOKUP($D281,$C$5:$AA$493,6,)/VLOOKUP($D281,$C$5:$AA$493,4,))*$F281))</f>
        <v>0</v>
      </c>
      <c r="I281" s="50">
        <f t="shared" si="160"/>
        <v>0</v>
      </c>
      <c r="J281" s="50"/>
      <c r="K281" s="50">
        <f t="shared" si="161"/>
        <v>0</v>
      </c>
      <c r="L281" s="50"/>
      <c r="M281" s="50">
        <f t="shared" si="162"/>
        <v>4042.2147442505866</v>
      </c>
      <c r="N281" s="50"/>
      <c r="O281" s="50">
        <f t="shared" si="163"/>
        <v>534112.42641673645</v>
      </c>
      <c r="P281" s="50">
        <f t="shared" si="164"/>
        <v>300619.59922248905</v>
      </c>
      <c r="Q281" s="50"/>
      <c r="R281" s="50">
        <f t="shared" si="165"/>
        <v>0</v>
      </c>
      <c r="S281" s="50">
        <f t="shared" si="166"/>
        <v>138157.71706609332</v>
      </c>
      <c r="T281" s="50"/>
      <c r="U281" s="50">
        <f t="shared" si="167"/>
        <v>60112.384757983084</v>
      </c>
      <c r="V281" s="50"/>
      <c r="W281" s="50">
        <f t="shared" si="168"/>
        <v>59671.313792447654</v>
      </c>
      <c r="X281" s="50"/>
      <c r="Y281" s="50">
        <f t="shared" si="169"/>
        <v>0</v>
      </c>
      <c r="Z281" s="50"/>
      <c r="AA281" s="50">
        <f t="shared" si="170"/>
        <v>0</v>
      </c>
      <c r="AB281" s="50">
        <f t="shared" si="157"/>
        <v>1096715.6560000002</v>
      </c>
      <c r="AC281" s="30" t="str">
        <f t="shared" si="158"/>
        <v>ok</v>
      </c>
    </row>
    <row r="282" spans="1:29" x14ac:dyDescent="0.2">
      <c r="F282" s="234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30"/>
    </row>
    <row r="283" spans="1:29" x14ac:dyDescent="0.2">
      <c r="A283" s="14" t="s">
        <v>179</v>
      </c>
      <c r="C283" s="14" t="s">
        <v>180</v>
      </c>
      <c r="D283" s="165"/>
      <c r="F283" s="233">
        <f>SUM(F269:F282)</f>
        <v>5676616.4260000009</v>
      </c>
      <c r="G283" s="66"/>
      <c r="H283" s="66">
        <f>SUM(H269:H282)</f>
        <v>0</v>
      </c>
      <c r="I283" s="66">
        <f>SUM(I269:I282)</f>
        <v>0</v>
      </c>
      <c r="J283" s="66"/>
      <c r="K283" s="66">
        <f>SUM(K269:K282)</f>
        <v>0</v>
      </c>
      <c r="L283" s="66"/>
      <c r="M283" s="66">
        <f>SUM(M269:M282)</f>
        <v>28100.31478411462</v>
      </c>
      <c r="N283" s="66"/>
      <c r="O283" s="66">
        <f>SUM(O269:O282)</f>
        <v>2688163.3764761849</v>
      </c>
      <c r="P283" s="66">
        <f>SUM(P269:P282)</f>
        <v>1206478.7320322813</v>
      </c>
      <c r="Q283" s="66"/>
      <c r="R283" s="66">
        <f>SUM(R269:R282)</f>
        <v>0</v>
      </c>
      <c r="S283" s="66">
        <f>SUM(S269:S282)</f>
        <v>207727.29646867263</v>
      </c>
      <c r="T283" s="66"/>
      <c r="U283" s="66">
        <f>SUM(U269:U282)</f>
        <v>266685.61738047638</v>
      </c>
      <c r="V283" s="66"/>
      <c r="W283" s="66">
        <f>SUM(W269:W282)</f>
        <v>236286.90898087513</v>
      </c>
      <c r="X283" s="66"/>
      <c r="Y283" s="66">
        <f>SUM(Y269:Y282)</f>
        <v>962255.69482765859</v>
      </c>
      <c r="Z283" s="66"/>
      <c r="AA283" s="66">
        <f>SUM(AA269:AA282)</f>
        <v>80918.485049735958</v>
      </c>
      <c r="AB283" s="50">
        <f>SUM(H283:AA283)</f>
        <v>5676616.425999999</v>
      </c>
      <c r="AC283" s="30" t="str">
        <f>IF(ABS(AB283-F283)&lt;1,"ok","err")</f>
        <v>ok</v>
      </c>
    </row>
    <row r="284" spans="1:29" x14ac:dyDescent="0.2">
      <c r="F284" s="234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30"/>
    </row>
    <row r="285" spans="1:29" x14ac:dyDescent="0.2">
      <c r="A285" s="14" t="s">
        <v>181</v>
      </c>
      <c r="C285" s="14" t="s">
        <v>182</v>
      </c>
      <c r="F285" s="233">
        <f>F237+F246+F262+F283</f>
        <v>141123429.34600002</v>
      </c>
      <c r="G285" s="66"/>
      <c r="H285" s="66">
        <f>H237+H246+H262+H283</f>
        <v>32193190.155008759</v>
      </c>
      <c r="I285" s="66">
        <f>I237+I246+I262+I283</f>
        <v>76848014.844991267</v>
      </c>
      <c r="J285" s="66"/>
      <c r="K285" s="66">
        <f>K237+K246+K262+K283</f>
        <v>0</v>
      </c>
      <c r="L285" s="66"/>
      <c r="M285" s="66">
        <f>M237+M246+M262+M283</f>
        <v>225172.45589137106</v>
      </c>
      <c r="N285" s="66"/>
      <c r="O285" s="66">
        <f>O237+O246+O262+O283</f>
        <v>16060820.186804712</v>
      </c>
      <c r="P285" s="66">
        <f>P237+P246+P262+P283</f>
        <v>6866854.6558203558</v>
      </c>
      <c r="Q285" s="66"/>
      <c r="R285" s="66">
        <f>R237+R246+R262+R283</f>
        <v>0</v>
      </c>
      <c r="S285" s="66">
        <f>S237+S246+S262+S283</f>
        <v>695208.52735763881</v>
      </c>
      <c r="T285" s="66"/>
      <c r="U285" s="66">
        <f>U237+U246+U262+U283</f>
        <v>1942280.4194495096</v>
      </c>
      <c r="V285" s="66"/>
      <c r="W285" s="66">
        <f>W237+W246+W262+W283</f>
        <v>283565.87079901312</v>
      </c>
      <c r="X285" s="66"/>
      <c r="Y285" s="66">
        <f>Y237+Y246+Y262+Y283</f>
        <v>5597618.9548276588</v>
      </c>
      <c r="Z285" s="66"/>
      <c r="AA285" s="66">
        <f>AA237+AA246+AA262+AA283</f>
        <v>410703.27504973591</v>
      </c>
      <c r="AB285" s="50">
        <f>SUM(H285:AA285)</f>
        <v>141123429.34600005</v>
      </c>
      <c r="AC285" s="30" t="str">
        <f>IF(ABS(AB285-F285)&lt;1,"ok","err")</f>
        <v>ok</v>
      </c>
    </row>
    <row r="286" spans="1:29" x14ac:dyDescent="0.2">
      <c r="F286" s="234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30"/>
    </row>
    <row r="287" spans="1:29" x14ac:dyDescent="0.2">
      <c r="A287" s="14" t="s">
        <v>412</v>
      </c>
      <c r="C287" s="14" t="s">
        <v>88</v>
      </c>
      <c r="F287" s="226">
        <f>F285-F180</f>
        <v>32082224.346000016</v>
      </c>
      <c r="G287" s="93"/>
      <c r="H287" s="93">
        <f>H285-H180</f>
        <v>0</v>
      </c>
      <c r="I287" s="93">
        <f>I285-I180</f>
        <v>0</v>
      </c>
      <c r="J287" s="93"/>
      <c r="K287" s="93">
        <f>K285-K180</f>
        <v>0</v>
      </c>
      <c r="L287" s="93"/>
      <c r="M287" s="93">
        <f>M285-M180</f>
        <v>225172.45589137106</v>
      </c>
      <c r="N287" s="93"/>
      <c r="O287" s="93">
        <f>O285-O180</f>
        <v>16060820.186804712</v>
      </c>
      <c r="P287" s="93">
        <f>P285-P180</f>
        <v>6866854.6558203558</v>
      </c>
      <c r="Q287" s="93">
        <f>Q285-Q180</f>
        <v>0</v>
      </c>
      <c r="R287" s="93">
        <f>R285-R180</f>
        <v>0</v>
      </c>
      <c r="S287" s="93">
        <f>S285-S180</f>
        <v>695208.52735763881</v>
      </c>
      <c r="T287" s="93"/>
      <c r="U287" s="93">
        <f>U285-U180</f>
        <v>1942280.4194495096</v>
      </c>
      <c r="V287" s="93"/>
      <c r="W287" s="93">
        <f>W285-W180</f>
        <v>283565.87079901312</v>
      </c>
      <c r="X287" s="93"/>
      <c r="Y287" s="93">
        <f>Y285-Y180</f>
        <v>5597618.9548276588</v>
      </c>
      <c r="Z287" s="93"/>
      <c r="AA287" s="93">
        <f>AA285-AA180</f>
        <v>410703.27504973591</v>
      </c>
      <c r="AB287" s="50">
        <f>SUM(H287:AA287)</f>
        <v>32082224.34599999</v>
      </c>
      <c r="AC287" s="30" t="str">
        <f>IF(ABS(AB287-F287)&lt;1,"ok","err")</f>
        <v>ok</v>
      </c>
    </row>
    <row r="288" spans="1:29" x14ac:dyDescent="0.2">
      <c r="Q288" s="14"/>
      <c r="AC288" s="30"/>
    </row>
    <row r="289" spans="1:29" x14ac:dyDescent="0.2">
      <c r="AC289" s="30"/>
    </row>
    <row r="290" spans="1:29" x14ac:dyDescent="0.2">
      <c r="A290" s="28" t="s">
        <v>184</v>
      </c>
      <c r="AC290" s="30"/>
    </row>
    <row r="291" spans="1:29" x14ac:dyDescent="0.2">
      <c r="AC291" s="30"/>
    </row>
    <row r="292" spans="1:29" x14ac:dyDescent="0.2">
      <c r="A292" s="13" t="s">
        <v>185</v>
      </c>
      <c r="AC292" s="30"/>
    </row>
    <row r="293" spans="1:29" x14ac:dyDescent="0.2">
      <c r="A293" s="14" t="s">
        <v>766</v>
      </c>
      <c r="C293" s="14" t="s">
        <v>827</v>
      </c>
      <c r="D293" s="14" t="s">
        <v>782</v>
      </c>
      <c r="F293" s="234">
        <v>0</v>
      </c>
      <c r="G293" s="194"/>
      <c r="H293" s="50">
        <f t="shared" ref="H293:H310" si="171">IF((VLOOKUP($D293,$C$5:$AA$493,6,)=0),0,((VLOOKUP($D293,$C$5:$AA$493,6,)/VLOOKUP($D293,$C$5:$AA$493,4,))*$F293))</f>
        <v>0</v>
      </c>
      <c r="I293" s="50">
        <f t="shared" ref="I293:I310" si="172">IF((VLOOKUP($D293,$C$5:$AA$493,7,)=0),0,((VLOOKUP($D293,$C$5:$AA$493,7,)/VLOOKUP($D293,$C$5:$AA$493,4,))*$F293))</f>
        <v>0</v>
      </c>
      <c r="J293" s="50"/>
      <c r="K293" s="50">
        <f t="shared" ref="K293:K310" si="173">IF((VLOOKUP($D293,$C$5:$AA$493,9,)=0),0,((VLOOKUP($D293,$C$5:$AA$493,9,)/VLOOKUP($D293,$C$5:$AA$493,4,))*$F293))</f>
        <v>0</v>
      </c>
      <c r="L293" s="50"/>
      <c r="M293" s="50">
        <f t="shared" ref="M293:M310" si="174">IF((VLOOKUP($D293,$C$5:$AA$493,11,)=0),0,((VLOOKUP($D293,$C$5:$AA$493,11,)/VLOOKUP($D293,$C$5:$AA$493,4,))*$F293))</f>
        <v>0</v>
      </c>
      <c r="N293" s="50"/>
      <c r="O293" s="50">
        <f t="shared" ref="O293:O310" si="175">IF((VLOOKUP($D293,$C$5:$AA$493,13,)=0),0,((VLOOKUP($D293,$C$5:$AA$493,13,)/VLOOKUP($D293,$C$5:$AA$493,4,))*$F293))</f>
        <v>0</v>
      </c>
      <c r="P293" s="50">
        <f t="shared" ref="P293:P310" si="176">IF((VLOOKUP($D293,$C$5:$AA$493,14,)=0),0,((VLOOKUP($D293,$C$5:$AA$493,14,)/VLOOKUP($D293,$C$5:$AA$493,4,))*$F293))</f>
        <v>0</v>
      </c>
      <c r="Q293" s="50"/>
      <c r="R293" s="50">
        <f t="shared" ref="R293:R310" si="177">IF((VLOOKUP($D293,$C$5:$AA$493,16,)=0),0,((VLOOKUP($D293,$C$5:$AA$493,16,)/VLOOKUP($D293,$C$5:$AA$493,4,))*$F293))</f>
        <v>0</v>
      </c>
      <c r="S293" s="50">
        <f t="shared" ref="S293:S310" si="178">IF((VLOOKUP($D293,$C$5:$AA$493,17,)=0),0,((VLOOKUP($D293,$C$5:$AA$493,17,)/VLOOKUP($D293,$C$5:$AA$493,4,))*$F293))</f>
        <v>0</v>
      </c>
      <c r="T293" s="50"/>
      <c r="U293" s="50">
        <f t="shared" ref="U293:U310" si="179">IF((VLOOKUP($D293,$C$5:$AA$493,19,)=0),0,((VLOOKUP($D293,$C$5:$AA$493,19,)/VLOOKUP($D293,$C$5:$AA$493,4,))*$F293))</f>
        <v>0</v>
      </c>
      <c r="V293" s="50"/>
      <c r="W293" s="50">
        <f t="shared" ref="W293:W310" si="180">IF((VLOOKUP($D293,$C$5:$AA$493,21,)=0),0,((VLOOKUP($D293,$C$5:$AA$493,21,)/VLOOKUP($D293,$C$5:$AA$493,4,))*$F293))</f>
        <v>0</v>
      </c>
      <c r="X293" s="50"/>
      <c r="Y293" s="50">
        <f t="shared" ref="Y293:Y310" si="181">IF((VLOOKUP($D293,$C$5:$AA$493,23,)=0),0,((VLOOKUP($D293,$C$5:$AA$493,23,)/VLOOKUP($D293,$C$5:$AA$493,4,))*$F293))</f>
        <v>0</v>
      </c>
      <c r="Z293" s="50"/>
      <c r="AA293" s="50">
        <f t="shared" ref="AA293:AA310" si="182">IF((VLOOKUP($D293,$C$5:$AA$493,25,)=0),0,((VLOOKUP($D293,$C$5:$AA$493,25,)/VLOOKUP($D293,$C$5:$AA$493,4,))*$F293))</f>
        <v>0</v>
      </c>
      <c r="AB293" s="50">
        <f>SUM(H293:AA293)</f>
        <v>0</v>
      </c>
      <c r="AC293" s="30" t="str">
        <f>IF(ABS(AB293-F293)&lt;1,"ok","err")</f>
        <v>ok</v>
      </c>
    </row>
    <row r="294" spans="1:29" x14ac:dyDescent="0.2">
      <c r="A294" s="14" t="s">
        <v>368</v>
      </c>
      <c r="C294" s="14" t="s">
        <v>414</v>
      </c>
      <c r="D294" s="14" t="s">
        <v>390</v>
      </c>
      <c r="F294" s="234">
        <v>0</v>
      </c>
      <c r="G294" s="194"/>
      <c r="H294" s="50">
        <f t="shared" si="171"/>
        <v>0</v>
      </c>
      <c r="I294" s="50">
        <f t="shared" si="172"/>
        <v>0</v>
      </c>
      <c r="J294" s="50"/>
      <c r="K294" s="50">
        <f t="shared" si="173"/>
        <v>0</v>
      </c>
      <c r="L294" s="50"/>
      <c r="M294" s="50">
        <f t="shared" si="174"/>
        <v>0</v>
      </c>
      <c r="N294" s="50"/>
      <c r="O294" s="50">
        <f t="shared" si="175"/>
        <v>0</v>
      </c>
      <c r="P294" s="50">
        <f t="shared" si="176"/>
        <v>0</v>
      </c>
      <c r="Q294" s="50"/>
      <c r="R294" s="50">
        <f t="shared" si="177"/>
        <v>0</v>
      </c>
      <c r="S294" s="50">
        <f t="shared" si="178"/>
        <v>0</v>
      </c>
      <c r="T294" s="50"/>
      <c r="U294" s="50">
        <f t="shared" si="179"/>
        <v>0</v>
      </c>
      <c r="V294" s="50"/>
      <c r="W294" s="50">
        <f t="shared" si="180"/>
        <v>0</v>
      </c>
      <c r="X294" s="50"/>
      <c r="Y294" s="50">
        <f t="shared" si="181"/>
        <v>0</v>
      </c>
      <c r="Z294" s="50"/>
      <c r="AA294" s="50">
        <f t="shared" si="182"/>
        <v>0</v>
      </c>
      <c r="AB294" s="50">
        <f>SUM(H294:AA294)</f>
        <v>0</v>
      </c>
      <c r="AC294" s="30" t="str">
        <f>IF(ABS(AB294-F294)&lt;1,"ok","err")</f>
        <v>ok</v>
      </c>
    </row>
    <row r="295" spans="1:29" x14ac:dyDescent="0.2">
      <c r="A295" s="14" t="s">
        <v>426</v>
      </c>
      <c r="C295" s="14" t="s">
        <v>458</v>
      </c>
      <c r="D295" s="14" t="s">
        <v>424</v>
      </c>
      <c r="F295" s="234">
        <v>0</v>
      </c>
      <c r="G295" s="194"/>
      <c r="H295" s="50">
        <f t="shared" si="171"/>
        <v>0</v>
      </c>
      <c r="I295" s="50">
        <f t="shared" si="172"/>
        <v>0</v>
      </c>
      <c r="J295" s="50"/>
      <c r="K295" s="50">
        <f t="shared" si="173"/>
        <v>0</v>
      </c>
      <c r="L295" s="50"/>
      <c r="M295" s="50">
        <f t="shared" si="174"/>
        <v>0</v>
      </c>
      <c r="N295" s="50"/>
      <c r="O295" s="50">
        <f t="shared" si="175"/>
        <v>0</v>
      </c>
      <c r="P295" s="50">
        <f t="shared" si="176"/>
        <v>0</v>
      </c>
      <c r="Q295" s="50"/>
      <c r="R295" s="50">
        <f t="shared" si="177"/>
        <v>0</v>
      </c>
      <c r="S295" s="50">
        <f t="shared" si="178"/>
        <v>0</v>
      </c>
      <c r="T295" s="50"/>
      <c r="U295" s="50">
        <f t="shared" si="179"/>
        <v>0</v>
      </c>
      <c r="V295" s="50"/>
      <c r="W295" s="50">
        <f t="shared" si="180"/>
        <v>0</v>
      </c>
      <c r="X295" s="50"/>
      <c r="Y295" s="50">
        <f t="shared" si="181"/>
        <v>0</v>
      </c>
      <c r="Z295" s="50"/>
      <c r="AA295" s="50">
        <f t="shared" si="182"/>
        <v>0</v>
      </c>
      <c r="AB295" s="50">
        <f t="shared" ref="AB295:AB306" si="183">SUM(H295:AA295)</f>
        <v>0</v>
      </c>
      <c r="AC295" s="30" t="str">
        <f t="shared" ref="AC295:AC306" si="184">IF(ABS(AB295-F295)&lt;1,"ok","err")</f>
        <v>ok</v>
      </c>
    </row>
    <row r="296" spans="1:29" x14ac:dyDescent="0.2">
      <c r="A296" s="14" t="s">
        <v>427</v>
      </c>
      <c r="C296" s="14" t="s">
        <v>459</v>
      </c>
      <c r="D296" s="14" t="s">
        <v>23</v>
      </c>
      <c r="F296" s="234">
        <v>0</v>
      </c>
      <c r="G296" s="194"/>
      <c r="H296" s="50">
        <f t="shared" si="171"/>
        <v>0</v>
      </c>
      <c r="I296" s="50">
        <f t="shared" si="172"/>
        <v>0</v>
      </c>
      <c r="J296" s="50"/>
      <c r="K296" s="50">
        <f t="shared" si="173"/>
        <v>0</v>
      </c>
      <c r="L296" s="50"/>
      <c r="M296" s="50">
        <f t="shared" si="174"/>
        <v>0</v>
      </c>
      <c r="N296" s="50"/>
      <c r="O296" s="50">
        <f t="shared" si="175"/>
        <v>0</v>
      </c>
      <c r="P296" s="50">
        <f t="shared" si="176"/>
        <v>0</v>
      </c>
      <c r="Q296" s="50"/>
      <c r="R296" s="50">
        <f t="shared" si="177"/>
        <v>0</v>
      </c>
      <c r="S296" s="50">
        <f t="shared" si="178"/>
        <v>0</v>
      </c>
      <c r="T296" s="50"/>
      <c r="U296" s="50">
        <f t="shared" si="179"/>
        <v>0</v>
      </c>
      <c r="V296" s="50"/>
      <c r="W296" s="50">
        <f t="shared" si="180"/>
        <v>0</v>
      </c>
      <c r="X296" s="50"/>
      <c r="Y296" s="50">
        <f t="shared" si="181"/>
        <v>0</v>
      </c>
      <c r="Z296" s="50"/>
      <c r="AA296" s="50">
        <f t="shared" si="182"/>
        <v>0</v>
      </c>
      <c r="AB296" s="50">
        <f t="shared" si="183"/>
        <v>0</v>
      </c>
      <c r="AC296" s="30" t="str">
        <f t="shared" si="184"/>
        <v>ok</v>
      </c>
    </row>
    <row r="297" spans="1:29" x14ac:dyDescent="0.2">
      <c r="A297" s="14" t="s">
        <v>428</v>
      </c>
      <c r="C297" s="14" t="s">
        <v>460</v>
      </c>
      <c r="D297" s="14" t="s">
        <v>26</v>
      </c>
      <c r="F297" s="234">
        <v>0</v>
      </c>
      <c r="G297" s="194"/>
      <c r="H297" s="50">
        <f t="shared" si="171"/>
        <v>0</v>
      </c>
      <c r="I297" s="50">
        <f t="shared" si="172"/>
        <v>0</v>
      </c>
      <c r="J297" s="50"/>
      <c r="K297" s="50">
        <f t="shared" si="173"/>
        <v>0</v>
      </c>
      <c r="L297" s="50"/>
      <c r="M297" s="50">
        <f t="shared" si="174"/>
        <v>0</v>
      </c>
      <c r="N297" s="50"/>
      <c r="O297" s="50">
        <f t="shared" si="175"/>
        <v>0</v>
      </c>
      <c r="P297" s="50">
        <f t="shared" si="176"/>
        <v>0</v>
      </c>
      <c r="Q297" s="50"/>
      <c r="R297" s="50">
        <f t="shared" si="177"/>
        <v>0</v>
      </c>
      <c r="S297" s="50">
        <f t="shared" si="178"/>
        <v>0</v>
      </c>
      <c r="T297" s="50"/>
      <c r="U297" s="50">
        <f t="shared" si="179"/>
        <v>0</v>
      </c>
      <c r="V297" s="50"/>
      <c r="W297" s="50">
        <f t="shared" si="180"/>
        <v>0</v>
      </c>
      <c r="X297" s="50"/>
      <c r="Y297" s="50">
        <f t="shared" si="181"/>
        <v>0</v>
      </c>
      <c r="Z297" s="50"/>
      <c r="AA297" s="50">
        <f t="shared" si="182"/>
        <v>0</v>
      </c>
      <c r="AB297" s="50">
        <f t="shared" si="183"/>
        <v>0</v>
      </c>
      <c r="AC297" s="30" t="str">
        <f t="shared" si="184"/>
        <v>ok</v>
      </c>
    </row>
    <row r="298" spans="1:29" x14ac:dyDescent="0.2">
      <c r="A298" s="14" t="s">
        <v>429</v>
      </c>
      <c r="C298" s="14" t="s">
        <v>461</v>
      </c>
      <c r="D298" s="14" t="s">
        <v>29</v>
      </c>
      <c r="F298" s="234">
        <v>0</v>
      </c>
      <c r="G298" s="194"/>
      <c r="H298" s="50">
        <f t="shared" si="171"/>
        <v>0</v>
      </c>
      <c r="I298" s="50">
        <f t="shared" si="172"/>
        <v>0</v>
      </c>
      <c r="J298" s="50"/>
      <c r="K298" s="50">
        <f t="shared" si="173"/>
        <v>0</v>
      </c>
      <c r="L298" s="50"/>
      <c r="M298" s="50">
        <f t="shared" si="174"/>
        <v>0</v>
      </c>
      <c r="N298" s="50"/>
      <c r="O298" s="50">
        <f t="shared" si="175"/>
        <v>0</v>
      </c>
      <c r="P298" s="50">
        <f t="shared" si="176"/>
        <v>0</v>
      </c>
      <c r="Q298" s="50"/>
      <c r="R298" s="50">
        <f t="shared" si="177"/>
        <v>0</v>
      </c>
      <c r="S298" s="50">
        <f t="shared" si="178"/>
        <v>0</v>
      </c>
      <c r="T298" s="50"/>
      <c r="U298" s="50">
        <f t="shared" si="179"/>
        <v>0</v>
      </c>
      <c r="V298" s="50"/>
      <c r="W298" s="50">
        <f t="shared" si="180"/>
        <v>0</v>
      </c>
      <c r="X298" s="50"/>
      <c r="Y298" s="50">
        <f t="shared" si="181"/>
        <v>0</v>
      </c>
      <c r="Z298" s="50"/>
      <c r="AA298" s="50">
        <f t="shared" si="182"/>
        <v>0</v>
      </c>
      <c r="AB298" s="50">
        <f t="shared" si="183"/>
        <v>0</v>
      </c>
      <c r="AC298" s="30" t="str">
        <f t="shared" si="184"/>
        <v>ok</v>
      </c>
    </row>
    <row r="299" spans="1:29" x14ac:dyDescent="0.2">
      <c r="A299" s="14" t="s">
        <v>447</v>
      </c>
      <c r="C299" s="14" t="s">
        <v>462</v>
      </c>
      <c r="D299" s="14" t="s">
        <v>32</v>
      </c>
      <c r="F299" s="234">
        <v>0</v>
      </c>
      <c r="G299" s="194"/>
      <c r="H299" s="50">
        <f t="shared" si="171"/>
        <v>0</v>
      </c>
      <c r="I299" s="50">
        <f t="shared" si="172"/>
        <v>0</v>
      </c>
      <c r="J299" s="50"/>
      <c r="K299" s="50">
        <f t="shared" si="173"/>
        <v>0</v>
      </c>
      <c r="L299" s="50"/>
      <c r="M299" s="50">
        <f t="shared" si="174"/>
        <v>0</v>
      </c>
      <c r="N299" s="50"/>
      <c r="O299" s="50">
        <f t="shared" si="175"/>
        <v>0</v>
      </c>
      <c r="P299" s="50">
        <f t="shared" si="176"/>
        <v>0</v>
      </c>
      <c r="Q299" s="50"/>
      <c r="R299" s="50">
        <f t="shared" si="177"/>
        <v>0</v>
      </c>
      <c r="S299" s="50">
        <f t="shared" si="178"/>
        <v>0</v>
      </c>
      <c r="T299" s="50"/>
      <c r="U299" s="50">
        <f t="shared" si="179"/>
        <v>0</v>
      </c>
      <c r="V299" s="50"/>
      <c r="W299" s="50">
        <f t="shared" si="180"/>
        <v>0</v>
      </c>
      <c r="X299" s="50"/>
      <c r="Y299" s="50">
        <f t="shared" si="181"/>
        <v>0</v>
      </c>
      <c r="Z299" s="50"/>
      <c r="AA299" s="50">
        <f t="shared" si="182"/>
        <v>0</v>
      </c>
      <c r="AB299" s="50">
        <f t="shared" si="183"/>
        <v>0</v>
      </c>
      <c r="AC299" s="30" t="str">
        <f t="shared" si="184"/>
        <v>ok</v>
      </c>
    </row>
    <row r="300" spans="1:29" x14ac:dyDescent="0.2">
      <c r="A300" s="14" t="s">
        <v>430</v>
      </c>
      <c r="C300" s="14" t="s">
        <v>463</v>
      </c>
      <c r="D300" s="14" t="s">
        <v>35</v>
      </c>
      <c r="F300" s="234">
        <v>0</v>
      </c>
      <c r="G300" s="194"/>
      <c r="H300" s="50">
        <f t="shared" si="171"/>
        <v>0</v>
      </c>
      <c r="I300" s="50">
        <f t="shared" si="172"/>
        <v>0</v>
      </c>
      <c r="J300" s="50"/>
      <c r="K300" s="50">
        <f t="shared" si="173"/>
        <v>0</v>
      </c>
      <c r="L300" s="50"/>
      <c r="M300" s="50">
        <f t="shared" si="174"/>
        <v>0</v>
      </c>
      <c r="N300" s="50"/>
      <c r="O300" s="50">
        <f t="shared" si="175"/>
        <v>0</v>
      </c>
      <c r="P300" s="50">
        <f t="shared" si="176"/>
        <v>0</v>
      </c>
      <c r="Q300" s="50"/>
      <c r="R300" s="50">
        <f t="shared" si="177"/>
        <v>0</v>
      </c>
      <c r="S300" s="50">
        <f t="shared" si="178"/>
        <v>0</v>
      </c>
      <c r="T300" s="50"/>
      <c r="U300" s="50">
        <f t="shared" si="179"/>
        <v>0</v>
      </c>
      <c r="V300" s="50"/>
      <c r="W300" s="50">
        <f t="shared" si="180"/>
        <v>0</v>
      </c>
      <c r="X300" s="50"/>
      <c r="Y300" s="50">
        <f t="shared" si="181"/>
        <v>0</v>
      </c>
      <c r="Z300" s="50"/>
      <c r="AA300" s="50">
        <f t="shared" si="182"/>
        <v>0</v>
      </c>
      <c r="AB300" s="50">
        <f t="shared" si="183"/>
        <v>0</v>
      </c>
      <c r="AC300" s="30" t="str">
        <f t="shared" si="184"/>
        <v>ok</v>
      </c>
    </row>
    <row r="301" spans="1:29" x14ac:dyDescent="0.2">
      <c r="A301" s="14" t="s">
        <v>431</v>
      </c>
      <c r="C301" s="14" t="s">
        <v>464</v>
      </c>
      <c r="D301" s="14" t="s">
        <v>37</v>
      </c>
      <c r="F301" s="234">
        <v>0</v>
      </c>
      <c r="G301" s="194"/>
      <c r="H301" s="50">
        <f t="shared" si="171"/>
        <v>0</v>
      </c>
      <c r="I301" s="50">
        <f t="shared" si="172"/>
        <v>0</v>
      </c>
      <c r="J301" s="50"/>
      <c r="K301" s="50">
        <f t="shared" si="173"/>
        <v>0</v>
      </c>
      <c r="L301" s="50"/>
      <c r="M301" s="50">
        <f t="shared" si="174"/>
        <v>0</v>
      </c>
      <c r="N301" s="50"/>
      <c r="O301" s="50">
        <f t="shared" si="175"/>
        <v>0</v>
      </c>
      <c r="P301" s="50">
        <f t="shared" si="176"/>
        <v>0</v>
      </c>
      <c r="Q301" s="50"/>
      <c r="R301" s="50">
        <f t="shared" si="177"/>
        <v>0</v>
      </c>
      <c r="S301" s="50">
        <f t="shared" si="178"/>
        <v>0</v>
      </c>
      <c r="T301" s="50"/>
      <c r="U301" s="50">
        <f t="shared" si="179"/>
        <v>0</v>
      </c>
      <c r="V301" s="50"/>
      <c r="W301" s="50">
        <f t="shared" si="180"/>
        <v>0</v>
      </c>
      <c r="X301" s="50"/>
      <c r="Y301" s="50">
        <f t="shared" si="181"/>
        <v>0</v>
      </c>
      <c r="Z301" s="50"/>
      <c r="AA301" s="50">
        <f t="shared" si="182"/>
        <v>0</v>
      </c>
      <c r="AB301" s="50">
        <f t="shared" si="183"/>
        <v>0</v>
      </c>
      <c r="AC301" s="30" t="str">
        <f t="shared" si="184"/>
        <v>ok</v>
      </c>
    </row>
    <row r="302" spans="1:29" x14ac:dyDescent="0.2">
      <c r="A302" s="14" t="s">
        <v>432</v>
      </c>
      <c r="C302" s="14" t="s">
        <v>465</v>
      </c>
      <c r="D302" s="14" t="s">
        <v>40</v>
      </c>
      <c r="F302" s="234">
        <v>0</v>
      </c>
      <c r="G302" s="194"/>
      <c r="H302" s="50">
        <f t="shared" si="171"/>
        <v>0</v>
      </c>
      <c r="I302" s="50">
        <f t="shared" si="172"/>
        <v>0</v>
      </c>
      <c r="J302" s="50"/>
      <c r="K302" s="50">
        <f t="shared" si="173"/>
        <v>0</v>
      </c>
      <c r="L302" s="50"/>
      <c r="M302" s="50">
        <f t="shared" si="174"/>
        <v>0</v>
      </c>
      <c r="N302" s="50"/>
      <c r="O302" s="50">
        <f t="shared" si="175"/>
        <v>0</v>
      </c>
      <c r="P302" s="50">
        <f t="shared" si="176"/>
        <v>0</v>
      </c>
      <c r="Q302" s="50"/>
      <c r="R302" s="50">
        <f t="shared" si="177"/>
        <v>0</v>
      </c>
      <c r="S302" s="50">
        <f t="shared" si="178"/>
        <v>0</v>
      </c>
      <c r="T302" s="50"/>
      <c r="U302" s="50">
        <f t="shared" si="179"/>
        <v>0</v>
      </c>
      <c r="V302" s="50"/>
      <c r="W302" s="50">
        <f t="shared" si="180"/>
        <v>0</v>
      </c>
      <c r="X302" s="50"/>
      <c r="Y302" s="50">
        <f t="shared" si="181"/>
        <v>0</v>
      </c>
      <c r="Z302" s="50"/>
      <c r="AA302" s="50">
        <f t="shared" si="182"/>
        <v>0</v>
      </c>
      <c r="AB302" s="50">
        <f t="shared" si="183"/>
        <v>0</v>
      </c>
      <c r="AC302" s="30" t="str">
        <f t="shared" si="184"/>
        <v>ok</v>
      </c>
    </row>
    <row r="303" spans="1:29" x14ac:dyDescent="0.2">
      <c r="A303" s="14" t="s">
        <v>433</v>
      </c>
      <c r="C303" s="14" t="s">
        <v>466</v>
      </c>
      <c r="D303" s="14" t="s">
        <v>43</v>
      </c>
      <c r="F303" s="234">
        <v>0</v>
      </c>
      <c r="G303" s="194"/>
      <c r="H303" s="50">
        <f t="shared" si="171"/>
        <v>0</v>
      </c>
      <c r="I303" s="50">
        <f t="shared" si="172"/>
        <v>0</v>
      </c>
      <c r="J303" s="50"/>
      <c r="K303" s="50">
        <f t="shared" si="173"/>
        <v>0</v>
      </c>
      <c r="L303" s="50"/>
      <c r="M303" s="50">
        <f t="shared" si="174"/>
        <v>0</v>
      </c>
      <c r="N303" s="50"/>
      <c r="O303" s="50">
        <f t="shared" si="175"/>
        <v>0</v>
      </c>
      <c r="P303" s="50">
        <f t="shared" si="176"/>
        <v>0</v>
      </c>
      <c r="Q303" s="50"/>
      <c r="R303" s="50">
        <f t="shared" si="177"/>
        <v>0</v>
      </c>
      <c r="S303" s="50">
        <f t="shared" si="178"/>
        <v>0</v>
      </c>
      <c r="T303" s="50"/>
      <c r="U303" s="50">
        <f t="shared" si="179"/>
        <v>0</v>
      </c>
      <c r="V303" s="50"/>
      <c r="W303" s="50">
        <f t="shared" si="180"/>
        <v>0</v>
      </c>
      <c r="X303" s="50"/>
      <c r="Y303" s="50">
        <f t="shared" si="181"/>
        <v>0</v>
      </c>
      <c r="Z303" s="50"/>
      <c r="AA303" s="50">
        <f t="shared" si="182"/>
        <v>0</v>
      </c>
      <c r="AB303" s="50">
        <f t="shared" si="183"/>
        <v>0</v>
      </c>
      <c r="AC303" s="30" t="str">
        <f t="shared" si="184"/>
        <v>ok</v>
      </c>
    </row>
    <row r="304" spans="1:29" x14ac:dyDescent="0.2">
      <c r="A304" s="14" t="s">
        <v>434</v>
      </c>
      <c r="C304" s="14" t="s">
        <v>467</v>
      </c>
      <c r="D304" s="14" t="s">
        <v>46</v>
      </c>
      <c r="F304" s="234">
        <v>0</v>
      </c>
      <c r="G304" s="194"/>
      <c r="H304" s="50">
        <f t="shared" si="171"/>
        <v>0</v>
      </c>
      <c r="I304" s="50">
        <f t="shared" si="172"/>
        <v>0</v>
      </c>
      <c r="J304" s="50"/>
      <c r="K304" s="50">
        <f t="shared" si="173"/>
        <v>0</v>
      </c>
      <c r="L304" s="50"/>
      <c r="M304" s="50">
        <f t="shared" si="174"/>
        <v>0</v>
      </c>
      <c r="N304" s="50"/>
      <c r="O304" s="50">
        <f t="shared" si="175"/>
        <v>0</v>
      </c>
      <c r="P304" s="50">
        <f t="shared" si="176"/>
        <v>0</v>
      </c>
      <c r="Q304" s="50"/>
      <c r="R304" s="50">
        <f t="shared" si="177"/>
        <v>0</v>
      </c>
      <c r="S304" s="50">
        <f t="shared" si="178"/>
        <v>0</v>
      </c>
      <c r="T304" s="50"/>
      <c r="U304" s="50">
        <f t="shared" si="179"/>
        <v>0</v>
      </c>
      <c r="V304" s="50"/>
      <c r="W304" s="50">
        <f t="shared" si="180"/>
        <v>0</v>
      </c>
      <c r="X304" s="50"/>
      <c r="Y304" s="50">
        <f t="shared" si="181"/>
        <v>0</v>
      </c>
      <c r="Z304" s="50"/>
      <c r="AA304" s="50">
        <f t="shared" si="182"/>
        <v>0</v>
      </c>
      <c r="AB304" s="50">
        <f t="shared" si="183"/>
        <v>0</v>
      </c>
      <c r="AC304" s="30" t="str">
        <f t="shared" si="184"/>
        <v>ok</v>
      </c>
    </row>
    <row r="305" spans="1:29" x14ac:dyDescent="0.2">
      <c r="A305" s="14" t="s">
        <v>435</v>
      </c>
      <c r="C305" s="14" t="s">
        <v>468</v>
      </c>
      <c r="D305" s="14" t="s">
        <v>48</v>
      </c>
      <c r="F305" s="234">
        <v>0</v>
      </c>
      <c r="G305" s="194"/>
      <c r="H305" s="50">
        <f t="shared" si="171"/>
        <v>0</v>
      </c>
      <c r="I305" s="50">
        <f t="shared" si="172"/>
        <v>0</v>
      </c>
      <c r="J305" s="50"/>
      <c r="K305" s="50">
        <f t="shared" si="173"/>
        <v>0</v>
      </c>
      <c r="L305" s="50"/>
      <c r="M305" s="50">
        <f t="shared" si="174"/>
        <v>0</v>
      </c>
      <c r="N305" s="50"/>
      <c r="O305" s="50">
        <f t="shared" si="175"/>
        <v>0</v>
      </c>
      <c r="P305" s="50">
        <f t="shared" si="176"/>
        <v>0</v>
      </c>
      <c r="Q305" s="50"/>
      <c r="R305" s="50">
        <f t="shared" si="177"/>
        <v>0</v>
      </c>
      <c r="S305" s="50">
        <f t="shared" si="178"/>
        <v>0</v>
      </c>
      <c r="T305" s="50"/>
      <c r="U305" s="50">
        <f t="shared" si="179"/>
        <v>0</v>
      </c>
      <c r="V305" s="50"/>
      <c r="W305" s="50">
        <f t="shared" si="180"/>
        <v>0</v>
      </c>
      <c r="X305" s="50"/>
      <c r="Y305" s="50">
        <f t="shared" si="181"/>
        <v>0</v>
      </c>
      <c r="Z305" s="50"/>
      <c r="AA305" s="50">
        <f t="shared" si="182"/>
        <v>0</v>
      </c>
      <c r="AB305" s="50">
        <f t="shared" si="183"/>
        <v>0</v>
      </c>
      <c r="AC305" s="30" t="str">
        <f t="shared" si="184"/>
        <v>ok</v>
      </c>
    </row>
    <row r="306" spans="1:29" x14ac:dyDescent="0.2">
      <c r="A306" s="14" t="s">
        <v>579</v>
      </c>
      <c r="C306" s="14" t="s">
        <v>469</v>
      </c>
      <c r="D306" s="14" t="s">
        <v>16</v>
      </c>
      <c r="F306" s="234">
        <v>9371683.4600000009</v>
      </c>
      <c r="G306" s="194"/>
      <c r="H306" s="50">
        <f t="shared" si="171"/>
        <v>0</v>
      </c>
      <c r="I306" s="50">
        <f t="shared" si="172"/>
        <v>0</v>
      </c>
      <c r="J306" s="50"/>
      <c r="K306" s="50">
        <f t="shared" si="173"/>
        <v>0</v>
      </c>
      <c r="L306" s="50"/>
      <c r="M306" s="50">
        <f t="shared" si="174"/>
        <v>34541.639716011639</v>
      </c>
      <c r="N306" s="50"/>
      <c r="O306" s="50">
        <f t="shared" si="175"/>
        <v>4564111.5498311054</v>
      </c>
      <c r="P306" s="50">
        <f t="shared" si="176"/>
        <v>2568862.5035778908</v>
      </c>
      <c r="Q306" s="50"/>
      <c r="R306" s="50">
        <f t="shared" si="177"/>
        <v>0</v>
      </c>
      <c r="S306" s="50">
        <f t="shared" si="178"/>
        <v>1180588.9565049361</v>
      </c>
      <c r="T306" s="50"/>
      <c r="U306" s="50">
        <f t="shared" si="179"/>
        <v>513673.93079099641</v>
      </c>
      <c r="V306" s="50"/>
      <c r="W306" s="50">
        <f t="shared" si="180"/>
        <v>509904.87957906176</v>
      </c>
      <c r="X306" s="50"/>
      <c r="Y306" s="50">
        <f t="shared" si="181"/>
        <v>0</v>
      </c>
      <c r="Z306" s="50"/>
      <c r="AA306" s="50">
        <f t="shared" si="182"/>
        <v>0</v>
      </c>
      <c r="AB306" s="50">
        <f t="shared" si="183"/>
        <v>9371683.4600000028</v>
      </c>
      <c r="AC306" s="30" t="str">
        <f t="shared" si="184"/>
        <v>ok</v>
      </c>
    </row>
    <row r="307" spans="1:29" x14ac:dyDescent="0.2">
      <c r="A307" s="14" t="s">
        <v>81</v>
      </c>
      <c r="C307" s="14" t="s">
        <v>415</v>
      </c>
      <c r="D307" s="14" t="s">
        <v>70</v>
      </c>
      <c r="F307" s="234">
        <v>984193.32</v>
      </c>
      <c r="G307" s="194"/>
      <c r="H307" s="50">
        <f t="shared" si="171"/>
        <v>0</v>
      </c>
      <c r="I307" s="50">
        <f t="shared" si="172"/>
        <v>0</v>
      </c>
      <c r="J307" s="50"/>
      <c r="K307" s="50">
        <f t="shared" si="173"/>
        <v>0</v>
      </c>
      <c r="L307" s="50"/>
      <c r="M307" s="50">
        <f t="shared" si="174"/>
        <v>3627.486055781203</v>
      </c>
      <c r="N307" s="50"/>
      <c r="O307" s="50">
        <f t="shared" si="175"/>
        <v>479312.82765269798</v>
      </c>
      <c r="P307" s="50">
        <f t="shared" si="176"/>
        <v>269776.21756121877</v>
      </c>
      <c r="Q307" s="50"/>
      <c r="R307" s="50">
        <f t="shared" si="177"/>
        <v>0</v>
      </c>
      <c r="S307" s="50">
        <f t="shared" si="178"/>
        <v>123982.82225570692</v>
      </c>
      <c r="T307" s="50"/>
      <c r="U307" s="50">
        <f t="shared" si="179"/>
        <v>53944.891918344911</v>
      </c>
      <c r="V307" s="50"/>
      <c r="W307" s="50">
        <f t="shared" si="180"/>
        <v>53549.074556250191</v>
      </c>
      <c r="X307" s="50"/>
      <c r="Y307" s="50">
        <f t="shared" si="181"/>
        <v>0</v>
      </c>
      <c r="Z307" s="50"/>
      <c r="AA307" s="50">
        <f t="shared" si="182"/>
        <v>0</v>
      </c>
      <c r="AB307" s="50">
        <f>SUM(H307:AA307)</f>
        <v>984193.32</v>
      </c>
      <c r="AC307" s="30" t="str">
        <f>IF(ABS(AB307-F307)&lt;1,"ok","err")</f>
        <v>ok</v>
      </c>
    </row>
    <row r="308" spans="1:29" x14ac:dyDescent="0.2">
      <c r="A308" s="14" t="s">
        <v>765</v>
      </c>
      <c r="C308" s="14" t="s">
        <v>415</v>
      </c>
      <c r="D308" s="14" t="s">
        <v>70</v>
      </c>
      <c r="F308" s="234">
        <v>0</v>
      </c>
      <c r="G308" s="194"/>
      <c r="H308" s="50">
        <f t="shared" si="171"/>
        <v>0</v>
      </c>
      <c r="I308" s="50">
        <f t="shared" si="172"/>
        <v>0</v>
      </c>
      <c r="J308" s="50"/>
      <c r="K308" s="50">
        <f t="shared" si="173"/>
        <v>0</v>
      </c>
      <c r="L308" s="50"/>
      <c r="M308" s="50">
        <f t="shared" si="174"/>
        <v>0</v>
      </c>
      <c r="N308" s="50"/>
      <c r="O308" s="50">
        <f t="shared" si="175"/>
        <v>0</v>
      </c>
      <c r="P308" s="50">
        <f t="shared" si="176"/>
        <v>0</v>
      </c>
      <c r="Q308" s="50"/>
      <c r="R308" s="50">
        <f t="shared" si="177"/>
        <v>0</v>
      </c>
      <c r="S308" s="50">
        <f t="shared" si="178"/>
        <v>0</v>
      </c>
      <c r="T308" s="50"/>
      <c r="U308" s="50">
        <f t="shared" si="179"/>
        <v>0</v>
      </c>
      <c r="V308" s="50"/>
      <c r="W308" s="50">
        <f t="shared" si="180"/>
        <v>0</v>
      </c>
      <c r="X308" s="50"/>
      <c r="Y308" s="50">
        <f t="shared" si="181"/>
        <v>0</v>
      </c>
      <c r="Z308" s="50"/>
      <c r="AA308" s="50">
        <f t="shared" si="182"/>
        <v>0</v>
      </c>
      <c r="AB308" s="50">
        <f>SUM(H308:AA308)</f>
        <v>0</v>
      </c>
      <c r="AC308" s="30" t="str">
        <f>IF(ABS(AB308-F308)&lt;1,"ok","err")</f>
        <v>ok</v>
      </c>
    </row>
    <row r="309" spans="1:29" x14ac:dyDescent="0.2">
      <c r="A309" s="14" t="s">
        <v>1031</v>
      </c>
      <c r="C309" s="14" t="s">
        <v>416</v>
      </c>
      <c r="D309" s="14" t="s">
        <v>392</v>
      </c>
      <c r="F309" s="234">
        <v>187228.92</v>
      </c>
      <c r="G309" s="194"/>
      <c r="H309" s="50">
        <f t="shared" si="171"/>
        <v>0</v>
      </c>
      <c r="I309" s="50">
        <f t="shared" si="172"/>
        <v>0</v>
      </c>
      <c r="J309" s="50"/>
      <c r="K309" s="50">
        <f t="shared" si="173"/>
        <v>0</v>
      </c>
      <c r="L309" s="50"/>
      <c r="M309" s="50">
        <f t="shared" si="174"/>
        <v>690.07814088696989</v>
      </c>
      <c r="N309" s="50"/>
      <c r="O309" s="50">
        <f t="shared" si="175"/>
        <v>91182.515914211632</v>
      </c>
      <c r="P309" s="50">
        <f t="shared" si="176"/>
        <v>51321.126479167775</v>
      </c>
      <c r="Q309" s="50"/>
      <c r="R309" s="50">
        <f t="shared" si="177"/>
        <v>0</v>
      </c>
      <c r="S309" s="50">
        <f t="shared" si="178"/>
        <v>23585.98604335983</v>
      </c>
      <c r="T309" s="50"/>
      <c r="U309" s="50">
        <f t="shared" si="179"/>
        <v>10262.256050862499</v>
      </c>
      <c r="V309" s="50"/>
      <c r="W309" s="50">
        <f t="shared" si="180"/>
        <v>10186.957371511327</v>
      </c>
      <c r="X309" s="50"/>
      <c r="Y309" s="50">
        <f t="shared" si="181"/>
        <v>0</v>
      </c>
      <c r="Z309" s="50"/>
      <c r="AA309" s="50">
        <f t="shared" si="182"/>
        <v>0</v>
      </c>
      <c r="AB309" s="50">
        <f>SUM(H309:AA309)</f>
        <v>187228.92</v>
      </c>
      <c r="AC309" s="30" t="str">
        <f>IF(ABS(AB309-F309)&lt;1,"ok","err")</f>
        <v>ok</v>
      </c>
    </row>
    <row r="310" spans="1:29" x14ac:dyDescent="0.2">
      <c r="A310" s="14" t="s">
        <v>388</v>
      </c>
      <c r="C310" s="14" t="s">
        <v>417</v>
      </c>
      <c r="D310" s="14" t="s">
        <v>16</v>
      </c>
      <c r="F310" s="234">
        <v>0</v>
      </c>
      <c r="G310" s="194"/>
      <c r="H310" s="50">
        <f t="shared" si="171"/>
        <v>0</v>
      </c>
      <c r="I310" s="50">
        <f t="shared" si="172"/>
        <v>0</v>
      </c>
      <c r="J310" s="50"/>
      <c r="K310" s="50">
        <f t="shared" si="173"/>
        <v>0</v>
      </c>
      <c r="L310" s="50"/>
      <c r="M310" s="50">
        <f t="shared" si="174"/>
        <v>0</v>
      </c>
      <c r="N310" s="50"/>
      <c r="O310" s="50">
        <f t="shared" si="175"/>
        <v>0</v>
      </c>
      <c r="P310" s="50">
        <f t="shared" si="176"/>
        <v>0</v>
      </c>
      <c r="Q310" s="50"/>
      <c r="R310" s="50">
        <f t="shared" si="177"/>
        <v>0</v>
      </c>
      <c r="S310" s="50">
        <f t="shared" si="178"/>
        <v>0</v>
      </c>
      <c r="T310" s="50"/>
      <c r="U310" s="50">
        <f t="shared" si="179"/>
        <v>0</v>
      </c>
      <c r="V310" s="50"/>
      <c r="W310" s="50">
        <f t="shared" si="180"/>
        <v>0</v>
      </c>
      <c r="X310" s="50"/>
      <c r="Y310" s="50">
        <f t="shared" si="181"/>
        <v>0</v>
      </c>
      <c r="Z310" s="50"/>
      <c r="AA310" s="50">
        <f t="shared" si="182"/>
        <v>0</v>
      </c>
      <c r="AB310" s="50">
        <f>SUM(H310:AA310)</f>
        <v>0</v>
      </c>
      <c r="AC310" s="30" t="str">
        <f>IF(ABS(AB310-F310)&lt;1,"ok","err")</f>
        <v>ok</v>
      </c>
    </row>
    <row r="311" spans="1:29" x14ac:dyDescent="0.2">
      <c r="F311" s="234"/>
      <c r="G311" s="50"/>
      <c r="AC311" s="30"/>
    </row>
    <row r="312" spans="1:29" x14ac:dyDescent="0.2">
      <c r="A312" s="14" t="s">
        <v>186</v>
      </c>
      <c r="C312" s="14" t="s">
        <v>187</v>
      </c>
      <c r="F312" s="233">
        <f>SUM(F293:F311)</f>
        <v>10543105.700000001</v>
      </c>
      <c r="G312" s="66"/>
      <c r="H312" s="50">
        <f>SUM(H293:H311)</f>
        <v>0</v>
      </c>
      <c r="I312" s="50">
        <f>SUM(I293:I311)</f>
        <v>0</v>
      </c>
      <c r="J312" s="50"/>
      <c r="K312" s="50">
        <f>SUM(K293:K311)</f>
        <v>0</v>
      </c>
      <c r="M312" s="50">
        <f>SUM(M293:M311)</f>
        <v>38859.203912679819</v>
      </c>
      <c r="O312" s="50">
        <f>SUM(O293:O311)</f>
        <v>5134606.8933980158</v>
      </c>
      <c r="P312" s="50">
        <f>SUM(P293:P311)</f>
        <v>2889959.8476182777</v>
      </c>
      <c r="R312" s="50">
        <f>SUM(R293:R311)</f>
        <v>0</v>
      </c>
      <c r="S312" s="50">
        <f>SUM(S293:S311)</f>
        <v>1328157.7648040028</v>
      </c>
      <c r="U312" s="50">
        <f>SUM(U293:U311)</f>
        <v>577881.07876020379</v>
      </c>
      <c r="W312" s="50">
        <f>SUM(W293:W311)</f>
        <v>573640.91150682338</v>
      </c>
      <c r="Y312" s="50">
        <f>SUM(Y293:Y311)</f>
        <v>0</v>
      </c>
      <c r="AA312" s="50">
        <f>SUM(AA293:AA311)</f>
        <v>0</v>
      </c>
      <c r="AB312" s="50">
        <f>SUM(H312:AA312)</f>
        <v>10543105.700000003</v>
      </c>
      <c r="AC312" s="30" t="str">
        <f>IF(ABS(AB312-F312)&lt;1,"ok","err")</f>
        <v>ok</v>
      </c>
    </row>
    <row r="313" spans="1:29" x14ac:dyDescent="0.2">
      <c r="B313" s="93"/>
      <c r="F313" s="234"/>
      <c r="G313" s="50"/>
      <c r="AC313" s="30"/>
    </row>
    <row r="314" spans="1:29" x14ac:dyDescent="0.2">
      <c r="A314" s="14" t="s">
        <v>188</v>
      </c>
      <c r="C314" s="14" t="s">
        <v>189</v>
      </c>
      <c r="D314" s="14" t="s">
        <v>84</v>
      </c>
      <c r="F314" s="233">
        <v>0</v>
      </c>
      <c r="G314" s="193"/>
      <c r="H314" s="50">
        <f>IF(VLOOKUP($D314,$C$5:$AA$493,6,)=0,0,((VLOOKUP($D314,$C$5:$AA$493,6,)/VLOOKUP($D314,$C$5:$AA$493,4,))*$F314))</f>
        <v>0</v>
      </c>
      <c r="I314" s="50">
        <f>IF(VLOOKUP($D314,$C$5:$AA$493,7,)=0,0,((VLOOKUP($D314,$C$5:$AA$493,7,)/VLOOKUP($D314,$C$5:$AA$493,4,))*$F314))</f>
        <v>0</v>
      </c>
      <c r="J314" s="50"/>
      <c r="K314" s="50">
        <f>IF(VLOOKUP($D314,$C$5:$AA$493,9,)=0,0,((VLOOKUP($D314,$C$5:$AA$493,9,)/VLOOKUP($D314,$C$5:$AA$493,4,))*$F314))</f>
        <v>0</v>
      </c>
      <c r="L314" s="50"/>
      <c r="M314" s="50">
        <f>IF(VLOOKUP($D314,$C$5:$AA$493,11,)=0,0,((VLOOKUP($D314,$C$5:$AA$493,11,)/VLOOKUP($D314,$C$5:$AA$493,4,))*$F314))</f>
        <v>0</v>
      </c>
      <c r="N314" s="50"/>
      <c r="O314" s="50">
        <f>IF(VLOOKUP($D314,$C$5:$AA$493,13,)=0,0,((VLOOKUP($D314,$C$5:$AA$493,13,)/VLOOKUP($D314,$C$5:$AA$493,4,))*$F314))</f>
        <v>0</v>
      </c>
      <c r="P314" s="50">
        <f>IF(VLOOKUP($D314,$C$5:$AA$493,14,)=0,0,((VLOOKUP($D314,$C$5:$AA$493,14,)/VLOOKUP($D314,$C$5:$AA$493,4,))*$F314))</f>
        <v>0</v>
      </c>
      <c r="Q314" s="50"/>
      <c r="R314" s="50">
        <f>IF(VLOOKUP($D314,$C$5:$AA$493,16,)=0,0,((VLOOKUP($D314,$C$5:$AA$493,16,)/VLOOKUP($D314,$C$5:$AA$493,4,))*$F314))</f>
        <v>0</v>
      </c>
      <c r="S314" s="50">
        <f>IF(VLOOKUP($D314,$C$5:$AA$493,17,)=0,0,((VLOOKUP($D314,$C$5:$AA$493,17,)/VLOOKUP($D314,$C$5:$AA$493,4,))*$F314))</f>
        <v>0</v>
      </c>
      <c r="T314" s="50"/>
      <c r="U314" s="50">
        <f>IF(VLOOKUP($D314,$C$5:$AA$493,19,)=0,0,((VLOOKUP($D314,$C$5:$AA$493,19,)/VLOOKUP($D314,$C$5:$AA$493,4,))*$F314))</f>
        <v>0</v>
      </c>
      <c r="V314" s="50"/>
      <c r="W314" s="50">
        <f>IF(VLOOKUP($D314,$C$5:$AA$493,21,)=0,0,((VLOOKUP($D314,$C$5:$AA$493,21,)/VLOOKUP($D314,$C$5:$AA$493,4,))*$F314))</f>
        <v>0</v>
      </c>
      <c r="X314" s="50"/>
      <c r="Y314" s="50">
        <f>IF(VLOOKUP($D314,$C$5:$AA$493,23,)=0,0,((VLOOKUP($D314,$C$5:$AA$493,23,)/VLOOKUP($D314,$C$5:$AA$493,4,))*$F314))</f>
        <v>0</v>
      </c>
      <c r="Z314" s="50"/>
      <c r="AA314" s="50">
        <f>IF(VLOOKUP($D314,$C$5:$AA$493,25,)=0,0,((VLOOKUP($D314,$C$5:$AA$493,25,)/VLOOKUP($D314,$C$5:$AA$493,4,))*$F314))</f>
        <v>0</v>
      </c>
      <c r="AB314" s="50">
        <f>SUM(H314:AA314)</f>
        <v>0</v>
      </c>
      <c r="AC314" s="30" t="str">
        <f>IF(ABS(AB314-F314)&lt;1,"ok","err")</f>
        <v>ok</v>
      </c>
    </row>
    <row r="315" spans="1:29" x14ac:dyDescent="0.2">
      <c r="AC315" s="30"/>
    </row>
    <row r="316" spans="1:29" x14ac:dyDescent="0.2">
      <c r="A316" s="14" t="s">
        <v>310</v>
      </c>
      <c r="C316" s="14" t="s">
        <v>190</v>
      </c>
      <c r="D316" s="14" t="s">
        <v>84</v>
      </c>
      <c r="F316" s="233">
        <v>116630.39999999999</v>
      </c>
      <c r="G316" s="193"/>
      <c r="H316" s="50">
        <f>IF(VLOOKUP($D316,$C$5:$AA$493,6,)=0,0,((VLOOKUP($D316,$C$5:$AA$493,6,)/VLOOKUP($D316,$C$5:$AA$493,4,))*$F316))</f>
        <v>0</v>
      </c>
      <c r="I316" s="50">
        <f>IF(VLOOKUP($D316,$C$5:$AA$493,7,)=0,0,((VLOOKUP($D316,$C$5:$AA$493,7,)/VLOOKUP($D316,$C$5:$AA$493,4,))*$F316))</f>
        <v>0</v>
      </c>
      <c r="J316" s="50"/>
      <c r="K316" s="50">
        <f>IF(VLOOKUP($D316,$C$5:$AA$493,9,)=0,0,((VLOOKUP($D316,$C$5:$AA$493,9,)/VLOOKUP($D316,$C$5:$AA$493,4,))*$F316))</f>
        <v>0</v>
      </c>
      <c r="L316" s="50"/>
      <c r="M316" s="50">
        <f>IF(VLOOKUP($D316,$C$5:$AA$493,11,)=0,0,((VLOOKUP($D316,$C$5:$AA$493,11,)/VLOOKUP($D316,$C$5:$AA$493,4,))*$F316))</f>
        <v>429.86996668518753</v>
      </c>
      <c r="N316" s="50"/>
      <c r="O316" s="50">
        <f>IF(VLOOKUP($D316,$C$5:$AA$493,13,)=0,0,((VLOOKUP($D316,$C$5:$AA$493,13,)/VLOOKUP($D316,$C$5:$AA$493,4,))*$F316))</f>
        <v>56800.270514196563</v>
      </c>
      <c r="P316" s="50">
        <f>IF(VLOOKUP($D316,$C$5:$AA$493,14,)=0,0,((VLOOKUP($D316,$C$5:$AA$493,14,)/VLOOKUP($D316,$C$5:$AA$493,4,))*$F316))</f>
        <v>31969.438854403099</v>
      </c>
      <c r="Q316" s="50"/>
      <c r="R316" s="50">
        <f>IF(VLOOKUP($D316,$C$5:$AA$493,16,)=0,0,((VLOOKUP($D316,$C$5:$AA$493,16,)/VLOOKUP($D316,$C$5:$AA$493,4,))*$F316))</f>
        <v>0</v>
      </c>
      <c r="S316" s="50">
        <f>IF(VLOOKUP($D316,$C$5:$AA$493,17,)=0,0,((VLOOKUP($D316,$C$5:$AA$493,17,)/VLOOKUP($D316,$C$5:$AA$493,4,))*$F316))</f>
        <v>14692.404285788085</v>
      </c>
      <c r="T316" s="50"/>
      <c r="U316" s="50">
        <f>IF(VLOOKUP($D316,$C$5:$AA$493,19,)=0,0,((VLOOKUP($D316,$C$5:$AA$493,19,)/VLOOKUP($D316,$C$5:$AA$493,4,))*$F316))</f>
        <v>6392.6610702797061</v>
      </c>
      <c r="V316" s="50"/>
      <c r="W316" s="50">
        <f>IF(VLOOKUP($D316,$C$5:$AA$493,21,)=0,0,((VLOOKUP($D316,$C$5:$AA$493,21,)/VLOOKUP($D316,$C$5:$AA$493,4,))*$F316))</f>
        <v>6345.7553086473736</v>
      </c>
      <c r="X316" s="50"/>
      <c r="Y316" s="50">
        <f>IF(VLOOKUP($D316,$C$5:$AA$493,23,)=0,0,((VLOOKUP($D316,$C$5:$AA$493,23,)/VLOOKUP($D316,$C$5:$AA$493,4,))*$F316))</f>
        <v>0</v>
      </c>
      <c r="Z316" s="50"/>
      <c r="AA316" s="50">
        <f>IF(VLOOKUP($D316,$C$5:$AA$493,25,)=0,0,((VLOOKUP($D316,$C$5:$AA$493,25,)/VLOOKUP($D316,$C$5:$AA$493,4,))*$F316))</f>
        <v>0</v>
      </c>
      <c r="AB316" s="50">
        <f>SUM(H316:AA316)</f>
        <v>116630.40000000002</v>
      </c>
      <c r="AC316" s="30" t="str">
        <f>IF(ABS(AB316-F316)&lt;1,"ok","err")</f>
        <v>ok</v>
      </c>
    </row>
    <row r="317" spans="1:29" x14ac:dyDescent="0.2">
      <c r="Q317" s="14"/>
    </row>
    <row r="318" spans="1:29" x14ac:dyDescent="0.2">
      <c r="A318" s="14" t="s">
        <v>191</v>
      </c>
      <c r="C318" s="14" t="s">
        <v>192</v>
      </c>
      <c r="D318" s="14" t="s">
        <v>84</v>
      </c>
      <c r="F318" s="233">
        <v>5370205.75</v>
      </c>
      <c r="G318" s="193"/>
      <c r="H318" s="50">
        <f>IF(VLOOKUP($D318,$C$5:$AA$493,6,)=0,0,((VLOOKUP($D318,$C$5:$AA$493,6,)/VLOOKUP($D318,$C$5:$AA$493,4,))*$F318))</f>
        <v>0</v>
      </c>
      <c r="I318" s="50">
        <f>IF(VLOOKUP($D318,$C$5:$AA$493,7,)=0,0,((VLOOKUP($D318,$C$5:$AA$493,7,)/VLOOKUP($D318,$C$5:$AA$493,4,))*$F318))</f>
        <v>0</v>
      </c>
      <c r="J318" s="50"/>
      <c r="K318" s="50">
        <f>IF(VLOOKUP($D318,$C$5:$AA$493,9,)=0,0,((VLOOKUP($D318,$C$5:$AA$493,9,)/VLOOKUP($D318,$C$5:$AA$493,4,))*$F318))</f>
        <v>0</v>
      </c>
      <c r="L318" s="50"/>
      <c r="M318" s="50">
        <f>IF(VLOOKUP($D318,$C$5:$AA$493,11,)=0,0,((VLOOKUP($D318,$C$5:$AA$493,11,)/VLOOKUP($D318,$C$5:$AA$493,4,))*$F318))</f>
        <v>19793.2114341124</v>
      </c>
      <c r="N318" s="50"/>
      <c r="O318" s="50">
        <f>IF(VLOOKUP($D318,$C$5:$AA$493,13,)=0,0,((VLOOKUP($D318,$C$5:$AA$493,13,)/VLOOKUP($D318,$C$5:$AA$493,4,))*$F318))</f>
        <v>2615348.4796150392</v>
      </c>
      <c r="P318" s="50">
        <f>IF(VLOOKUP($D318,$C$5:$AA$493,14,)=0,0,((VLOOKUP($D318,$C$5:$AA$493,14,)/VLOOKUP($D318,$C$5:$AA$493,4,))*$F318))</f>
        <v>1472021.5686492454</v>
      </c>
      <c r="Q318" s="50"/>
      <c r="R318" s="50">
        <f>IF(VLOOKUP($D318,$C$5:$AA$493,16,)=0,0,((VLOOKUP($D318,$C$5:$AA$493,16,)/VLOOKUP($D318,$C$5:$AA$493,4,))*$F318))</f>
        <v>0</v>
      </c>
      <c r="S318" s="50">
        <f>IF(VLOOKUP($D318,$C$5:$AA$493,17,)=0,0,((VLOOKUP($D318,$C$5:$AA$493,17,)/VLOOKUP($D318,$C$5:$AA$493,4,))*$F318))</f>
        <v>676506.58813537308</v>
      </c>
      <c r="T318" s="50"/>
      <c r="U318" s="50">
        <f>IF(VLOOKUP($D318,$C$5:$AA$493,19,)=0,0,((VLOOKUP($D318,$C$5:$AA$493,19,)/VLOOKUP($D318,$C$5:$AA$493,4,))*$F318))</f>
        <v>294347.83073210099</v>
      </c>
      <c r="V318" s="50"/>
      <c r="W318" s="50">
        <f>IF(VLOOKUP($D318,$C$5:$AA$493,21,)=0,0,((VLOOKUP($D318,$C$5:$AA$493,21,)/VLOOKUP($D318,$C$5:$AA$493,4,))*$F318))</f>
        <v>292188.07143412996</v>
      </c>
      <c r="X318" s="50"/>
      <c r="Y318" s="50">
        <f>IF(VLOOKUP($D318,$C$5:$AA$493,23,)=0,0,((VLOOKUP($D318,$C$5:$AA$493,23,)/VLOOKUP($D318,$C$5:$AA$493,4,))*$F318))</f>
        <v>0</v>
      </c>
      <c r="Z318" s="50"/>
      <c r="AA318" s="50">
        <f>IF(VLOOKUP($D318,$C$5:$AA$493,25,)=0,0,((VLOOKUP($D318,$C$5:$AA$493,25,)/VLOOKUP($D318,$C$5:$AA$493,4,))*$F318))</f>
        <v>0</v>
      </c>
      <c r="AB318" s="50">
        <f>SUM(H318:AA318)</f>
        <v>5370205.7500000009</v>
      </c>
      <c r="AC318" s="30" t="str">
        <f>IF(ABS(AB318-F318)&lt;1,"ok","err")</f>
        <v>ok</v>
      </c>
    </row>
    <row r="319" spans="1:29" x14ac:dyDescent="0.2">
      <c r="AC319" s="30"/>
    </row>
    <row r="320" spans="1:29" x14ac:dyDescent="0.2">
      <c r="A320" s="14" t="s">
        <v>193</v>
      </c>
      <c r="C320" s="14" t="s">
        <v>194</v>
      </c>
      <c r="D320" s="14" t="s">
        <v>84</v>
      </c>
      <c r="F320" s="233">
        <v>212264.67</v>
      </c>
      <c r="G320" s="193"/>
      <c r="H320" s="50">
        <f>IF(VLOOKUP($D320,$C$5:$AA$493,6,)=0,0,((VLOOKUP($D320,$C$5:$AA$493,6,)/VLOOKUP($D320,$C$5:$AA$493,4,))*$F320))</f>
        <v>0</v>
      </c>
      <c r="I320" s="50">
        <f>IF(VLOOKUP($D320,$C$5:$AA$493,7,)=0,0,((VLOOKUP($D320,$C$5:$AA$493,7,)/VLOOKUP($D320,$C$5:$AA$493,4,))*$F320))</f>
        <v>0</v>
      </c>
      <c r="J320" s="50"/>
      <c r="K320" s="50">
        <f>IF(VLOOKUP($D320,$C$5:$AA$493,9,)=0,0,((VLOOKUP($D320,$C$5:$AA$493,9,)/VLOOKUP($D320,$C$5:$AA$493,4,))*$F320))</f>
        <v>0</v>
      </c>
      <c r="L320" s="50"/>
      <c r="M320" s="50">
        <f>IF(VLOOKUP($D320,$C$5:$AA$493,11,)=0,0,((VLOOKUP($D320,$C$5:$AA$493,11,)/VLOOKUP($D320,$C$5:$AA$493,4,))*$F320))</f>
        <v>782.35354265562273</v>
      </c>
      <c r="N320" s="50"/>
      <c r="O320" s="50">
        <f>IF(VLOOKUP($D320,$C$5:$AA$493,13,)=0,0,((VLOOKUP($D320,$C$5:$AA$493,13,)/VLOOKUP($D320,$C$5:$AA$493,4,))*$F320))</f>
        <v>103375.19786099221</v>
      </c>
      <c r="P320" s="50">
        <f>IF(VLOOKUP($D320,$C$5:$AA$493,14,)=0,0,((VLOOKUP($D320,$C$5:$AA$493,14,)/VLOOKUP($D320,$C$5:$AA$493,4,))*$F320))</f>
        <v>58183.65013337048</v>
      </c>
      <c r="Q320" s="50"/>
      <c r="R320" s="50">
        <f>IF(VLOOKUP($D320,$C$5:$AA$493,16,)=0,0,((VLOOKUP($D320,$C$5:$AA$493,16,)/VLOOKUP($D320,$C$5:$AA$493,4,))*$F320))</f>
        <v>0</v>
      </c>
      <c r="S320" s="50">
        <f>IF(VLOOKUP($D320,$C$5:$AA$493,17,)=0,0,((VLOOKUP($D320,$C$5:$AA$493,17,)/VLOOKUP($D320,$C$5:$AA$493,4,))*$F320))</f>
        <v>26739.840961099282</v>
      </c>
      <c r="T320" s="50"/>
      <c r="U320" s="50">
        <f>IF(VLOOKUP($D320,$C$5:$AA$493,19,)=0,0,((VLOOKUP($D320,$C$5:$AA$493,19,)/VLOOKUP($D320,$C$5:$AA$493,4,))*$F320))</f>
        <v>11634.497459536869</v>
      </c>
      <c r="V320" s="50"/>
      <c r="W320" s="50">
        <f>IF(VLOOKUP($D320,$C$5:$AA$493,21,)=0,0,((VLOOKUP($D320,$C$5:$AA$493,21,)/VLOOKUP($D320,$C$5:$AA$493,4,))*$F320))</f>
        <v>11549.13004234559</v>
      </c>
      <c r="X320" s="50"/>
      <c r="Y320" s="50">
        <f>IF(VLOOKUP($D320,$C$5:$AA$493,23,)=0,0,((VLOOKUP($D320,$C$5:$AA$493,23,)/VLOOKUP($D320,$C$5:$AA$493,4,))*$F320))</f>
        <v>0</v>
      </c>
      <c r="Z320" s="50"/>
      <c r="AA320" s="50">
        <f>IF(VLOOKUP($D320,$C$5:$AA$493,25,)=0,0,((VLOOKUP($D320,$C$5:$AA$493,25,)/VLOOKUP($D320,$C$5:$AA$493,4,))*$F320))</f>
        <v>0</v>
      </c>
      <c r="AB320" s="50">
        <f>SUM(H320:AA320)</f>
        <v>212264.67</v>
      </c>
      <c r="AC320" s="30" t="str">
        <f>IF(ABS(AB320-F320)&lt;1,"ok","err")</f>
        <v>ok</v>
      </c>
    </row>
    <row r="321" spans="1:29" x14ac:dyDescent="0.2"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30"/>
    </row>
    <row r="322" spans="1:29" x14ac:dyDescent="0.2">
      <c r="A322" s="14" t="s">
        <v>857</v>
      </c>
      <c r="C322" s="14" t="s">
        <v>858</v>
      </c>
      <c r="D322" s="14" t="s">
        <v>84</v>
      </c>
      <c r="F322" s="233">
        <v>0</v>
      </c>
      <c r="G322" s="193"/>
      <c r="H322" s="50">
        <f>IF(VLOOKUP($D322,$C$5:$AA$493,6,)=0,0,((VLOOKUP($D322,$C$5:$AA$493,6,)/VLOOKUP($D322,$C$5:$AA$493,4,))*$F322))</f>
        <v>0</v>
      </c>
      <c r="I322" s="50">
        <f>IF(VLOOKUP($D322,$C$5:$AA$493,7,)=0,0,((VLOOKUP($D322,$C$5:$AA$493,7,)/VLOOKUP($D322,$C$5:$AA$493,4,))*$F322))</f>
        <v>0</v>
      </c>
      <c r="J322" s="50"/>
      <c r="K322" s="50">
        <f>IF(VLOOKUP($D322,$C$5:$AA$493,9,)=0,0,((VLOOKUP($D322,$C$5:$AA$493,9,)/VLOOKUP($D322,$C$5:$AA$493,4,))*$F322))</f>
        <v>0</v>
      </c>
      <c r="L322" s="50"/>
      <c r="M322" s="50">
        <f>IF(VLOOKUP($D322,$C$5:$AA$493,11,)=0,0,((VLOOKUP($D322,$C$5:$AA$493,11,)/VLOOKUP($D322,$C$5:$AA$493,4,))*$F322))</f>
        <v>0</v>
      </c>
      <c r="N322" s="50"/>
      <c r="O322" s="50">
        <f>IF(VLOOKUP($D322,$C$5:$AA$493,13,)=0,0,((VLOOKUP($D322,$C$5:$AA$493,13,)/VLOOKUP($D322,$C$5:$AA$493,4,))*$F322))</f>
        <v>0</v>
      </c>
      <c r="P322" s="50">
        <f>IF(VLOOKUP($D322,$C$5:$AA$493,14,)=0,0,((VLOOKUP($D322,$C$5:$AA$493,14,)/VLOOKUP($D322,$C$5:$AA$493,4,))*$F322))</f>
        <v>0</v>
      </c>
      <c r="Q322" s="50"/>
      <c r="R322" s="50">
        <f>IF(VLOOKUP($D322,$C$5:$AA$493,16,)=0,0,((VLOOKUP($D322,$C$5:$AA$493,16,)/VLOOKUP($D322,$C$5:$AA$493,4,))*$F322))</f>
        <v>0</v>
      </c>
      <c r="S322" s="50">
        <f>IF(VLOOKUP($D322,$C$5:$AA$493,17,)=0,0,((VLOOKUP($D322,$C$5:$AA$493,17,)/VLOOKUP($D322,$C$5:$AA$493,4,))*$F322))</f>
        <v>0</v>
      </c>
      <c r="T322" s="50"/>
      <c r="U322" s="50">
        <f>IF(VLOOKUP($D322,$C$5:$AA$493,19,)=0,0,((VLOOKUP($D322,$C$5:$AA$493,19,)/VLOOKUP($D322,$C$5:$AA$493,4,))*$F322))</f>
        <v>0</v>
      </c>
      <c r="V322" s="50"/>
      <c r="W322" s="50">
        <f>IF(VLOOKUP($D322,$C$5:$AA$493,21,)=0,0,((VLOOKUP($D322,$C$5:$AA$493,21,)/VLOOKUP($D322,$C$5:$AA$493,4,))*$F322))</f>
        <v>0</v>
      </c>
      <c r="X322" s="50"/>
      <c r="Y322" s="50">
        <f>IF(VLOOKUP($D322,$C$5:$AA$493,23,)=0,0,((VLOOKUP($D322,$C$5:$AA$493,23,)/VLOOKUP($D322,$C$5:$AA$493,4,))*$F322))</f>
        <v>0</v>
      </c>
      <c r="Z322" s="50"/>
      <c r="AA322" s="50">
        <f>IF(VLOOKUP($D322,$C$5:$AA$493,25,)=0,0,((VLOOKUP($D322,$C$5:$AA$493,25,)/VLOOKUP($D322,$C$5:$AA$493,4,))*$F322))</f>
        <v>0</v>
      </c>
      <c r="AB322" s="50">
        <f>SUM(H322:AA322)</f>
        <v>0</v>
      </c>
      <c r="AC322" s="30" t="str">
        <f>IF(ABS(AB322-F322)&lt;1,"ok","err")</f>
        <v>ok</v>
      </c>
    </row>
    <row r="323" spans="1:29" x14ac:dyDescent="0.2">
      <c r="AC323" s="30"/>
    </row>
    <row r="324" spans="1:29" x14ac:dyDescent="0.2">
      <c r="A324" s="14" t="s">
        <v>195</v>
      </c>
      <c r="C324" s="14" t="s">
        <v>196</v>
      </c>
      <c r="D324" s="14" t="s">
        <v>84</v>
      </c>
      <c r="F324" s="233">
        <v>29158.6</v>
      </c>
      <c r="G324" s="193"/>
      <c r="H324" s="50">
        <f>IF(VLOOKUP($D324,$C$5:$AA$493,6,)=0,0,((VLOOKUP($D324,$C$5:$AA$493,6,)/VLOOKUP($D324,$C$5:$AA$493,4,))*$F324))</f>
        <v>0</v>
      </c>
      <c r="I324" s="50">
        <f>IF(VLOOKUP($D324,$C$5:$AA$493,7,)=0,0,((VLOOKUP($D324,$C$5:$AA$493,7,)/VLOOKUP($D324,$C$5:$AA$493,4,))*$F324))</f>
        <v>0</v>
      </c>
      <c r="J324" s="50"/>
      <c r="K324" s="50">
        <f>IF(VLOOKUP($D324,$C$5:$AA$493,9,)=0,0,((VLOOKUP($D324,$C$5:$AA$493,9,)/VLOOKUP($D324,$C$5:$AA$493,4,))*$F324))</f>
        <v>0</v>
      </c>
      <c r="L324" s="50"/>
      <c r="M324" s="50">
        <f>IF(VLOOKUP($D324,$C$5:$AA$493,11,)=0,0,((VLOOKUP($D324,$C$5:$AA$493,11,)/VLOOKUP($D324,$C$5:$AA$493,4,))*$F324))</f>
        <v>107.47117741675163</v>
      </c>
      <c r="N324" s="50"/>
      <c r="O324" s="50">
        <f>IF(VLOOKUP($D324,$C$5:$AA$493,13,)=0,0,((VLOOKUP($D324,$C$5:$AA$493,13,)/VLOOKUP($D324,$C$5:$AA$493,4,))*$F324))</f>
        <v>14200.554639401493</v>
      </c>
      <c r="P324" s="50">
        <f>IF(VLOOKUP($D324,$C$5:$AA$493,14,)=0,0,((VLOOKUP($D324,$C$5:$AA$493,14,)/VLOOKUP($D324,$C$5:$AA$493,4,))*$F324))</f>
        <v>7992.6338225711152</v>
      </c>
      <c r="Q324" s="50"/>
      <c r="R324" s="50">
        <f>IF(VLOOKUP($D324,$C$5:$AA$493,16,)=0,0,((VLOOKUP($D324,$C$5:$AA$493,16,)/VLOOKUP($D324,$C$5:$AA$493,4,))*$F324))</f>
        <v>0</v>
      </c>
      <c r="S324" s="50">
        <f>IF(VLOOKUP($D324,$C$5:$AA$493,17,)=0,0,((VLOOKUP($D324,$C$5:$AA$493,17,)/VLOOKUP($D324,$C$5:$AA$493,4,))*$F324))</f>
        <v>3673.2270455008338</v>
      </c>
      <c r="T324" s="50"/>
      <c r="U324" s="50">
        <f>IF(VLOOKUP($D324,$C$5:$AA$493,19,)=0,0,((VLOOKUP($D324,$C$5:$AA$493,19,)/VLOOKUP($D324,$C$5:$AA$493,4,))*$F324))</f>
        <v>1598.2200788461485</v>
      </c>
      <c r="V324" s="50"/>
      <c r="W324" s="50">
        <f>IF(VLOOKUP($D324,$C$5:$AA$493,21,)=0,0,((VLOOKUP($D324,$C$5:$AA$493,21,)/VLOOKUP($D324,$C$5:$AA$493,4,))*$F324))</f>
        <v>1586.4932362636612</v>
      </c>
      <c r="X324" s="50"/>
      <c r="Y324" s="50">
        <f>IF(VLOOKUP($D324,$C$5:$AA$493,23,)=0,0,((VLOOKUP($D324,$C$5:$AA$493,23,)/VLOOKUP($D324,$C$5:$AA$493,4,))*$F324))</f>
        <v>0</v>
      </c>
      <c r="Z324" s="50"/>
      <c r="AA324" s="50">
        <f>IF(VLOOKUP($D324,$C$5:$AA$493,25,)=0,0,((VLOOKUP($D324,$C$5:$AA$493,25,)/VLOOKUP($D324,$C$5:$AA$493,4,))*$F324))</f>
        <v>0</v>
      </c>
      <c r="AB324" s="50">
        <f>SUM(H324:AA324)</f>
        <v>29158.600000000002</v>
      </c>
      <c r="AC324" s="30" t="str">
        <f>IF(ABS(AB324-F324)&lt;1,"ok","err")</f>
        <v>ok</v>
      </c>
    </row>
    <row r="325" spans="1:29" x14ac:dyDescent="0.2">
      <c r="AB325" s="50"/>
      <c r="AC325" s="30"/>
    </row>
    <row r="326" spans="1:29" x14ac:dyDescent="0.2">
      <c r="A326" s="13" t="s">
        <v>197</v>
      </c>
      <c r="C326" s="14" t="s">
        <v>198</v>
      </c>
      <c r="F326" s="226">
        <f>SUM(F312:F324)</f>
        <v>16271365.120000001</v>
      </c>
      <c r="G326" s="93"/>
      <c r="H326" s="93">
        <f>SUM(H312:H324)</f>
        <v>0</v>
      </c>
      <c r="I326" s="93">
        <f>SUM(I312:I324)</f>
        <v>0</v>
      </c>
      <c r="J326" s="93"/>
      <c r="K326" s="93">
        <f>SUM(K312:K324)</f>
        <v>0</v>
      </c>
      <c r="L326" s="93"/>
      <c r="M326" s="93">
        <f>SUM(M312:M324)</f>
        <v>59972.110033549776</v>
      </c>
      <c r="N326" s="93"/>
      <c r="O326" s="93">
        <f>SUM(O312:O324)</f>
        <v>7924331.396027646</v>
      </c>
      <c r="P326" s="93">
        <f>SUM(P312:P324)</f>
        <v>4460127.1390778683</v>
      </c>
      <c r="Q326" s="93"/>
      <c r="R326" s="93">
        <f>SUM(R312:R324)</f>
        <v>0</v>
      </c>
      <c r="S326" s="93">
        <f>SUM(S312:S324)</f>
        <v>2049769.8252317642</v>
      </c>
      <c r="T326" s="93"/>
      <c r="U326" s="93">
        <f>SUM(U312:U324)</f>
        <v>891854.28810096742</v>
      </c>
      <c r="V326" s="93"/>
      <c r="W326" s="93">
        <f>SUM(W312:W324)</f>
        <v>885310.36152820999</v>
      </c>
      <c r="X326" s="93"/>
      <c r="Y326" s="93">
        <f>SUM(Y312:Y324)</f>
        <v>0</v>
      </c>
      <c r="Z326" s="93"/>
      <c r="AA326" s="93">
        <f>SUM(AA312:AA324)</f>
        <v>0</v>
      </c>
      <c r="AB326" s="50">
        <f>SUM(H326:AA326)</f>
        <v>16271365.120000007</v>
      </c>
      <c r="AC326" s="30" t="str">
        <f>IF(ABS(AB326-F326)&lt;1,"ok","err")</f>
        <v>ok</v>
      </c>
    </row>
    <row r="327" spans="1:29" x14ac:dyDescent="0.2">
      <c r="AC327" s="30"/>
    </row>
    <row r="328" spans="1:29" x14ac:dyDescent="0.2">
      <c r="A328" s="13" t="s">
        <v>389</v>
      </c>
      <c r="F328" s="226">
        <f>F285+F326</f>
        <v>157394794.46600002</v>
      </c>
      <c r="G328" s="93"/>
      <c r="H328" s="93">
        <f>H285+H326</f>
        <v>32193190.155008759</v>
      </c>
      <c r="I328" s="93">
        <f>I285+I326</f>
        <v>76848014.844991267</v>
      </c>
      <c r="J328" s="93"/>
      <c r="K328" s="93">
        <f>K285+K326</f>
        <v>0</v>
      </c>
      <c r="L328" s="93"/>
      <c r="M328" s="93">
        <f>M285+M326</f>
        <v>285144.56592492084</v>
      </c>
      <c r="N328" s="93"/>
      <c r="O328" s="93">
        <f t="shared" ref="O328:AA328" si="185">O285+O326</f>
        <v>23985151.582832359</v>
      </c>
      <c r="P328" s="93">
        <f t="shared" si="185"/>
        <v>11326981.794898223</v>
      </c>
      <c r="Q328" s="93"/>
      <c r="R328" s="93">
        <f t="shared" si="185"/>
        <v>0</v>
      </c>
      <c r="S328" s="93">
        <f t="shared" si="185"/>
        <v>2744978.3525894033</v>
      </c>
      <c r="T328" s="93"/>
      <c r="U328" s="93">
        <f t="shared" si="185"/>
        <v>2834134.7075504772</v>
      </c>
      <c r="V328" s="93"/>
      <c r="W328" s="93">
        <f t="shared" si="185"/>
        <v>1168876.2323272231</v>
      </c>
      <c r="X328" s="93"/>
      <c r="Y328" s="93">
        <f t="shared" si="185"/>
        <v>5597618.9548276588</v>
      </c>
      <c r="Z328" s="93"/>
      <c r="AA328" s="93">
        <f t="shared" si="185"/>
        <v>410703.27504973591</v>
      </c>
      <c r="AB328" s="50">
        <f>SUM(H328:AA328)</f>
        <v>157394794.46600002</v>
      </c>
      <c r="AC328" s="30" t="str">
        <f>IF(ABS(AB328-F328)&lt;1,"ok","err")</f>
        <v>ok</v>
      </c>
    </row>
    <row r="329" spans="1:29" x14ac:dyDescent="0.2">
      <c r="F329" s="226"/>
      <c r="G329" s="93"/>
      <c r="AC329" s="30"/>
    </row>
    <row r="330" spans="1:29" x14ac:dyDescent="0.2">
      <c r="AC330" s="30"/>
    </row>
    <row r="331" spans="1:29" x14ac:dyDescent="0.2">
      <c r="AC331" s="30"/>
    </row>
    <row r="332" spans="1:29" x14ac:dyDescent="0.2">
      <c r="A332" s="28" t="s">
        <v>1054</v>
      </c>
      <c r="Q332" s="14"/>
      <c r="AC332" s="30"/>
    </row>
    <row r="333" spans="1:29" x14ac:dyDescent="0.2">
      <c r="A333" s="28"/>
      <c r="Q333" s="14"/>
      <c r="AC333" s="30"/>
    </row>
    <row r="334" spans="1:29" x14ac:dyDescent="0.2">
      <c r="A334" s="13" t="s">
        <v>788</v>
      </c>
      <c r="Q334" s="14"/>
      <c r="AC334" s="30"/>
    </row>
    <row r="335" spans="1:29" x14ac:dyDescent="0.2">
      <c r="A335" s="14">
        <v>500</v>
      </c>
      <c r="B335" s="14" t="s">
        <v>793</v>
      </c>
      <c r="C335" s="14" t="s">
        <v>840</v>
      </c>
      <c r="D335" s="14" t="s">
        <v>782</v>
      </c>
      <c r="F335" s="233">
        <v>0</v>
      </c>
      <c r="G335" s="66"/>
      <c r="H335" s="50">
        <f t="shared" ref="H335:H343" si="186">IF(VLOOKUP($D335,$C$5:$AA$493,6,)=0,0,((VLOOKUP($D335,$C$5:$AA$493,6,)/VLOOKUP($D335,$C$5:$AA$493,4,))*$F335))</f>
        <v>0</v>
      </c>
      <c r="I335" s="50">
        <f t="shared" ref="I335:I343" si="187">IF(VLOOKUP($D335,$C$5:$AA$493,7,)=0,0,((VLOOKUP($D335,$C$5:$AA$493,7,)/VLOOKUP($D335,$C$5:$AA$493,4,))*$F335))</f>
        <v>0</v>
      </c>
      <c r="J335" s="50"/>
      <c r="K335" s="50">
        <f t="shared" ref="K335:K343" si="188">IF(VLOOKUP($D335,$C$5:$AA$493,9,)=0,0,((VLOOKUP($D335,$C$5:$AA$493,9,)/VLOOKUP($D335,$C$5:$AA$493,4,))*$F335))</f>
        <v>0</v>
      </c>
      <c r="L335" s="50"/>
      <c r="M335" s="50">
        <f t="shared" ref="M335:M343" si="189">IF(VLOOKUP($D335,$C$5:$AA$493,11,)=0,0,((VLOOKUP($D335,$C$5:$AA$493,11,)/VLOOKUP($D335,$C$5:$AA$493,4,))*$F335))</f>
        <v>0</v>
      </c>
      <c r="N335" s="50"/>
      <c r="O335" s="50">
        <f t="shared" ref="O335:O343" si="190">IF(VLOOKUP($D335,$C$5:$AA$493,13,)=0,0,((VLOOKUP($D335,$C$5:$AA$493,13,)/VLOOKUP($D335,$C$5:$AA$493,4,))*$F335))</f>
        <v>0</v>
      </c>
      <c r="P335" s="50">
        <f t="shared" ref="P335:P343" si="191">IF(VLOOKUP($D335,$C$5:$AA$493,14,)=0,0,((VLOOKUP($D335,$C$5:$AA$493,14,)/VLOOKUP($D335,$C$5:$AA$493,4,))*$F335))</f>
        <v>0</v>
      </c>
      <c r="Q335" s="50"/>
      <c r="R335" s="50">
        <f t="shared" ref="R335:R343" si="192">IF(VLOOKUP($D335,$C$5:$AA$493,16,)=0,0,((VLOOKUP($D335,$C$5:$AA$493,16,)/VLOOKUP($D335,$C$5:$AA$493,4,))*$F335))</f>
        <v>0</v>
      </c>
      <c r="S335" s="50">
        <f t="shared" ref="S335:S343" si="193">IF(VLOOKUP($D335,$C$5:$AA$493,17,)=0,0,((VLOOKUP($D335,$C$5:$AA$493,17,)/VLOOKUP($D335,$C$5:$AA$493,4,))*$F335))</f>
        <v>0</v>
      </c>
      <c r="T335" s="50"/>
      <c r="U335" s="50">
        <f t="shared" ref="U335:U343" si="194">IF(VLOOKUP($D335,$C$5:$AA$493,19,)=0,0,((VLOOKUP($D335,$C$5:$AA$493,19,)/VLOOKUP($D335,$C$5:$AA$493,4,))*$F335))</f>
        <v>0</v>
      </c>
      <c r="V335" s="50"/>
      <c r="W335" s="50">
        <f t="shared" ref="W335:W343" si="195">IF(VLOOKUP($D335,$C$5:$AA$493,21,)=0,0,((VLOOKUP($D335,$C$5:$AA$493,21,)/VLOOKUP($D335,$C$5:$AA$493,4,))*$F335))</f>
        <v>0</v>
      </c>
      <c r="X335" s="50"/>
      <c r="Y335" s="50">
        <f t="shared" ref="Y335:Y343" si="196">IF(VLOOKUP($D335,$C$5:$AA$493,23,)=0,0,((VLOOKUP($D335,$C$5:$AA$493,23,)/VLOOKUP($D335,$C$5:$AA$493,4,))*$F335))</f>
        <v>0</v>
      </c>
      <c r="Z335" s="50"/>
      <c r="AA335" s="50">
        <f t="shared" ref="AA335:AA343" si="197">IF(VLOOKUP($D335,$C$5:$AA$493,25,)=0,0,((VLOOKUP($D335,$C$5:$AA$493,25,)/VLOOKUP($D335,$C$5:$AA$493,4,))*$F335))</f>
        <v>0</v>
      </c>
      <c r="AB335" s="50">
        <f t="shared" ref="AB335:AB343" si="198">SUM(H335:AA335)</f>
        <v>0</v>
      </c>
      <c r="AC335" s="30" t="str">
        <f t="shared" ref="AC335:AC343" si="199">IF(ABS(AB335-F335)&lt;1,"ok","err")</f>
        <v>ok</v>
      </c>
    </row>
    <row r="336" spans="1:29" x14ac:dyDescent="0.2">
      <c r="A336" s="14">
        <v>501</v>
      </c>
      <c r="B336" s="14" t="s">
        <v>794</v>
      </c>
      <c r="C336" s="14" t="s">
        <v>841</v>
      </c>
      <c r="D336" s="14" t="s">
        <v>786</v>
      </c>
      <c r="F336" s="234">
        <v>0</v>
      </c>
      <c r="G336" s="50"/>
      <c r="H336" s="50">
        <f t="shared" si="186"/>
        <v>0</v>
      </c>
      <c r="I336" s="50">
        <f t="shared" si="187"/>
        <v>0</v>
      </c>
      <c r="J336" s="50"/>
      <c r="K336" s="50">
        <f t="shared" si="188"/>
        <v>0</v>
      </c>
      <c r="L336" s="50"/>
      <c r="M336" s="50">
        <f t="shared" si="189"/>
        <v>0</v>
      </c>
      <c r="N336" s="50"/>
      <c r="O336" s="50">
        <f t="shared" si="190"/>
        <v>0</v>
      </c>
      <c r="P336" s="50">
        <f t="shared" si="191"/>
        <v>0</v>
      </c>
      <c r="Q336" s="50"/>
      <c r="R336" s="50">
        <f t="shared" si="192"/>
        <v>0</v>
      </c>
      <c r="S336" s="50">
        <f t="shared" si="193"/>
        <v>0</v>
      </c>
      <c r="T336" s="50"/>
      <c r="U336" s="50">
        <f t="shared" si="194"/>
        <v>0</v>
      </c>
      <c r="V336" s="50"/>
      <c r="W336" s="50">
        <f t="shared" si="195"/>
        <v>0</v>
      </c>
      <c r="X336" s="50"/>
      <c r="Y336" s="50">
        <f t="shared" si="196"/>
        <v>0</v>
      </c>
      <c r="Z336" s="50"/>
      <c r="AA336" s="50">
        <f t="shared" si="197"/>
        <v>0</v>
      </c>
      <c r="AB336" s="50">
        <f t="shared" si="198"/>
        <v>0</v>
      </c>
      <c r="AC336" s="30" t="str">
        <f t="shared" si="199"/>
        <v>ok</v>
      </c>
    </row>
    <row r="337" spans="1:29" x14ac:dyDescent="0.2">
      <c r="A337" s="14">
        <v>502</v>
      </c>
      <c r="B337" s="14" t="s">
        <v>795</v>
      </c>
      <c r="C337" s="14" t="s">
        <v>842</v>
      </c>
      <c r="D337" s="14" t="s">
        <v>552</v>
      </c>
      <c r="F337" s="234">
        <v>0</v>
      </c>
      <c r="G337" s="50"/>
      <c r="H337" s="50">
        <f t="shared" si="186"/>
        <v>0</v>
      </c>
      <c r="I337" s="50">
        <f t="shared" si="187"/>
        <v>0</v>
      </c>
      <c r="J337" s="50"/>
      <c r="K337" s="50">
        <f t="shared" si="188"/>
        <v>0</v>
      </c>
      <c r="L337" s="50"/>
      <c r="M337" s="50">
        <f t="shared" si="189"/>
        <v>0</v>
      </c>
      <c r="N337" s="50"/>
      <c r="O337" s="50">
        <f t="shared" si="190"/>
        <v>0</v>
      </c>
      <c r="P337" s="50">
        <f t="shared" si="191"/>
        <v>0</v>
      </c>
      <c r="Q337" s="50"/>
      <c r="R337" s="50">
        <f t="shared" si="192"/>
        <v>0</v>
      </c>
      <c r="S337" s="50">
        <f t="shared" si="193"/>
        <v>0</v>
      </c>
      <c r="T337" s="50"/>
      <c r="U337" s="50">
        <f t="shared" si="194"/>
        <v>0</v>
      </c>
      <c r="V337" s="50"/>
      <c r="W337" s="50">
        <f t="shared" si="195"/>
        <v>0</v>
      </c>
      <c r="X337" s="50"/>
      <c r="Y337" s="50">
        <f t="shared" si="196"/>
        <v>0</v>
      </c>
      <c r="Z337" s="50"/>
      <c r="AA337" s="50">
        <f t="shared" si="197"/>
        <v>0</v>
      </c>
      <c r="AB337" s="50">
        <f t="shared" si="198"/>
        <v>0</v>
      </c>
      <c r="AC337" s="30" t="str">
        <f t="shared" si="199"/>
        <v>ok</v>
      </c>
    </row>
    <row r="338" spans="1:29" x14ac:dyDescent="0.2">
      <c r="A338" s="14">
        <v>503</v>
      </c>
      <c r="B338" s="14" t="s">
        <v>796</v>
      </c>
      <c r="C338" s="14" t="s">
        <v>843</v>
      </c>
      <c r="D338" s="14" t="s">
        <v>552</v>
      </c>
      <c r="F338" s="234">
        <v>0</v>
      </c>
      <c r="G338" s="50"/>
      <c r="H338" s="50">
        <f t="shared" si="186"/>
        <v>0</v>
      </c>
      <c r="I338" s="50">
        <f t="shared" si="187"/>
        <v>0</v>
      </c>
      <c r="J338" s="50"/>
      <c r="K338" s="50">
        <f t="shared" si="188"/>
        <v>0</v>
      </c>
      <c r="L338" s="50"/>
      <c r="M338" s="50">
        <f t="shared" si="189"/>
        <v>0</v>
      </c>
      <c r="N338" s="50"/>
      <c r="O338" s="50">
        <f t="shared" si="190"/>
        <v>0</v>
      </c>
      <c r="P338" s="50">
        <f t="shared" si="191"/>
        <v>0</v>
      </c>
      <c r="Q338" s="50"/>
      <c r="R338" s="50">
        <f t="shared" si="192"/>
        <v>0</v>
      </c>
      <c r="S338" s="50">
        <f t="shared" si="193"/>
        <v>0</v>
      </c>
      <c r="T338" s="50"/>
      <c r="U338" s="50">
        <f t="shared" si="194"/>
        <v>0</v>
      </c>
      <c r="V338" s="50"/>
      <c r="W338" s="50">
        <f t="shared" si="195"/>
        <v>0</v>
      </c>
      <c r="X338" s="50"/>
      <c r="Y338" s="50">
        <f t="shared" si="196"/>
        <v>0</v>
      </c>
      <c r="Z338" s="50"/>
      <c r="AA338" s="50">
        <f t="shared" si="197"/>
        <v>0</v>
      </c>
      <c r="AB338" s="50">
        <f t="shared" si="198"/>
        <v>0</v>
      </c>
      <c r="AC338" s="30" t="str">
        <f t="shared" si="199"/>
        <v>ok</v>
      </c>
    </row>
    <row r="339" spans="1:29" x14ac:dyDescent="0.2">
      <c r="A339" s="14">
        <v>504</v>
      </c>
      <c r="B339" s="14" t="s">
        <v>797</v>
      </c>
      <c r="C339" s="14" t="s">
        <v>844</v>
      </c>
      <c r="D339" s="14" t="s">
        <v>552</v>
      </c>
      <c r="F339" s="234">
        <v>0</v>
      </c>
      <c r="G339" s="50"/>
      <c r="H339" s="50">
        <f t="shared" si="186"/>
        <v>0</v>
      </c>
      <c r="I339" s="50">
        <f t="shared" si="187"/>
        <v>0</v>
      </c>
      <c r="J339" s="50"/>
      <c r="K339" s="50">
        <f t="shared" si="188"/>
        <v>0</v>
      </c>
      <c r="L339" s="50"/>
      <c r="M339" s="50">
        <f t="shared" si="189"/>
        <v>0</v>
      </c>
      <c r="N339" s="50"/>
      <c r="O339" s="50">
        <f t="shared" si="190"/>
        <v>0</v>
      </c>
      <c r="P339" s="50">
        <f t="shared" si="191"/>
        <v>0</v>
      </c>
      <c r="Q339" s="50"/>
      <c r="R339" s="50">
        <f t="shared" si="192"/>
        <v>0</v>
      </c>
      <c r="S339" s="50">
        <f t="shared" si="193"/>
        <v>0</v>
      </c>
      <c r="T339" s="50"/>
      <c r="U339" s="50">
        <f t="shared" si="194"/>
        <v>0</v>
      </c>
      <c r="V339" s="50"/>
      <c r="W339" s="50">
        <f t="shared" si="195"/>
        <v>0</v>
      </c>
      <c r="X339" s="50"/>
      <c r="Y339" s="50">
        <f t="shared" si="196"/>
        <v>0</v>
      </c>
      <c r="Z339" s="50"/>
      <c r="AA339" s="50">
        <f t="shared" si="197"/>
        <v>0</v>
      </c>
      <c r="AB339" s="50">
        <f t="shared" si="198"/>
        <v>0</v>
      </c>
      <c r="AC339" s="30" t="str">
        <f t="shared" si="199"/>
        <v>ok</v>
      </c>
    </row>
    <row r="340" spans="1:29" x14ac:dyDescent="0.2">
      <c r="A340" s="14">
        <v>505</v>
      </c>
      <c r="B340" s="14" t="s">
        <v>798</v>
      </c>
      <c r="C340" s="14" t="s">
        <v>845</v>
      </c>
      <c r="D340" s="14" t="s">
        <v>552</v>
      </c>
      <c r="F340" s="234">
        <v>0</v>
      </c>
      <c r="G340" s="50"/>
      <c r="H340" s="50">
        <f t="shared" si="186"/>
        <v>0</v>
      </c>
      <c r="I340" s="50">
        <f t="shared" si="187"/>
        <v>0</v>
      </c>
      <c r="J340" s="50"/>
      <c r="K340" s="50">
        <f t="shared" si="188"/>
        <v>0</v>
      </c>
      <c r="L340" s="50"/>
      <c r="M340" s="50">
        <f t="shared" si="189"/>
        <v>0</v>
      </c>
      <c r="N340" s="50"/>
      <c r="O340" s="50">
        <f t="shared" si="190"/>
        <v>0</v>
      </c>
      <c r="P340" s="50">
        <f t="shared" si="191"/>
        <v>0</v>
      </c>
      <c r="Q340" s="50"/>
      <c r="R340" s="50">
        <f t="shared" si="192"/>
        <v>0</v>
      </c>
      <c r="S340" s="50">
        <f t="shared" si="193"/>
        <v>0</v>
      </c>
      <c r="T340" s="50"/>
      <c r="U340" s="50">
        <f t="shared" si="194"/>
        <v>0</v>
      </c>
      <c r="V340" s="50"/>
      <c r="W340" s="50">
        <f t="shared" si="195"/>
        <v>0</v>
      </c>
      <c r="X340" s="50"/>
      <c r="Y340" s="50">
        <f t="shared" si="196"/>
        <v>0</v>
      </c>
      <c r="Z340" s="50"/>
      <c r="AA340" s="50">
        <f t="shared" si="197"/>
        <v>0</v>
      </c>
      <c r="AB340" s="50">
        <f t="shared" si="198"/>
        <v>0</v>
      </c>
      <c r="AC340" s="30" t="str">
        <f t="shared" si="199"/>
        <v>ok</v>
      </c>
    </row>
    <row r="341" spans="1:29" x14ac:dyDescent="0.2">
      <c r="A341" s="14">
        <v>506</v>
      </c>
      <c r="B341" s="14" t="s">
        <v>799</v>
      </c>
      <c r="C341" s="14" t="s">
        <v>846</v>
      </c>
      <c r="D341" s="14" t="s">
        <v>552</v>
      </c>
      <c r="F341" s="234">
        <v>0</v>
      </c>
      <c r="G341" s="50"/>
      <c r="H341" s="50">
        <f t="shared" si="186"/>
        <v>0</v>
      </c>
      <c r="I341" s="50">
        <f t="shared" si="187"/>
        <v>0</v>
      </c>
      <c r="J341" s="50"/>
      <c r="K341" s="50">
        <f t="shared" si="188"/>
        <v>0</v>
      </c>
      <c r="L341" s="50"/>
      <c r="M341" s="50">
        <f t="shared" si="189"/>
        <v>0</v>
      </c>
      <c r="N341" s="50"/>
      <c r="O341" s="50">
        <f t="shared" si="190"/>
        <v>0</v>
      </c>
      <c r="P341" s="50">
        <f t="shared" si="191"/>
        <v>0</v>
      </c>
      <c r="Q341" s="50"/>
      <c r="R341" s="50">
        <f t="shared" si="192"/>
        <v>0</v>
      </c>
      <c r="S341" s="50">
        <f t="shared" si="193"/>
        <v>0</v>
      </c>
      <c r="T341" s="50"/>
      <c r="U341" s="50">
        <f t="shared" si="194"/>
        <v>0</v>
      </c>
      <c r="V341" s="50"/>
      <c r="W341" s="50">
        <f t="shared" si="195"/>
        <v>0</v>
      </c>
      <c r="X341" s="50"/>
      <c r="Y341" s="50">
        <f t="shared" si="196"/>
        <v>0</v>
      </c>
      <c r="Z341" s="50"/>
      <c r="AA341" s="50">
        <f t="shared" si="197"/>
        <v>0</v>
      </c>
      <c r="AB341" s="50">
        <f t="shared" si="198"/>
        <v>0</v>
      </c>
      <c r="AC341" s="30" t="str">
        <f t="shared" si="199"/>
        <v>ok</v>
      </c>
    </row>
    <row r="342" spans="1:29" x14ac:dyDescent="0.2">
      <c r="A342" s="14">
        <v>507</v>
      </c>
      <c r="B342" s="14" t="s">
        <v>115</v>
      </c>
      <c r="C342" s="14" t="s">
        <v>847</v>
      </c>
      <c r="D342" s="14" t="s">
        <v>552</v>
      </c>
      <c r="F342" s="234">
        <v>0</v>
      </c>
      <c r="G342" s="50"/>
      <c r="H342" s="50">
        <f t="shared" si="186"/>
        <v>0</v>
      </c>
      <c r="I342" s="50">
        <f t="shared" si="187"/>
        <v>0</v>
      </c>
      <c r="J342" s="50"/>
      <c r="K342" s="50">
        <f t="shared" si="188"/>
        <v>0</v>
      </c>
      <c r="L342" s="50"/>
      <c r="M342" s="50">
        <f t="shared" si="189"/>
        <v>0</v>
      </c>
      <c r="N342" s="50"/>
      <c r="O342" s="50">
        <f t="shared" si="190"/>
        <v>0</v>
      </c>
      <c r="P342" s="50">
        <f t="shared" si="191"/>
        <v>0</v>
      </c>
      <c r="Q342" s="50"/>
      <c r="R342" s="50">
        <f t="shared" si="192"/>
        <v>0</v>
      </c>
      <c r="S342" s="50">
        <f t="shared" si="193"/>
        <v>0</v>
      </c>
      <c r="T342" s="50"/>
      <c r="U342" s="50">
        <f t="shared" si="194"/>
        <v>0</v>
      </c>
      <c r="V342" s="50"/>
      <c r="W342" s="50">
        <f t="shared" si="195"/>
        <v>0</v>
      </c>
      <c r="X342" s="50"/>
      <c r="Y342" s="50">
        <f t="shared" si="196"/>
        <v>0</v>
      </c>
      <c r="Z342" s="50"/>
      <c r="AA342" s="50">
        <f t="shared" si="197"/>
        <v>0</v>
      </c>
      <c r="AB342" s="50">
        <f t="shared" si="198"/>
        <v>0</v>
      </c>
      <c r="AC342" s="30" t="str">
        <f t="shared" si="199"/>
        <v>ok</v>
      </c>
    </row>
    <row r="343" spans="1:29" x14ac:dyDescent="0.2">
      <c r="A343" s="14">
        <v>509</v>
      </c>
      <c r="B343" s="14" t="s">
        <v>800</v>
      </c>
      <c r="C343" s="14" t="s">
        <v>848</v>
      </c>
      <c r="D343" s="14" t="s">
        <v>786</v>
      </c>
      <c r="F343" s="234">
        <v>0</v>
      </c>
      <c r="G343" s="50"/>
      <c r="H343" s="50">
        <f t="shared" si="186"/>
        <v>0</v>
      </c>
      <c r="I343" s="50">
        <f t="shared" si="187"/>
        <v>0</v>
      </c>
      <c r="J343" s="50"/>
      <c r="K343" s="50">
        <f t="shared" si="188"/>
        <v>0</v>
      </c>
      <c r="L343" s="50"/>
      <c r="M343" s="50">
        <f t="shared" si="189"/>
        <v>0</v>
      </c>
      <c r="N343" s="50"/>
      <c r="O343" s="50">
        <f t="shared" si="190"/>
        <v>0</v>
      </c>
      <c r="P343" s="50">
        <f t="shared" si="191"/>
        <v>0</v>
      </c>
      <c r="Q343" s="50"/>
      <c r="R343" s="50">
        <f t="shared" si="192"/>
        <v>0</v>
      </c>
      <c r="S343" s="50">
        <f t="shared" si="193"/>
        <v>0</v>
      </c>
      <c r="T343" s="50"/>
      <c r="U343" s="50">
        <f t="shared" si="194"/>
        <v>0</v>
      </c>
      <c r="V343" s="50"/>
      <c r="W343" s="50">
        <f t="shared" si="195"/>
        <v>0</v>
      </c>
      <c r="X343" s="50"/>
      <c r="Y343" s="50">
        <f t="shared" si="196"/>
        <v>0</v>
      </c>
      <c r="Z343" s="50"/>
      <c r="AA343" s="50">
        <f t="shared" si="197"/>
        <v>0</v>
      </c>
      <c r="AB343" s="50">
        <f t="shared" si="198"/>
        <v>0</v>
      </c>
      <c r="AC343" s="30" t="str">
        <f t="shared" si="199"/>
        <v>ok</v>
      </c>
    </row>
    <row r="344" spans="1:29" x14ac:dyDescent="0.2"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C344" s="30"/>
    </row>
    <row r="345" spans="1:29" x14ac:dyDescent="0.2">
      <c r="A345" s="14" t="s">
        <v>792</v>
      </c>
      <c r="C345" s="14" t="s">
        <v>849</v>
      </c>
      <c r="F345" s="233">
        <f>SUM(F335:F344)</f>
        <v>0</v>
      </c>
      <c r="G345" s="66"/>
      <c r="H345" s="66">
        <f>SUM(H335:H344)</f>
        <v>0</v>
      </c>
      <c r="I345" s="66">
        <f>SUM(I335:I344)</f>
        <v>0</v>
      </c>
      <c r="J345" s="66"/>
      <c r="K345" s="66">
        <f>SUM(K335:K344)</f>
        <v>0</v>
      </c>
      <c r="L345" s="66"/>
      <c r="M345" s="66">
        <f>SUM(M335:M344)</f>
        <v>0</v>
      </c>
      <c r="N345" s="66"/>
      <c r="O345" s="66">
        <f>SUM(O335:O344)</f>
        <v>0</v>
      </c>
      <c r="P345" s="66">
        <f>SUM(P335:P344)</f>
        <v>0</v>
      </c>
      <c r="Q345" s="66"/>
      <c r="R345" s="66">
        <f>SUM(R335:R344)</f>
        <v>0</v>
      </c>
      <c r="S345" s="66">
        <f>SUM(S335:S344)</f>
        <v>0</v>
      </c>
      <c r="T345" s="66"/>
      <c r="U345" s="66">
        <f>SUM(U335:U344)</f>
        <v>0</v>
      </c>
      <c r="V345" s="66"/>
      <c r="W345" s="66">
        <f>SUM(W335:W344)</f>
        <v>0</v>
      </c>
      <c r="X345" s="66"/>
      <c r="Y345" s="66">
        <f>SUM(Y335:Y344)</f>
        <v>0</v>
      </c>
      <c r="Z345" s="66"/>
      <c r="AA345" s="66">
        <f>SUM(AA335:AA344)</f>
        <v>0</v>
      </c>
      <c r="AB345" s="50">
        <f>SUM(H345:AA345)</f>
        <v>0</v>
      </c>
      <c r="AC345" s="30" t="str">
        <f>IF(ABS(AB345-F345)&lt;1,"ok","err")</f>
        <v>ok</v>
      </c>
    </row>
    <row r="346" spans="1:29" x14ac:dyDescent="0.2">
      <c r="A346" s="13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C346" s="30"/>
    </row>
    <row r="347" spans="1:29" x14ac:dyDescent="0.2">
      <c r="A347" s="13" t="s">
        <v>789</v>
      </c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C347" s="30"/>
    </row>
    <row r="348" spans="1:29" x14ac:dyDescent="0.2">
      <c r="A348" s="14">
        <v>510</v>
      </c>
      <c r="B348" s="14" t="s">
        <v>801</v>
      </c>
      <c r="C348" s="14" t="s">
        <v>850</v>
      </c>
      <c r="D348" s="14" t="s">
        <v>786</v>
      </c>
      <c r="F348" s="233">
        <v>0</v>
      </c>
      <c r="G348" s="66"/>
      <c r="H348" s="50">
        <f>IF(VLOOKUP($D348,$C$5:$AA$493,6,)=0,0,((VLOOKUP($D348,$C$5:$AA$493,6,)/VLOOKUP($D348,$C$5:$AA$493,4,))*$F348))</f>
        <v>0</v>
      </c>
      <c r="I348" s="50">
        <f>IF(VLOOKUP($D348,$C$5:$AA$493,7,)=0,0,((VLOOKUP($D348,$C$5:$AA$493,7,)/VLOOKUP($D348,$C$5:$AA$493,4,))*$F348))</f>
        <v>0</v>
      </c>
      <c r="J348" s="50"/>
      <c r="K348" s="50">
        <f>IF(VLOOKUP($D348,$C$5:$AA$493,9,)=0,0,((VLOOKUP($D348,$C$5:$AA$493,9,)/VLOOKUP($D348,$C$5:$AA$493,4,))*$F348))</f>
        <v>0</v>
      </c>
      <c r="L348" s="50"/>
      <c r="M348" s="50">
        <f>IF(VLOOKUP($D348,$C$5:$AA$493,11,)=0,0,((VLOOKUP($D348,$C$5:$AA$493,11,)/VLOOKUP($D348,$C$5:$AA$493,4,))*$F348))</f>
        <v>0</v>
      </c>
      <c r="N348" s="50"/>
      <c r="O348" s="50">
        <f>IF(VLOOKUP($D348,$C$5:$AA$493,13,)=0,0,((VLOOKUP($D348,$C$5:$AA$493,13,)/VLOOKUP($D348,$C$5:$AA$493,4,))*$F348))</f>
        <v>0</v>
      </c>
      <c r="P348" s="50">
        <f>IF(VLOOKUP($D348,$C$5:$AA$493,14,)=0,0,((VLOOKUP($D348,$C$5:$AA$493,14,)/VLOOKUP($D348,$C$5:$AA$493,4,))*$F348))</f>
        <v>0</v>
      </c>
      <c r="Q348" s="50"/>
      <c r="R348" s="50">
        <f>IF(VLOOKUP($D348,$C$5:$AA$493,16,)=0,0,((VLOOKUP($D348,$C$5:$AA$493,16,)/VLOOKUP($D348,$C$5:$AA$493,4,))*$F348))</f>
        <v>0</v>
      </c>
      <c r="S348" s="50">
        <f>IF(VLOOKUP($D348,$C$5:$AA$493,17,)=0,0,((VLOOKUP($D348,$C$5:$AA$493,17,)/VLOOKUP($D348,$C$5:$AA$493,4,))*$F348))</f>
        <v>0</v>
      </c>
      <c r="T348" s="50"/>
      <c r="U348" s="50">
        <f>IF(VLOOKUP($D348,$C$5:$AA$493,19,)=0,0,((VLOOKUP($D348,$C$5:$AA$493,19,)/VLOOKUP($D348,$C$5:$AA$493,4,))*$F348))</f>
        <v>0</v>
      </c>
      <c r="V348" s="50"/>
      <c r="W348" s="50">
        <f>IF(VLOOKUP($D348,$C$5:$AA$493,21,)=0,0,((VLOOKUP($D348,$C$5:$AA$493,21,)/VLOOKUP($D348,$C$5:$AA$493,4,))*$F348))</f>
        <v>0</v>
      </c>
      <c r="X348" s="50"/>
      <c r="Y348" s="50">
        <f>IF(VLOOKUP($D348,$C$5:$AA$493,23,)=0,0,((VLOOKUP($D348,$C$5:$AA$493,23,)/VLOOKUP($D348,$C$5:$AA$493,4,))*$F348))</f>
        <v>0</v>
      </c>
      <c r="Z348" s="50"/>
      <c r="AA348" s="50">
        <f>IF(VLOOKUP($D348,$C$5:$AA$493,25,)=0,0,((VLOOKUP($D348,$C$5:$AA$493,25,)/VLOOKUP($D348,$C$5:$AA$493,4,))*$F348))</f>
        <v>0</v>
      </c>
      <c r="AB348" s="50">
        <f>SUM(H348:AA348)</f>
        <v>0</v>
      </c>
      <c r="AC348" s="30" t="str">
        <f>IF(ABS(AB348-F348)&lt;1,"ok","err")</f>
        <v>ok</v>
      </c>
    </row>
    <row r="349" spans="1:29" x14ac:dyDescent="0.2">
      <c r="A349" s="14">
        <v>511</v>
      </c>
      <c r="B349" s="14" t="s">
        <v>802</v>
      </c>
      <c r="C349" s="14" t="s">
        <v>851</v>
      </c>
      <c r="D349" s="14" t="s">
        <v>552</v>
      </c>
      <c r="F349" s="234">
        <v>0</v>
      </c>
      <c r="G349" s="50"/>
      <c r="H349" s="50">
        <f>IF(VLOOKUP($D349,$C$5:$AA$493,6,)=0,0,((VLOOKUP($D349,$C$5:$AA$493,6,)/VLOOKUP($D349,$C$5:$AA$493,4,))*$F349))</f>
        <v>0</v>
      </c>
      <c r="I349" s="50">
        <f>IF(VLOOKUP($D349,$C$5:$AA$493,7,)=0,0,((VLOOKUP($D349,$C$5:$AA$493,7,)/VLOOKUP($D349,$C$5:$AA$493,4,))*$F349))</f>
        <v>0</v>
      </c>
      <c r="J349" s="50"/>
      <c r="K349" s="50">
        <f>IF(VLOOKUP($D349,$C$5:$AA$493,9,)=0,0,((VLOOKUP($D349,$C$5:$AA$493,9,)/VLOOKUP($D349,$C$5:$AA$493,4,))*$F349))</f>
        <v>0</v>
      </c>
      <c r="L349" s="50"/>
      <c r="M349" s="50">
        <f>IF(VLOOKUP($D349,$C$5:$AA$493,11,)=0,0,((VLOOKUP($D349,$C$5:$AA$493,11,)/VLOOKUP($D349,$C$5:$AA$493,4,))*$F349))</f>
        <v>0</v>
      </c>
      <c r="N349" s="50"/>
      <c r="O349" s="50">
        <f>IF(VLOOKUP($D349,$C$5:$AA$493,13,)=0,0,((VLOOKUP($D349,$C$5:$AA$493,13,)/VLOOKUP($D349,$C$5:$AA$493,4,))*$F349))</f>
        <v>0</v>
      </c>
      <c r="P349" s="50">
        <f>IF(VLOOKUP($D349,$C$5:$AA$493,14,)=0,0,((VLOOKUP($D349,$C$5:$AA$493,14,)/VLOOKUP($D349,$C$5:$AA$493,4,))*$F349))</f>
        <v>0</v>
      </c>
      <c r="Q349" s="50"/>
      <c r="R349" s="50">
        <f>IF(VLOOKUP($D349,$C$5:$AA$493,16,)=0,0,((VLOOKUP($D349,$C$5:$AA$493,16,)/VLOOKUP($D349,$C$5:$AA$493,4,))*$F349))</f>
        <v>0</v>
      </c>
      <c r="S349" s="50">
        <f>IF(VLOOKUP($D349,$C$5:$AA$493,17,)=0,0,((VLOOKUP($D349,$C$5:$AA$493,17,)/VLOOKUP($D349,$C$5:$AA$493,4,))*$F349))</f>
        <v>0</v>
      </c>
      <c r="T349" s="50"/>
      <c r="U349" s="50">
        <f>IF(VLOOKUP($D349,$C$5:$AA$493,19,)=0,0,((VLOOKUP($D349,$C$5:$AA$493,19,)/VLOOKUP($D349,$C$5:$AA$493,4,))*$F349))</f>
        <v>0</v>
      </c>
      <c r="V349" s="50"/>
      <c r="W349" s="50">
        <f>IF(VLOOKUP($D349,$C$5:$AA$493,21,)=0,0,((VLOOKUP($D349,$C$5:$AA$493,21,)/VLOOKUP($D349,$C$5:$AA$493,4,))*$F349))</f>
        <v>0</v>
      </c>
      <c r="X349" s="50"/>
      <c r="Y349" s="50">
        <f>IF(VLOOKUP($D349,$C$5:$AA$493,23,)=0,0,((VLOOKUP($D349,$C$5:$AA$493,23,)/VLOOKUP($D349,$C$5:$AA$493,4,))*$F349))</f>
        <v>0</v>
      </c>
      <c r="Z349" s="50"/>
      <c r="AA349" s="50">
        <f>IF(VLOOKUP($D349,$C$5:$AA$493,25,)=0,0,((VLOOKUP($D349,$C$5:$AA$493,25,)/VLOOKUP($D349,$C$5:$AA$493,4,))*$F349))</f>
        <v>0</v>
      </c>
      <c r="AB349" s="50">
        <f>SUM(H349:AA349)</f>
        <v>0</v>
      </c>
      <c r="AC349" s="30" t="str">
        <f>IF(ABS(AB349-F349)&lt;1,"ok","err")</f>
        <v>ok</v>
      </c>
    </row>
    <row r="350" spans="1:29" x14ac:dyDescent="0.2">
      <c r="A350" s="14">
        <v>512</v>
      </c>
      <c r="B350" s="14" t="s">
        <v>803</v>
      </c>
      <c r="C350" s="14" t="s">
        <v>852</v>
      </c>
      <c r="D350" s="14" t="s">
        <v>786</v>
      </c>
      <c r="F350" s="234">
        <v>0</v>
      </c>
      <c r="G350" s="50"/>
      <c r="H350" s="50">
        <f>IF(VLOOKUP($D350,$C$5:$AA$493,6,)=0,0,((VLOOKUP($D350,$C$5:$AA$493,6,)/VLOOKUP($D350,$C$5:$AA$493,4,))*$F350))</f>
        <v>0</v>
      </c>
      <c r="I350" s="50">
        <f>IF(VLOOKUP($D350,$C$5:$AA$493,7,)=0,0,((VLOOKUP($D350,$C$5:$AA$493,7,)/VLOOKUP($D350,$C$5:$AA$493,4,))*$F350))</f>
        <v>0</v>
      </c>
      <c r="J350" s="50"/>
      <c r="K350" s="50">
        <f>IF(VLOOKUP($D350,$C$5:$AA$493,9,)=0,0,((VLOOKUP($D350,$C$5:$AA$493,9,)/VLOOKUP($D350,$C$5:$AA$493,4,))*$F350))</f>
        <v>0</v>
      </c>
      <c r="L350" s="50"/>
      <c r="M350" s="50">
        <f>IF(VLOOKUP($D350,$C$5:$AA$493,11,)=0,0,((VLOOKUP($D350,$C$5:$AA$493,11,)/VLOOKUP($D350,$C$5:$AA$493,4,))*$F350))</f>
        <v>0</v>
      </c>
      <c r="N350" s="50"/>
      <c r="O350" s="50">
        <f>IF(VLOOKUP($D350,$C$5:$AA$493,13,)=0,0,((VLOOKUP($D350,$C$5:$AA$493,13,)/VLOOKUP($D350,$C$5:$AA$493,4,))*$F350))</f>
        <v>0</v>
      </c>
      <c r="P350" s="50">
        <f>IF(VLOOKUP($D350,$C$5:$AA$493,14,)=0,0,((VLOOKUP($D350,$C$5:$AA$493,14,)/VLOOKUP($D350,$C$5:$AA$493,4,))*$F350))</f>
        <v>0</v>
      </c>
      <c r="Q350" s="50"/>
      <c r="R350" s="50">
        <f>IF(VLOOKUP($D350,$C$5:$AA$493,16,)=0,0,((VLOOKUP($D350,$C$5:$AA$493,16,)/VLOOKUP($D350,$C$5:$AA$493,4,))*$F350))</f>
        <v>0</v>
      </c>
      <c r="S350" s="50">
        <f>IF(VLOOKUP($D350,$C$5:$AA$493,17,)=0,0,((VLOOKUP($D350,$C$5:$AA$493,17,)/VLOOKUP($D350,$C$5:$AA$493,4,))*$F350))</f>
        <v>0</v>
      </c>
      <c r="T350" s="50"/>
      <c r="U350" s="50">
        <f>IF(VLOOKUP($D350,$C$5:$AA$493,19,)=0,0,((VLOOKUP($D350,$C$5:$AA$493,19,)/VLOOKUP($D350,$C$5:$AA$493,4,))*$F350))</f>
        <v>0</v>
      </c>
      <c r="V350" s="50"/>
      <c r="W350" s="50">
        <f>IF(VLOOKUP($D350,$C$5:$AA$493,21,)=0,0,((VLOOKUP($D350,$C$5:$AA$493,21,)/VLOOKUP($D350,$C$5:$AA$493,4,))*$F350))</f>
        <v>0</v>
      </c>
      <c r="X350" s="50"/>
      <c r="Y350" s="50">
        <f>IF(VLOOKUP($D350,$C$5:$AA$493,23,)=0,0,((VLOOKUP($D350,$C$5:$AA$493,23,)/VLOOKUP($D350,$C$5:$AA$493,4,))*$F350))</f>
        <v>0</v>
      </c>
      <c r="Z350" s="50"/>
      <c r="AA350" s="50">
        <f>IF(VLOOKUP($D350,$C$5:$AA$493,25,)=0,0,((VLOOKUP($D350,$C$5:$AA$493,25,)/VLOOKUP($D350,$C$5:$AA$493,4,))*$F350))</f>
        <v>0</v>
      </c>
      <c r="AB350" s="50">
        <f>SUM(H350:AA350)</f>
        <v>0</v>
      </c>
      <c r="AC350" s="30" t="str">
        <f>IF(ABS(AB350-F350)&lt;1,"ok","err")</f>
        <v>ok</v>
      </c>
    </row>
    <row r="351" spans="1:29" x14ac:dyDescent="0.2">
      <c r="A351" s="14">
        <v>513</v>
      </c>
      <c r="B351" s="14" t="s">
        <v>804</v>
      </c>
      <c r="C351" s="14" t="s">
        <v>853</v>
      </c>
      <c r="D351" s="14" t="s">
        <v>786</v>
      </c>
      <c r="F351" s="234">
        <v>0</v>
      </c>
      <c r="G351" s="50"/>
      <c r="H351" s="50">
        <f>IF(VLOOKUP($D351,$C$5:$AA$493,6,)=0,0,((VLOOKUP($D351,$C$5:$AA$493,6,)/VLOOKUP($D351,$C$5:$AA$493,4,))*$F351))</f>
        <v>0</v>
      </c>
      <c r="I351" s="50">
        <f>IF(VLOOKUP($D351,$C$5:$AA$493,7,)=0,0,((VLOOKUP($D351,$C$5:$AA$493,7,)/VLOOKUP($D351,$C$5:$AA$493,4,))*$F351))</f>
        <v>0</v>
      </c>
      <c r="J351" s="50"/>
      <c r="K351" s="50">
        <f>IF(VLOOKUP($D351,$C$5:$AA$493,9,)=0,0,((VLOOKUP($D351,$C$5:$AA$493,9,)/VLOOKUP($D351,$C$5:$AA$493,4,))*$F351))</f>
        <v>0</v>
      </c>
      <c r="L351" s="50"/>
      <c r="M351" s="50">
        <f>IF(VLOOKUP($D351,$C$5:$AA$493,11,)=0,0,((VLOOKUP($D351,$C$5:$AA$493,11,)/VLOOKUP($D351,$C$5:$AA$493,4,))*$F351))</f>
        <v>0</v>
      </c>
      <c r="N351" s="50"/>
      <c r="O351" s="50">
        <f>IF(VLOOKUP($D351,$C$5:$AA$493,13,)=0,0,((VLOOKUP($D351,$C$5:$AA$493,13,)/VLOOKUP($D351,$C$5:$AA$493,4,))*$F351))</f>
        <v>0</v>
      </c>
      <c r="P351" s="50">
        <f>IF(VLOOKUP($D351,$C$5:$AA$493,14,)=0,0,((VLOOKUP($D351,$C$5:$AA$493,14,)/VLOOKUP($D351,$C$5:$AA$493,4,))*$F351))</f>
        <v>0</v>
      </c>
      <c r="Q351" s="50"/>
      <c r="R351" s="50">
        <f>IF(VLOOKUP($D351,$C$5:$AA$493,16,)=0,0,((VLOOKUP($D351,$C$5:$AA$493,16,)/VLOOKUP($D351,$C$5:$AA$493,4,))*$F351))</f>
        <v>0</v>
      </c>
      <c r="S351" s="50">
        <f>IF(VLOOKUP($D351,$C$5:$AA$493,17,)=0,0,((VLOOKUP($D351,$C$5:$AA$493,17,)/VLOOKUP($D351,$C$5:$AA$493,4,))*$F351))</f>
        <v>0</v>
      </c>
      <c r="T351" s="50"/>
      <c r="U351" s="50">
        <f>IF(VLOOKUP($D351,$C$5:$AA$493,19,)=0,0,((VLOOKUP($D351,$C$5:$AA$493,19,)/VLOOKUP($D351,$C$5:$AA$493,4,))*$F351))</f>
        <v>0</v>
      </c>
      <c r="V351" s="50"/>
      <c r="W351" s="50">
        <f>IF(VLOOKUP($D351,$C$5:$AA$493,21,)=0,0,((VLOOKUP($D351,$C$5:$AA$493,21,)/VLOOKUP($D351,$C$5:$AA$493,4,))*$F351))</f>
        <v>0</v>
      </c>
      <c r="X351" s="50"/>
      <c r="Y351" s="50">
        <f>IF(VLOOKUP($D351,$C$5:$AA$493,23,)=0,0,((VLOOKUP($D351,$C$5:$AA$493,23,)/VLOOKUP($D351,$C$5:$AA$493,4,))*$F351))</f>
        <v>0</v>
      </c>
      <c r="Z351" s="50"/>
      <c r="AA351" s="50">
        <f>IF(VLOOKUP($D351,$C$5:$AA$493,25,)=0,0,((VLOOKUP($D351,$C$5:$AA$493,25,)/VLOOKUP($D351,$C$5:$AA$493,4,))*$F351))</f>
        <v>0</v>
      </c>
      <c r="AB351" s="50">
        <f>SUM(H351:AA351)</f>
        <v>0</v>
      </c>
      <c r="AC351" s="30" t="str">
        <f>IF(ABS(AB351-F351)&lt;1,"ok","err")</f>
        <v>ok</v>
      </c>
    </row>
    <row r="352" spans="1:29" x14ac:dyDescent="0.2">
      <c r="A352" s="14">
        <v>514</v>
      </c>
      <c r="B352" s="14" t="s">
        <v>805</v>
      </c>
      <c r="C352" s="14" t="s">
        <v>854</v>
      </c>
      <c r="D352" s="14" t="s">
        <v>552</v>
      </c>
      <c r="F352" s="234">
        <v>0</v>
      </c>
      <c r="G352" s="50"/>
      <c r="H352" s="50">
        <f>IF(VLOOKUP($D352,$C$5:$AA$493,6,)=0,0,((VLOOKUP($D352,$C$5:$AA$493,6,)/VLOOKUP($D352,$C$5:$AA$493,4,))*$F352))</f>
        <v>0</v>
      </c>
      <c r="I352" s="50">
        <f>IF(VLOOKUP($D352,$C$5:$AA$493,7,)=0,0,((VLOOKUP($D352,$C$5:$AA$493,7,)/VLOOKUP($D352,$C$5:$AA$493,4,))*$F352))</f>
        <v>0</v>
      </c>
      <c r="J352" s="50"/>
      <c r="K352" s="50">
        <f>IF(VLOOKUP($D352,$C$5:$AA$493,9,)=0,0,((VLOOKUP($D352,$C$5:$AA$493,9,)/VLOOKUP($D352,$C$5:$AA$493,4,))*$F352))</f>
        <v>0</v>
      </c>
      <c r="L352" s="50"/>
      <c r="M352" s="50">
        <f>IF(VLOOKUP($D352,$C$5:$AA$493,11,)=0,0,((VLOOKUP($D352,$C$5:$AA$493,11,)/VLOOKUP($D352,$C$5:$AA$493,4,))*$F352))</f>
        <v>0</v>
      </c>
      <c r="N352" s="50"/>
      <c r="O352" s="50">
        <f>IF(VLOOKUP($D352,$C$5:$AA$493,13,)=0,0,((VLOOKUP($D352,$C$5:$AA$493,13,)/VLOOKUP($D352,$C$5:$AA$493,4,))*$F352))</f>
        <v>0</v>
      </c>
      <c r="P352" s="50">
        <f>IF(VLOOKUP($D352,$C$5:$AA$493,14,)=0,0,((VLOOKUP($D352,$C$5:$AA$493,14,)/VLOOKUP($D352,$C$5:$AA$493,4,))*$F352))</f>
        <v>0</v>
      </c>
      <c r="Q352" s="50"/>
      <c r="R352" s="50">
        <f>IF(VLOOKUP($D352,$C$5:$AA$493,16,)=0,0,((VLOOKUP($D352,$C$5:$AA$493,16,)/VLOOKUP($D352,$C$5:$AA$493,4,))*$F352))</f>
        <v>0</v>
      </c>
      <c r="S352" s="50">
        <f>IF(VLOOKUP($D352,$C$5:$AA$493,17,)=0,0,((VLOOKUP($D352,$C$5:$AA$493,17,)/VLOOKUP($D352,$C$5:$AA$493,4,))*$F352))</f>
        <v>0</v>
      </c>
      <c r="T352" s="50"/>
      <c r="U352" s="50">
        <f>IF(VLOOKUP($D352,$C$5:$AA$493,19,)=0,0,((VLOOKUP($D352,$C$5:$AA$493,19,)/VLOOKUP($D352,$C$5:$AA$493,4,))*$F352))</f>
        <v>0</v>
      </c>
      <c r="V352" s="50"/>
      <c r="W352" s="50">
        <f>IF(VLOOKUP($D352,$C$5:$AA$493,21,)=0,0,((VLOOKUP($D352,$C$5:$AA$493,21,)/VLOOKUP($D352,$C$5:$AA$493,4,))*$F352))</f>
        <v>0</v>
      </c>
      <c r="X352" s="50"/>
      <c r="Y352" s="50">
        <f>IF(VLOOKUP($D352,$C$5:$AA$493,23,)=0,0,((VLOOKUP($D352,$C$5:$AA$493,23,)/VLOOKUP($D352,$C$5:$AA$493,4,))*$F352))</f>
        <v>0</v>
      </c>
      <c r="Z352" s="50"/>
      <c r="AA352" s="50">
        <f>IF(VLOOKUP($D352,$C$5:$AA$493,25,)=0,0,((VLOOKUP($D352,$C$5:$AA$493,25,)/VLOOKUP($D352,$C$5:$AA$493,4,))*$F352))</f>
        <v>0</v>
      </c>
      <c r="AB352" s="50">
        <f>SUM(H352:AA352)</f>
        <v>0</v>
      </c>
      <c r="AC352" s="30" t="str">
        <f>IF(ABS(AB352-F352)&lt;1,"ok","err")</f>
        <v>ok</v>
      </c>
    </row>
    <row r="353" spans="1:29" x14ac:dyDescent="0.2"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30"/>
    </row>
    <row r="354" spans="1:29" x14ac:dyDescent="0.2">
      <c r="A354" s="14" t="s">
        <v>790</v>
      </c>
      <c r="C354" s="14" t="s">
        <v>855</v>
      </c>
      <c r="F354" s="233">
        <f>SUM(F348:F353)</f>
        <v>0</v>
      </c>
      <c r="G354" s="66"/>
      <c r="H354" s="66">
        <f>SUM(H348:H353)</f>
        <v>0</v>
      </c>
      <c r="I354" s="66">
        <f>SUM(I348:I353)</f>
        <v>0</v>
      </c>
      <c r="J354" s="66"/>
      <c r="K354" s="66">
        <f>SUM(K348:K353)</f>
        <v>0</v>
      </c>
      <c r="L354" s="66"/>
      <c r="M354" s="66">
        <f>SUM(M348:M353)</f>
        <v>0</v>
      </c>
      <c r="N354" s="66"/>
      <c r="O354" s="66">
        <f>SUM(O348:O353)</f>
        <v>0</v>
      </c>
      <c r="P354" s="66">
        <f>SUM(P348:P353)</f>
        <v>0</v>
      </c>
      <c r="Q354" s="66"/>
      <c r="R354" s="66">
        <f>SUM(R348:R353)</f>
        <v>0</v>
      </c>
      <c r="S354" s="66">
        <f>SUM(S348:S353)</f>
        <v>0</v>
      </c>
      <c r="T354" s="66"/>
      <c r="U354" s="66">
        <f>SUM(U348:U353)</f>
        <v>0</v>
      </c>
      <c r="V354" s="66"/>
      <c r="W354" s="66">
        <f>SUM(W348:W353)</f>
        <v>0</v>
      </c>
      <c r="X354" s="66"/>
      <c r="Y354" s="66">
        <f>SUM(Y348:Y353)</f>
        <v>0</v>
      </c>
      <c r="Z354" s="66"/>
      <c r="AA354" s="66">
        <f>SUM(AA348:AA353)</f>
        <v>0</v>
      </c>
      <c r="AB354" s="50">
        <f>SUM(H354:AA354)</f>
        <v>0</v>
      </c>
      <c r="AC354" s="30" t="str">
        <f>IF(ABS(AB354-F354)&lt;1,"ok","err")</f>
        <v>ok</v>
      </c>
    </row>
    <row r="355" spans="1:29" x14ac:dyDescent="0.2">
      <c r="F355" s="234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C355" s="30"/>
    </row>
    <row r="356" spans="1:29" x14ac:dyDescent="0.2">
      <c r="A356" s="14" t="s">
        <v>791</v>
      </c>
      <c r="C356" s="14" t="s">
        <v>856</v>
      </c>
      <c r="F356" s="234">
        <f>F345+F354</f>
        <v>0</v>
      </c>
      <c r="G356" s="50"/>
      <c r="H356" s="50">
        <f>H345+H354</f>
        <v>0</v>
      </c>
      <c r="I356" s="50">
        <f>I345+I354</f>
        <v>0</v>
      </c>
      <c r="J356" s="50"/>
      <c r="K356" s="50">
        <f>K345+K354</f>
        <v>0</v>
      </c>
      <c r="L356" s="50"/>
      <c r="M356" s="50">
        <f>M345+M354</f>
        <v>0</v>
      </c>
      <c r="N356" s="50"/>
      <c r="O356" s="50">
        <f>O345+O354</f>
        <v>0</v>
      </c>
      <c r="P356" s="50">
        <f>P345+P354</f>
        <v>0</v>
      </c>
      <c r="Q356" s="50"/>
      <c r="R356" s="50">
        <f>R345+R354</f>
        <v>0</v>
      </c>
      <c r="S356" s="50">
        <f>S345+S354</f>
        <v>0</v>
      </c>
      <c r="T356" s="50"/>
      <c r="U356" s="50">
        <f>U345+U354</f>
        <v>0</v>
      </c>
      <c r="V356" s="50"/>
      <c r="W356" s="50">
        <f>W345+W354</f>
        <v>0</v>
      </c>
      <c r="X356" s="50"/>
      <c r="Y356" s="50">
        <f>Y345+Y354</f>
        <v>0</v>
      </c>
      <c r="Z356" s="50"/>
      <c r="AA356" s="50">
        <f>AA345+AA354</f>
        <v>0</v>
      </c>
      <c r="AB356" s="50">
        <f>SUM(H356:AA356)</f>
        <v>0</v>
      </c>
      <c r="AC356" s="30" t="str">
        <f>IF(ABS(AB356-F356)&lt;1,"ok","err")</f>
        <v>ok</v>
      </c>
    </row>
    <row r="357" spans="1:29" x14ac:dyDescent="0.2">
      <c r="A357" s="28"/>
      <c r="Q357" s="14"/>
      <c r="AC357" s="30"/>
    </row>
    <row r="358" spans="1:29" x14ac:dyDescent="0.2">
      <c r="A358" s="28"/>
      <c r="Q358" s="14"/>
      <c r="AC358" s="30"/>
    </row>
    <row r="359" spans="1:29" x14ac:dyDescent="0.2">
      <c r="A359" s="28" t="s">
        <v>473</v>
      </c>
      <c r="Q359" s="14"/>
      <c r="AC359" s="30"/>
    </row>
    <row r="360" spans="1:29" x14ac:dyDescent="0.2">
      <c r="A360" s="28"/>
      <c r="Q360" s="14"/>
      <c r="AC360" s="30"/>
    </row>
    <row r="361" spans="1:29" x14ac:dyDescent="0.2">
      <c r="A361" s="13" t="s">
        <v>96</v>
      </c>
      <c r="Q361" s="14"/>
      <c r="AC361" s="30"/>
    </row>
    <row r="362" spans="1:29" x14ac:dyDescent="0.2">
      <c r="A362" s="14">
        <v>555</v>
      </c>
      <c r="B362" s="14" t="s">
        <v>379</v>
      </c>
      <c r="C362" s="14" t="s">
        <v>530</v>
      </c>
      <c r="D362" s="14" t="s">
        <v>97</v>
      </c>
      <c r="F362" s="233">
        <v>0</v>
      </c>
      <c r="G362" s="66"/>
      <c r="H362" s="50">
        <f>IF(VLOOKUP($D362,$C$5:$AA$493,6,)=0,0,((VLOOKUP($D362,$C$5:$AA$493,6,)/VLOOKUP($D362,$C$5:$AA$493,4,))*$F362))</f>
        <v>0</v>
      </c>
      <c r="I362" s="50">
        <f>IF(VLOOKUP($D362,$C$5:$AA$493,7,)=0,0,((VLOOKUP($D362,$C$5:$AA$493,7,)/VLOOKUP($D362,$C$5:$AA$493,4,))*$F362))</f>
        <v>0</v>
      </c>
      <c r="J362" s="50"/>
      <c r="K362" s="50">
        <f>IF(VLOOKUP($D362,$C$5:$AA$493,9,)=0,0,((VLOOKUP($D362,$C$5:$AA$493,9,)/VLOOKUP($D362,$C$5:$AA$493,4,))*$F362))</f>
        <v>0</v>
      </c>
      <c r="L362" s="50"/>
      <c r="M362" s="50">
        <f>IF(VLOOKUP($D362,$C$5:$AA$493,11,)=0,0,((VLOOKUP($D362,$C$5:$AA$493,11,)/VLOOKUP($D362,$C$5:$AA$493,4,))*$F362))</f>
        <v>0</v>
      </c>
      <c r="N362" s="50"/>
      <c r="O362" s="50">
        <f>IF(VLOOKUP($D362,$C$5:$AA$493,13,)=0,0,((VLOOKUP($D362,$C$5:$AA$493,13,)/VLOOKUP($D362,$C$5:$AA$493,4,))*$F362))</f>
        <v>0</v>
      </c>
      <c r="P362" s="50">
        <f>IF(VLOOKUP($D362,$C$5:$AA$493,14,)=0,0,((VLOOKUP($D362,$C$5:$AA$493,14,)/VLOOKUP($D362,$C$5:$AA$493,4,))*$F362))</f>
        <v>0</v>
      </c>
      <c r="Q362" s="50"/>
      <c r="R362" s="50">
        <f>IF(VLOOKUP($D362,$C$5:$AA$493,16,)=0,0,((VLOOKUP($D362,$C$5:$AA$493,16,)/VLOOKUP($D362,$C$5:$AA$493,4,))*$F362))</f>
        <v>0</v>
      </c>
      <c r="S362" s="50">
        <f>IF(VLOOKUP($D362,$C$5:$AA$493,17,)=0,0,((VLOOKUP($D362,$C$5:$AA$493,17,)/VLOOKUP($D362,$C$5:$AA$493,4,))*$F362))</f>
        <v>0</v>
      </c>
      <c r="T362" s="50"/>
      <c r="U362" s="50">
        <f>IF(VLOOKUP($D362,$C$5:$AA$493,19,)=0,0,((VLOOKUP($D362,$C$5:$AA$493,19,)/VLOOKUP($D362,$C$5:$AA$493,4,))*$F362))</f>
        <v>0</v>
      </c>
      <c r="V362" s="50"/>
      <c r="W362" s="50">
        <f>IF(VLOOKUP($D362,$C$5:$AA$493,21,)=0,0,((VLOOKUP($D362,$C$5:$AA$493,21,)/VLOOKUP($D362,$C$5:$AA$493,4,))*$F362))</f>
        <v>0</v>
      </c>
      <c r="X362" s="50"/>
      <c r="Y362" s="50">
        <f>IF(VLOOKUP($D362,$C$5:$AA$493,23,)=0,0,((VLOOKUP($D362,$C$5:$AA$493,23,)/VLOOKUP($D362,$C$5:$AA$493,4,))*$F362))</f>
        <v>0</v>
      </c>
      <c r="Z362" s="50"/>
      <c r="AA362" s="50">
        <f>IF(VLOOKUP($D362,$C$5:$AA$493,25,)=0,0,((VLOOKUP($D362,$C$5:$AA$493,25,)/VLOOKUP($D362,$C$5:$AA$493,4,))*$F362))</f>
        <v>0</v>
      </c>
      <c r="AB362" s="50">
        <f>SUM(H362:AA362)</f>
        <v>0</v>
      </c>
      <c r="AC362" s="30" t="str">
        <f>IF(ABS(AB362-F362)&lt;1,"ok","err")</f>
        <v>ok</v>
      </c>
    </row>
    <row r="363" spans="1:29" x14ac:dyDescent="0.2">
      <c r="A363" s="14">
        <v>557</v>
      </c>
      <c r="B363" s="14" t="s">
        <v>398</v>
      </c>
      <c r="C363" s="14" t="s">
        <v>475</v>
      </c>
      <c r="D363" s="14" t="s">
        <v>97</v>
      </c>
      <c r="F363" s="234"/>
      <c r="G363" s="50"/>
      <c r="H363" s="50">
        <f>IF(VLOOKUP($D363,$C$5:$AA$493,6,)=0,0,((VLOOKUP($D363,$C$5:$AA$493,6,)/VLOOKUP($D363,$C$5:$AA$493,4,))*$F363))</f>
        <v>0</v>
      </c>
      <c r="I363" s="50">
        <f>IF(VLOOKUP($D363,$C$5:$AA$493,7,)=0,0,((VLOOKUP($D363,$C$5:$AA$493,7,)/VLOOKUP($D363,$C$5:$AA$493,4,))*$F363))</f>
        <v>0</v>
      </c>
      <c r="J363" s="50"/>
      <c r="K363" s="50">
        <f>IF(VLOOKUP($D363,$C$5:$AA$493,9,)=0,0,((VLOOKUP($D363,$C$5:$AA$493,9,)/VLOOKUP($D363,$C$5:$AA$493,4,))*$F363))</f>
        <v>0</v>
      </c>
      <c r="L363" s="50"/>
      <c r="M363" s="50">
        <f>IF(VLOOKUP($D363,$C$5:$AA$493,11,)=0,0,((VLOOKUP($D363,$C$5:$AA$493,11,)/VLOOKUP($D363,$C$5:$AA$493,4,))*$F363))</f>
        <v>0</v>
      </c>
      <c r="N363" s="50"/>
      <c r="O363" s="50">
        <f>IF(VLOOKUP($D363,$C$5:$AA$493,13,)=0,0,((VLOOKUP($D363,$C$5:$AA$493,13,)/VLOOKUP($D363,$C$5:$AA$493,4,))*$F363))</f>
        <v>0</v>
      </c>
      <c r="P363" s="50">
        <f>IF(VLOOKUP($D363,$C$5:$AA$493,14,)=0,0,((VLOOKUP($D363,$C$5:$AA$493,14,)/VLOOKUP($D363,$C$5:$AA$493,4,))*$F363))</f>
        <v>0</v>
      </c>
      <c r="Q363" s="50"/>
      <c r="R363" s="50">
        <f>IF(VLOOKUP($D363,$C$5:$AA$493,16,)=0,0,((VLOOKUP($D363,$C$5:$AA$493,16,)/VLOOKUP($D363,$C$5:$AA$493,4,))*$F363))</f>
        <v>0</v>
      </c>
      <c r="S363" s="50">
        <f>IF(VLOOKUP($D363,$C$5:$AA$493,17,)=0,0,((VLOOKUP($D363,$C$5:$AA$493,17,)/VLOOKUP($D363,$C$5:$AA$493,4,))*$F363))</f>
        <v>0</v>
      </c>
      <c r="T363" s="50"/>
      <c r="U363" s="50">
        <f>IF(VLOOKUP($D363,$C$5:$AA$493,19,)=0,0,((VLOOKUP($D363,$C$5:$AA$493,19,)/VLOOKUP($D363,$C$5:$AA$493,4,))*$F363))</f>
        <v>0</v>
      </c>
      <c r="V363" s="50"/>
      <c r="W363" s="50">
        <f>IF(VLOOKUP($D363,$C$5:$AA$493,21,)=0,0,((VLOOKUP($D363,$C$5:$AA$493,21,)/VLOOKUP($D363,$C$5:$AA$493,4,))*$F363))</f>
        <v>0</v>
      </c>
      <c r="X363" s="50"/>
      <c r="Y363" s="50">
        <f>IF(VLOOKUP($D363,$C$5:$AA$493,23,)=0,0,((VLOOKUP($D363,$C$5:$AA$493,23,)/VLOOKUP($D363,$C$5:$AA$493,4,))*$F363))</f>
        <v>0</v>
      </c>
      <c r="Z363" s="50"/>
      <c r="AA363" s="50">
        <f>IF(VLOOKUP($D363,$C$5:$AA$493,25,)=0,0,((VLOOKUP($D363,$C$5:$AA$493,25,)/VLOOKUP($D363,$C$5:$AA$493,4,))*$F363))</f>
        <v>0</v>
      </c>
      <c r="AB363" s="50">
        <f>SUM(H363:AA363)</f>
        <v>0</v>
      </c>
      <c r="AC363" s="30" t="str">
        <f>IF(ABS(AB363-F363)&lt;1,"ok","err")</f>
        <v>ok</v>
      </c>
    </row>
    <row r="364" spans="1:29" x14ac:dyDescent="0.2">
      <c r="F364" s="234"/>
      <c r="G364" s="50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50"/>
      <c r="AC364" s="30"/>
    </row>
    <row r="365" spans="1:29" x14ac:dyDescent="0.2">
      <c r="B365" s="14" t="s">
        <v>532</v>
      </c>
      <c r="C365" s="14" t="s">
        <v>474</v>
      </c>
      <c r="F365" s="233">
        <f>SUM(F362:F364)</f>
        <v>0</v>
      </c>
      <c r="G365" s="66"/>
      <c r="H365" s="66">
        <f>SUM(H362:H364)</f>
        <v>0</v>
      </c>
      <c r="I365" s="66">
        <f>SUM(I362:I364)</f>
        <v>0</v>
      </c>
      <c r="J365" s="66"/>
      <c r="K365" s="66">
        <f>SUM(K362:K364)</f>
        <v>0</v>
      </c>
      <c r="L365" s="66"/>
      <c r="M365" s="66">
        <f>SUM(M362:M364)</f>
        <v>0</v>
      </c>
      <c r="N365" s="66"/>
      <c r="O365" s="66">
        <f>SUM(O362:O364)</f>
        <v>0</v>
      </c>
      <c r="P365" s="66">
        <f>SUM(P362:P364)</f>
        <v>0</v>
      </c>
      <c r="Q365" s="66"/>
      <c r="R365" s="66">
        <f>SUM(R362:R364)</f>
        <v>0</v>
      </c>
      <c r="S365" s="66">
        <f>SUM(S362:S364)</f>
        <v>0</v>
      </c>
      <c r="T365" s="66"/>
      <c r="U365" s="66">
        <f>SUM(U362:U364)</f>
        <v>0</v>
      </c>
      <c r="V365" s="66"/>
      <c r="W365" s="66">
        <f>SUM(W362:W364)</f>
        <v>0</v>
      </c>
      <c r="X365" s="66"/>
      <c r="Y365" s="66">
        <f>SUM(Y362:Y364)</f>
        <v>0</v>
      </c>
      <c r="Z365" s="66"/>
      <c r="AA365" s="66">
        <f>SUM(AA362:AA364)</f>
        <v>0</v>
      </c>
      <c r="AB365" s="50">
        <f>SUM(H365:AA365)</f>
        <v>0</v>
      </c>
      <c r="AC365" s="30" t="str">
        <f>IF(ABS(AB365-F365)&lt;1,"ok","err")</f>
        <v>ok</v>
      </c>
    </row>
    <row r="366" spans="1:29" x14ac:dyDescent="0.2">
      <c r="F366" s="233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50"/>
      <c r="AC366" s="30"/>
    </row>
    <row r="367" spans="1:29" x14ac:dyDescent="0.2">
      <c r="A367" s="13" t="s">
        <v>534</v>
      </c>
      <c r="F367" s="233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50"/>
      <c r="AC367" s="30"/>
    </row>
    <row r="368" spans="1:29" x14ac:dyDescent="0.2">
      <c r="A368" s="14">
        <v>560</v>
      </c>
      <c r="B368" s="14" t="s">
        <v>374</v>
      </c>
      <c r="C368" s="14" t="s">
        <v>531</v>
      </c>
      <c r="D368" s="14" t="s">
        <v>390</v>
      </c>
      <c r="F368" s="233">
        <v>0</v>
      </c>
      <c r="G368" s="66"/>
      <c r="H368" s="50">
        <f t="shared" ref="H368:H375" si="200">IF((VLOOKUP($D368,$C$5:$AA$493,6,)=0),0,((VLOOKUP($D368,$C$5:$AA$493,6,)/VLOOKUP($D368,$C$5:$AA$493,4,))*$F368))</f>
        <v>0</v>
      </c>
      <c r="I368" s="50">
        <f t="shared" ref="I368:I375" si="201">IF((VLOOKUP($D368,$C$5:$AA$493,7,)=0),0,((VLOOKUP($D368,$C$5:$AA$493,7,)/VLOOKUP($D368,$C$5:$AA$493,4,))*$F368))</f>
        <v>0</v>
      </c>
      <c r="J368" s="50"/>
      <c r="K368" s="50">
        <f t="shared" ref="K368:K375" si="202">IF((VLOOKUP($D368,$C$5:$AA$493,9,)=0),0,((VLOOKUP($D368,$C$5:$AA$493,9,)/VLOOKUP($D368,$C$5:$AA$493,4,))*$F368))</f>
        <v>0</v>
      </c>
      <c r="L368" s="50"/>
      <c r="M368" s="50">
        <f t="shared" ref="M368:M375" si="203">IF((VLOOKUP($D368,$C$5:$AA$493,11,)=0),0,((VLOOKUP($D368,$C$5:$AA$493,11,)/VLOOKUP($D368,$C$5:$AA$493,4,))*$F368))</f>
        <v>0</v>
      </c>
      <c r="N368" s="50"/>
      <c r="O368" s="50">
        <f t="shared" ref="O368:O375" si="204">IF((VLOOKUP($D368,$C$5:$AA$493,13,)=0),0,((VLOOKUP($D368,$C$5:$AA$493,13,)/VLOOKUP($D368,$C$5:$AA$493,4,))*$F368))</f>
        <v>0</v>
      </c>
      <c r="P368" s="50">
        <f t="shared" ref="P368:P375" si="205">IF((VLOOKUP($D368,$C$5:$AA$493,14,)=0),0,((VLOOKUP($D368,$C$5:$AA$493,14,)/VLOOKUP($D368,$C$5:$AA$493,4,))*$F368))</f>
        <v>0</v>
      </c>
      <c r="Q368" s="50"/>
      <c r="R368" s="50">
        <f t="shared" ref="R368:R375" si="206">IF((VLOOKUP($D368,$C$5:$AA$493,16,)=0),0,((VLOOKUP($D368,$C$5:$AA$493,16,)/VLOOKUP($D368,$C$5:$AA$493,4,))*$F368))</f>
        <v>0</v>
      </c>
      <c r="S368" s="50">
        <f t="shared" ref="S368:S375" si="207">IF((VLOOKUP($D368,$C$5:$AA$493,17,)=0),0,((VLOOKUP($D368,$C$5:$AA$493,17,)/VLOOKUP($D368,$C$5:$AA$493,4,))*$F368))</f>
        <v>0</v>
      </c>
      <c r="T368" s="50"/>
      <c r="U368" s="50">
        <f t="shared" ref="U368:U375" si="208">IF((VLOOKUP($D368,$C$5:$AA$493,19,)=0),0,((VLOOKUP($D368,$C$5:$AA$493,19,)/VLOOKUP($D368,$C$5:$AA$493,4,))*$F368))</f>
        <v>0</v>
      </c>
      <c r="V368" s="50"/>
      <c r="W368" s="50">
        <f t="shared" ref="W368:W375" si="209">IF((VLOOKUP($D368,$C$5:$AA$493,21,)=0),0,((VLOOKUP($D368,$C$5:$AA$493,21,)/VLOOKUP($D368,$C$5:$AA$493,4,))*$F368))</f>
        <v>0</v>
      </c>
      <c r="X368" s="50"/>
      <c r="Y368" s="50">
        <f t="shared" ref="Y368:Y375" si="210">IF((VLOOKUP($D368,$C$5:$AA$493,23,)=0),0,((VLOOKUP($D368,$C$5:$AA$493,23,)/VLOOKUP($D368,$C$5:$AA$493,4,))*$F368))</f>
        <v>0</v>
      </c>
      <c r="Z368" s="50"/>
      <c r="AA368" s="50">
        <f t="shared" ref="AA368:AA375" si="211">IF((VLOOKUP($D368,$C$5:$AA$493,25,)=0),0,((VLOOKUP($D368,$C$5:$AA$493,25,)/VLOOKUP($D368,$C$5:$AA$493,4,))*$F368))</f>
        <v>0</v>
      </c>
      <c r="AB368" s="50">
        <f t="shared" ref="AB368:AB375" si="212">SUM(H368:AA368)</f>
        <v>0</v>
      </c>
      <c r="AC368" s="30" t="str">
        <f t="shared" ref="AC368:AC375" si="213">IF(ABS(AB368-F368)&lt;1,"ok","err")</f>
        <v>ok</v>
      </c>
    </row>
    <row r="369" spans="1:29" x14ac:dyDescent="0.2">
      <c r="A369" s="14">
        <v>561</v>
      </c>
      <c r="B369" s="14" t="s">
        <v>101</v>
      </c>
      <c r="C369" s="14" t="s">
        <v>476</v>
      </c>
      <c r="D369" s="14" t="s">
        <v>390</v>
      </c>
      <c r="F369" s="234">
        <v>0</v>
      </c>
      <c r="G369" s="50"/>
      <c r="H369" s="50">
        <f t="shared" si="200"/>
        <v>0</v>
      </c>
      <c r="I369" s="50">
        <f t="shared" si="201"/>
        <v>0</v>
      </c>
      <c r="J369" s="50"/>
      <c r="K369" s="50">
        <f t="shared" si="202"/>
        <v>0</v>
      </c>
      <c r="L369" s="50"/>
      <c r="M369" s="50">
        <f t="shared" si="203"/>
        <v>0</v>
      </c>
      <c r="N369" s="50"/>
      <c r="O369" s="50">
        <f t="shared" si="204"/>
        <v>0</v>
      </c>
      <c r="P369" s="50">
        <f t="shared" si="205"/>
        <v>0</v>
      </c>
      <c r="Q369" s="50"/>
      <c r="R369" s="50">
        <f t="shared" si="206"/>
        <v>0</v>
      </c>
      <c r="S369" s="50">
        <f t="shared" si="207"/>
        <v>0</v>
      </c>
      <c r="T369" s="50"/>
      <c r="U369" s="50">
        <f t="shared" si="208"/>
        <v>0</v>
      </c>
      <c r="V369" s="50"/>
      <c r="W369" s="50">
        <f t="shared" si="209"/>
        <v>0</v>
      </c>
      <c r="X369" s="50"/>
      <c r="Y369" s="50">
        <f t="shared" si="210"/>
        <v>0</v>
      </c>
      <c r="Z369" s="50"/>
      <c r="AA369" s="50">
        <f t="shared" si="211"/>
        <v>0</v>
      </c>
      <c r="AB369" s="50">
        <f t="shared" si="212"/>
        <v>0</v>
      </c>
      <c r="AC369" s="30" t="str">
        <f t="shared" si="213"/>
        <v>ok</v>
      </c>
    </row>
    <row r="370" spans="1:29" x14ac:dyDescent="0.2">
      <c r="A370" s="14">
        <v>562</v>
      </c>
      <c r="B370" s="14" t="s">
        <v>372</v>
      </c>
      <c r="C370" s="14" t="s">
        <v>477</v>
      </c>
      <c r="D370" s="14" t="s">
        <v>390</v>
      </c>
      <c r="F370" s="234">
        <v>0</v>
      </c>
      <c r="G370" s="50"/>
      <c r="H370" s="50">
        <f t="shared" si="200"/>
        <v>0</v>
      </c>
      <c r="I370" s="50">
        <f t="shared" si="201"/>
        <v>0</v>
      </c>
      <c r="J370" s="50"/>
      <c r="K370" s="50">
        <f t="shared" si="202"/>
        <v>0</v>
      </c>
      <c r="L370" s="50"/>
      <c r="M370" s="50">
        <f t="shared" si="203"/>
        <v>0</v>
      </c>
      <c r="N370" s="50"/>
      <c r="O370" s="50">
        <f t="shared" si="204"/>
        <v>0</v>
      </c>
      <c r="P370" s="50">
        <f t="shared" si="205"/>
        <v>0</v>
      </c>
      <c r="Q370" s="50"/>
      <c r="R370" s="50">
        <f t="shared" si="206"/>
        <v>0</v>
      </c>
      <c r="S370" s="50">
        <f t="shared" si="207"/>
        <v>0</v>
      </c>
      <c r="T370" s="50"/>
      <c r="U370" s="50">
        <f t="shared" si="208"/>
        <v>0</v>
      </c>
      <c r="V370" s="50"/>
      <c r="W370" s="50">
        <f t="shared" si="209"/>
        <v>0</v>
      </c>
      <c r="X370" s="50"/>
      <c r="Y370" s="50">
        <f t="shared" si="210"/>
        <v>0</v>
      </c>
      <c r="Z370" s="50"/>
      <c r="AA370" s="50">
        <f t="shared" si="211"/>
        <v>0</v>
      </c>
      <c r="AB370" s="50">
        <f t="shared" si="212"/>
        <v>0</v>
      </c>
      <c r="AC370" s="30" t="str">
        <f t="shared" si="213"/>
        <v>ok</v>
      </c>
    </row>
    <row r="371" spans="1:29" x14ac:dyDescent="0.2">
      <c r="A371" s="14">
        <v>563</v>
      </c>
      <c r="B371" s="14" t="s">
        <v>103</v>
      </c>
      <c r="C371" s="14" t="s">
        <v>478</v>
      </c>
      <c r="D371" s="14" t="s">
        <v>390</v>
      </c>
      <c r="F371" s="234">
        <v>0</v>
      </c>
      <c r="G371" s="50"/>
      <c r="H371" s="50">
        <f t="shared" si="200"/>
        <v>0</v>
      </c>
      <c r="I371" s="50">
        <f t="shared" si="201"/>
        <v>0</v>
      </c>
      <c r="J371" s="50"/>
      <c r="K371" s="50">
        <f t="shared" si="202"/>
        <v>0</v>
      </c>
      <c r="L371" s="50"/>
      <c r="M371" s="50">
        <f t="shared" si="203"/>
        <v>0</v>
      </c>
      <c r="N371" s="50"/>
      <c r="O371" s="50">
        <f t="shared" si="204"/>
        <v>0</v>
      </c>
      <c r="P371" s="50">
        <f t="shared" si="205"/>
        <v>0</v>
      </c>
      <c r="Q371" s="50"/>
      <c r="R371" s="50">
        <f t="shared" si="206"/>
        <v>0</v>
      </c>
      <c r="S371" s="50">
        <f t="shared" si="207"/>
        <v>0</v>
      </c>
      <c r="T371" s="50"/>
      <c r="U371" s="50">
        <f t="shared" si="208"/>
        <v>0</v>
      </c>
      <c r="V371" s="50"/>
      <c r="W371" s="50">
        <f t="shared" si="209"/>
        <v>0</v>
      </c>
      <c r="X371" s="50"/>
      <c r="Y371" s="50">
        <f t="shared" si="210"/>
        <v>0</v>
      </c>
      <c r="Z371" s="50"/>
      <c r="AA371" s="50">
        <f t="shared" si="211"/>
        <v>0</v>
      </c>
      <c r="AB371" s="50">
        <f t="shared" si="212"/>
        <v>0</v>
      </c>
      <c r="AC371" s="30" t="str">
        <f t="shared" si="213"/>
        <v>ok</v>
      </c>
    </row>
    <row r="372" spans="1:29" x14ac:dyDescent="0.2">
      <c r="A372" s="14">
        <v>566</v>
      </c>
      <c r="B372" s="14" t="s">
        <v>585</v>
      </c>
      <c r="C372" s="14" t="s">
        <v>589</v>
      </c>
      <c r="D372" s="14" t="s">
        <v>390</v>
      </c>
      <c r="F372" s="234">
        <v>0</v>
      </c>
      <c r="G372" s="50"/>
      <c r="H372" s="50">
        <f t="shared" si="200"/>
        <v>0</v>
      </c>
      <c r="I372" s="50">
        <f t="shared" si="201"/>
        <v>0</v>
      </c>
      <c r="J372" s="50"/>
      <c r="K372" s="50">
        <f t="shared" si="202"/>
        <v>0</v>
      </c>
      <c r="L372" s="50"/>
      <c r="M372" s="50">
        <f t="shared" si="203"/>
        <v>0</v>
      </c>
      <c r="N372" s="50"/>
      <c r="O372" s="50">
        <f t="shared" si="204"/>
        <v>0</v>
      </c>
      <c r="P372" s="50">
        <f t="shared" si="205"/>
        <v>0</v>
      </c>
      <c r="Q372" s="50"/>
      <c r="R372" s="50">
        <f t="shared" si="206"/>
        <v>0</v>
      </c>
      <c r="S372" s="50">
        <f t="shared" si="207"/>
        <v>0</v>
      </c>
      <c r="T372" s="50"/>
      <c r="U372" s="50">
        <f t="shared" si="208"/>
        <v>0</v>
      </c>
      <c r="V372" s="50"/>
      <c r="W372" s="50">
        <f t="shared" si="209"/>
        <v>0</v>
      </c>
      <c r="X372" s="50"/>
      <c r="Y372" s="50">
        <f t="shared" si="210"/>
        <v>0</v>
      </c>
      <c r="Z372" s="50"/>
      <c r="AA372" s="50">
        <f t="shared" si="211"/>
        <v>0</v>
      </c>
      <c r="AB372" s="50">
        <f>SUM(H372:AA372)</f>
        <v>0</v>
      </c>
      <c r="AC372" s="30" t="str">
        <f>IF(ABS(AB372-F372)&lt;1,"ok","err")</f>
        <v>ok</v>
      </c>
    </row>
    <row r="373" spans="1:29" x14ac:dyDescent="0.2">
      <c r="A373" s="14">
        <v>568</v>
      </c>
      <c r="B373" s="14" t="s">
        <v>373</v>
      </c>
      <c r="C373" s="14" t="s">
        <v>479</v>
      </c>
      <c r="D373" s="14" t="s">
        <v>390</v>
      </c>
      <c r="F373" s="234">
        <v>0</v>
      </c>
      <c r="G373" s="50"/>
      <c r="H373" s="50">
        <f t="shared" si="200"/>
        <v>0</v>
      </c>
      <c r="I373" s="50">
        <f t="shared" si="201"/>
        <v>0</v>
      </c>
      <c r="J373" s="50"/>
      <c r="K373" s="50">
        <f t="shared" si="202"/>
        <v>0</v>
      </c>
      <c r="L373" s="50"/>
      <c r="M373" s="50">
        <f t="shared" si="203"/>
        <v>0</v>
      </c>
      <c r="N373" s="50"/>
      <c r="O373" s="50">
        <f t="shared" si="204"/>
        <v>0</v>
      </c>
      <c r="P373" s="50">
        <f t="shared" si="205"/>
        <v>0</v>
      </c>
      <c r="Q373" s="50"/>
      <c r="R373" s="50">
        <f t="shared" si="206"/>
        <v>0</v>
      </c>
      <c r="S373" s="50">
        <f t="shared" si="207"/>
        <v>0</v>
      </c>
      <c r="T373" s="50"/>
      <c r="U373" s="50">
        <f t="shared" si="208"/>
        <v>0</v>
      </c>
      <c r="V373" s="50"/>
      <c r="W373" s="50">
        <f t="shared" si="209"/>
        <v>0</v>
      </c>
      <c r="X373" s="50"/>
      <c r="Y373" s="50">
        <f t="shared" si="210"/>
        <v>0</v>
      </c>
      <c r="Z373" s="50"/>
      <c r="AA373" s="50">
        <f t="shared" si="211"/>
        <v>0</v>
      </c>
      <c r="AB373" s="50">
        <f t="shared" si="212"/>
        <v>0</v>
      </c>
      <c r="AC373" s="30" t="str">
        <f t="shared" si="213"/>
        <v>ok</v>
      </c>
    </row>
    <row r="374" spans="1:29" x14ac:dyDescent="0.2">
      <c r="A374" s="14">
        <v>570</v>
      </c>
      <c r="B374" s="14" t="s">
        <v>375</v>
      </c>
      <c r="C374" s="14" t="s">
        <v>480</v>
      </c>
      <c r="D374" s="14" t="s">
        <v>390</v>
      </c>
      <c r="F374" s="234">
        <v>0</v>
      </c>
      <c r="G374" s="50"/>
      <c r="H374" s="50">
        <f t="shared" si="200"/>
        <v>0</v>
      </c>
      <c r="I374" s="50">
        <f t="shared" si="201"/>
        <v>0</v>
      </c>
      <c r="J374" s="50"/>
      <c r="K374" s="50">
        <f t="shared" si="202"/>
        <v>0</v>
      </c>
      <c r="L374" s="50"/>
      <c r="M374" s="50">
        <f t="shared" si="203"/>
        <v>0</v>
      </c>
      <c r="N374" s="50"/>
      <c r="O374" s="50">
        <f t="shared" si="204"/>
        <v>0</v>
      </c>
      <c r="P374" s="50">
        <f t="shared" si="205"/>
        <v>0</v>
      </c>
      <c r="Q374" s="50"/>
      <c r="R374" s="50">
        <f t="shared" si="206"/>
        <v>0</v>
      </c>
      <c r="S374" s="50">
        <f t="shared" si="207"/>
        <v>0</v>
      </c>
      <c r="T374" s="50"/>
      <c r="U374" s="50">
        <f t="shared" si="208"/>
        <v>0</v>
      </c>
      <c r="V374" s="50"/>
      <c r="W374" s="50">
        <f t="shared" si="209"/>
        <v>0</v>
      </c>
      <c r="X374" s="50"/>
      <c r="Y374" s="50">
        <f t="shared" si="210"/>
        <v>0</v>
      </c>
      <c r="Z374" s="50"/>
      <c r="AA374" s="50">
        <f t="shared" si="211"/>
        <v>0</v>
      </c>
      <c r="AB374" s="50">
        <f t="shared" si="212"/>
        <v>0</v>
      </c>
      <c r="AC374" s="30" t="str">
        <f t="shared" si="213"/>
        <v>ok</v>
      </c>
    </row>
    <row r="375" spans="1:29" x14ac:dyDescent="0.2">
      <c r="A375" s="14">
        <v>571</v>
      </c>
      <c r="B375" s="14" t="s">
        <v>376</v>
      </c>
      <c r="C375" s="14" t="s">
        <v>481</v>
      </c>
      <c r="D375" s="14" t="s">
        <v>390</v>
      </c>
      <c r="F375" s="234">
        <v>0</v>
      </c>
      <c r="G375" s="50"/>
      <c r="H375" s="50">
        <f t="shared" si="200"/>
        <v>0</v>
      </c>
      <c r="I375" s="50">
        <f t="shared" si="201"/>
        <v>0</v>
      </c>
      <c r="J375" s="50"/>
      <c r="K375" s="50">
        <f t="shared" si="202"/>
        <v>0</v>
      </c>
      <c r="L375" s="50"/>
      <c r="M375" s="50">
        <f t="shared" si="203"/>
        <v>0</v>
      </c>
      <c r="N375" s="50"/>
      <c r="O375" s="50">
        <f t="shared" si="204"/>
        <v>0</v>
      </c>
      <c r="P375" s="50">
        <f t="shared" si="205"/>
        <v>0</v>
      </c>
      <c r="Q375" s="50"/>
      <c r="R375" s="50">
        <f t="shared" si="206"/>
        <v>0</v>
      </c>
      <c r="S375" s="50">
        <f t="shared" si="207"/>
        <v>0</v>
      </c>
      <c r="T375" s="50"/>
      <c r="U375" s="50">
        <f t="shared" si="208"/>
        <v>0</v>
      </c>
      <c r="V375" s="50"/>
      <c r="W375" s="50">
        <f t="shared" si="209"/>
        <v>0</v>
      </c>
      <c r="X375" s="50"/>
      <c r="Y375" s="50">
        <f t="shared" si="210"/>
        <v>0</v>
      </c>
      <c r="Z375" s="50"/>
      <c r="AA375" s="50">
        <f t="shared" si="211"/>
        <v>0</v>
      </c>
      <c r="AB375" s="50">
        <f t="shared" si="212"/>
        <v>0</v>
      </c>
      <c r="AC375" s="30" t="str">
        <f t="shared" si="213"/>
        <v>ok</v>
      </c>
    </row>
    <row r="376" spans="1:29" x14ac:dyDescent="0.2">
      <c r="F376" s="233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50"/>
      <c r="AC376" s="30"/>
    </row>
    <row r="377" spans="1:29" x14ac:dyDescent="0.2">
      <c r="A377" s="14" t="s">
        <v>533</v>
      </c>
      <c r="F377" s="226">
        <f>SUM(F368:F375)</f>
        <v>0</v>
      </c>
      <c r="G377" s="93"/>
      <c r="H377" s="93">
        <f>SUM(H368:H375)</f>
        <v>0</v>
      </c>
      <c r="I377" s="93">
        <f>SUM(I368:I375)</f>
        <v>0</v>
      </c>
      <c r="J377" s="93"/>
      <c r="K377" s="93">
        <f>SUM(K368:K375)</f>
        <v>0</v>
      </c>
      <c r="L377" s="93"/>
      <c r="M377" s="93">
        <f>SUM(M368:M375)</f>
        <v>0</v>
      </c>
      <c r="N377" s="93"/>
      <c r="O377" s="93">
        <f>SUM(O368:O375)</f>
        <v>0</v>
      </c>
      <c r="P377" s="93">
        <f>SUM(P368:P375)</f>
        <v>0</v>
      </c>
      <c r="Q377" s="93"/>
      <c r="R377" s="93">
        <f>SUM(R368:R375)</f>
        <v>0</v>
      </c>
      <c r="S377" s="93">
        <f>SUM(S368:S375)</f>
        <v>0</v>
      </c>
      <c r="T377" s="93"/>
      <c r="U377" s="93">
        <f>SUM(U368:U375)</f>
        <v>0</v>
      </c>
      <c r="V377" s="93"/>
      <c r="W377" s="93">
        <f>SUM(W368:W375)</f>
        <v>0</v>
      </c>
      <c r="X377" s="93"/>
      <c r="Y377" s="93">
        <f>SUM(Y368:Y375)</f>
        <v>0</v>
      </c>
      <c r="Z377" s="93"/>
      <c r="AA377" s="93">
        <f>SUM(AA368:AA375)</f>
        <v>0</v>
      </c>
      <c r="AB377" s="66">
        <f>SUM(H377:AA377)</f>
        <v>0</v>
      </c>
      <c r="AC377" s="30" t="str">
        <f>IF(ABS(AB377-F377)&lt;1,"ok","err")</f>
        <v>ok</v>
      </c>
    </row>
    <row r="378" spans="1:29" x14ac:dyDescent="0.2">
      <c r="Q378" s="14"/>
      <c r="AC378" s="30"/>
    </row>
    <row r="379" spans="1:29" x14ac:dyDescent="0.2">
      <c r="A379" s="13" t="s">
        <v>535</v>
      </c>
      <c r="Q379" s="14"/>
      <c r="AC379" s="30"/>
    </row>
    <row r="380" spans="1:29" x14ac:dyDescent="0.2">
      <c r="A380" s="14">
        <v>580</v>
      </c>
      <c r="B380" s="14" t="s">
        <v>99</v>
      </c>
      <c r="C380" s="14" t="s">
        <v>482</v>
      </c>
      <c r="D380" s="14" t="s">
        <v>16</v>
      </c>
      <c r="F380" s="233">
        <v>123738.59999999999</v>
      </c>
      <c r="G380" s="193"/>
      <c r="H380" s="50">
        <f t="shared" ref="H380:H390" si="214">IF(VLOOKUP($D380,$C$5:$AA$493,6,)=0,0,((VLOOKUP($D380,$C$5:$AA$493,6,)/VLOOKUP($D380,$C$5:$AA$493,4,))*$F380))</f>
        <v>0</v>
      </c>
      <c r="I380" s="50">
        <f t="shared" ref="I380:I390" si="215">IF(VLOOKUP($D380,$C$5:$AA$493,7,)=0,0,((VLOOKUP($D380,$C$5:$AA$493,7,)/VLOOKUP($D380,$C$5:$AA$493,4,))*$F380))</f>
        <v>0</v>
      </c>
      <c r="J380" s="50"/>
      <c r="K380" s="50">
        <f t="shared" ref="K380:K390" si="216">IF(VLOOKUP($D380,$C$5:$AA$493,9,)=0,0,((VLOOKUP($D380,$C$5:$AA$493,9,)/VLOOKUP($D380,$C$5:$AA$493,4,))*$F380))</f>
        <v>0</v>
      </c>
      <c r="L380" s="50"/>
      <c r="M380" s="50">
        <f t="shared" ref="M380:M390" si="217">IF(VLOOKUP($D380,$C$5:$AA$493,11,)=0,0,((VLOOKUP($D380,$C$5:$AA$493,11,)/VLOOKUP($D380,$C$5:$AA$493,4,))*$F380))</f>
        <v>456.06898252661182</v>
      </c>
      <c r="N380" s="50"/>
      <c r="O380" s="50">
        <f t="shared" ref="O380:O390" si="218">IF(VLOOKUP($D380,$C$5:$AA$493,13,)=0,0,((VLOOKUP($D380,$C$5:$AA$493,13,)/VLOOKUP($D380,$C$5:$AA$493,4,))*$F380))</f>
        <v>60262.041054887603</v>
      </c>
      <c r="P380" s="50">
        <f t="shared" ref="P380:P390" si="219">IF(VLOOKUP($D380,$C$5:$AA$493,14,)=0,0,((VLOOKUP($D380,$C$5:$AA$493,14,)/VLOOKUP($D380,$C$5:$AA$493,4,))*$F380))</f>
        <v>33917.860237377587</v>
      </c>
      <c r="Q380" s="50"/>
      <c r="R380" s="50">
        <f t="shared" ref="R380:R390" si="220">IF(VLOOKUP($D380,$C$5:$AA$493,16,)=0,0,((VLOOKUP($D380,$C$5:$AA$493,16,)/VLOOKUP($D380,$C$5:$AA$493,4,))*$F380))</f>
        <v>0</v>
      </c>
      <c r="S380" s="50">
        <f t="shared" ref="S380:S390" si="221">IF(VLOOKUP($D380,$C$5:$AA$493,17,)=0,0,((VLOOKUP($D380,$C$5:$AA$493,17,)/VLOOKUP($D380,$C$5:$AA$493,4,))*$F380))</f>
        <v>15587.853055098989</v>
      </c>
      <c r="T380" s="50"/>
      <c r="U380" s="50">
        <f t="shared" ref="U380:U390" si="222">IF(VLOOKUP($D380,$C$5:$AA$493,19,)=0,0,((VLOOKUP($D380,$C$5:$AA$493,19,)/VLOOKUP($D380,$C$5:$AA$493,4,))*$F380))</f>
        <v>6782.2705839207656</v>
      </c>
      <c r="V380" s="50"/>
      <c r="W380" s="50">
        <f t="shared" ref="W380:W390" si="223">IF(VLOOKUP($D380,$C$5:$AA$493,21,)=0,0,((VLOOKUP($D380,$C$5:$AA$493,21,)/VLOOKUP($D380,$C$5:$AA$493,4,))*$F380))</f>
        <v>6732.5060861884549</v>
      </c>
      <c r="X380" s="50"/>
      <c r="Y380" s="50">
        <f t="shared" ref="Y380:Y390" si="224">IF(VLOOKUP($D380,$C$5:$AA$493,23,)=0,0,((VLOOKUP($D380,$C$5:$AA$493,23,)/VLOOKUP($D380,$C$5:$AA$493,4,))*$F380))</f>
        <v>0</v>
      </c>
      <c r="Z380" s="50"/>
      <c r="AA380" s="50">
        <f t="shared" ref="AA380:AA390" si="225">IF(VLOOKUP($D380,$C$5:$AA$493,25,)=0,0,((VLOOKUP($D380,$C$5:$AA$493,25,)/VLOOKUP($D380,$C$5:$AA$493,4,))*$F380))</f>
        <v>0</v>
      </c>
      <c r="AB380" s="50">
        <f t="shared" ref="AB380:AB390" si="226">SUM(H380:AA380)</f>
        <v>123738.6</v>
      </c>
      <c r="AC380" s="30" t="str">
        <f t="shared" ref="AC380:AC390" si="227">IF(ABS(AB380-F380)&lt;1,"ok","err")</f>
        <v>ok</v>
      </c>
    </row>
    <row r="381" spans="1:29" x14ac:dyDescent="0.2">
      <c r="A381" s="14">
        <v>581</v>
      </c>
      <c r="B381" s="14" t="s">
        <v>101</v>
      </c>
      <c r="C381" s="14" t="s">
        <v>483</v>
      </c>
      <c r="D381" s="14" t="s">
        <v>23</v>
      </c>
      <c r="F381" s="234">
        <v>0</v>
      </c>
      <c r="G381" s="194"/>
      <c r="H381" s="50">
        <f t="shared" si="214"/>
        <v>0</v>
      </c>
      <c r="I381" s="50">
        <f t="shared" si="215"/>
        <v>0</v>
      </c>
      <c r="J381" s="50"/>
      <c r="K381" s="50">
        <f t="shared" si="216"/>
        <v>0</v>
      </c>
      <c r="L381" s="50"/>
      <c r="M381" s="50">
        <f t="shared" si="217"/>
        <v>0</v>
      </c>
      <c r="N381" s="50"/>
      <c r="O381" s="50">
        <f t="shared" si="218"/>
        <v>0</v>
      </c>
      <c r="P381" s="50">
        <f t="shared" si="219"/>
        <v>0</v>
      </c>
      <c r="Q381" s="50"/>
      <c r="R381" s="50">
        <f t="shared" si="220"/>
        <v>0</v>
      </c>
      <c r="S381" s="50">
        <f t="shared" si="221"/>
        <v>0</v>
      </c>
      <c r="T381" s="50"/>
      <c r="U381" s="50">
        <f t="shared" si="222"/>
        <v>0</v>
      </c>
      <c r="V381" s="50"/>
      <c r="W381" s="50">
        <f t="shared" si="223"/>
        <v>0</v>
      </c>
      <c r="X381" s="50"/>
      <c r="Y381" s="50">
        <f t="shared" si="224"/>
        <v>0</v>
      </c>
      <c r="Z381" s="50"/>
      <c r="AA381" s="50">
        <f t="shared" si="225"/>
        <v>0</v>
      </c>
      <c r="AB381" s="50">
        <f t="shared" si="226"/>
        <v>0</v>
      </c>
      <c r="AC381" s="30" t="str">
        <f t="shared" si="227"/>
        <v>ok</v>
      </c>
    </row>
    <row r="382" spans="1:29" x14ac:dyDescent="0.2">
      <c r="A382" s="14">
        <v>582</v>
      </c>
      <c r="B382" s="14" t="s">
        <v>372</v>
      </c>
      <c r="C382" s="14" t="s">
        <v>484</v>
      </c>
      <c r="D382" s="14" t="s">
        <v>23</v>
      </c>
      <c r="F382" s="234">
        <v>0</v>
      </c>
      <c r="G382" s="194"/>
      <c r="H382" s="50">
        <f t="shared" si="214"/>
        <v>0</v>
      </c>
      <c r="I382" s="50">
        <f t="shared" si="215"/>
        <v>0</v>
      </c>
      <c r="J382" s="50"/>
      <c r="K382" s="50">
        <f t="shared" si="216"/>
        <v>0</v>
      </c>
      <c r="L382" s="50"/>
      <c r="M382" s="50">
        <f t="shared" si="217"/>
        <v>0</v>
      </c>
      <c r="N382" s="50"/>
      <c r="O382" s="50">
        <f t="shared" si="218"/>
        <v>0</v>
      </c>
      <c r="P382" s="50">
        <f t="shared" si="219"/>
        <v>0</v>
      </c>
      <c r="Q382" s="50"/>
      <c r="R382" s="50">
        <f t="shared" si="220"/>
        <v>0</v>
      </c>
      <c r="S382" s="50">
        <f t="shared" si="221"/>
        <v>0</v>
      </c>
      <c r="T382" s="50"/>
      <c r="U382" s="50">
        <f t="shared" si="222"/>
        <v>0</v>
      </c>
      <c r="V382" s="50"/>
      <c r="W382" s="50">
        <f t="shared" si="223"/>
        <v>0</v>
      </c>
      <c r="X382" s="50"/>
      <c r="Y382" s="50">
        <f t="shared" si="224"/>
        <v>0</v>
      </c>
      <c r="Z382" s="50"/>
      <c r="AA382" s="50">
        <f t="shared" si="225"/>
        <v>0</v>
      </c>
      <c r="AB382" s="50">
        <f t="shared" si="226"/>
        <v>0</v>
      </c>
      <c r="AC382" s="30" t="str">
        <f t="shared" si="227"/>
        <v>ok</v>
      </c>
    </row>
    <row r="383" spans="1:29" x14ac:dyDescent="0.2">
      <c r="A383" s="14">
        <v>583</v>
      </c>
      <c r="B383" s="14" t="s">
        <v>103</v>
      </c>
      <c r="C383" s="14" t="s">
        <v>485</v>
      </c>
      <c r="D383" s="14" t="s">
        <v>29</v>
      </c>
      <c r="F383" s="234">
        <v>148006.41</v>
      </c>
      <c r="G383" s="194"/>
      <c r="H383" s="50">
        <f t="shared" si="214"/>
        <v>0</v>
      </c>
      <c r="I383" s="50">
        <f t="shared" si="215"/>
        <v>0</v>
      </c>
      <c r="J383" s="50"/>
      <c r="K383" s="50">
        <f t="shared" si="216"/>
        <v>0</v>
      </c>
      <c r="L383" s="50"/>
      <c r="M383" s="50">
        <f t="shared" si="217"/>
        <v>0</v>
      </c>
      <c r="N383" s="50"/>
      <c r="O383" s="50">
        <f t="shared" si="218"/>
        <v>105748.34678816916</v>
      </c>
      <c r="P383" s="50">
        <f t="shared" si="219"/>
        <v>42258.063211830842</v>
      </c>
      <c r="Q383" s="50"/>
      <c r="R383" s="50">
        <f t="shared" si="220"/>
        <v>0</v>
      </c>
      <c r="S383" s="50">
        <f t="shared" si="221"/>
        <v>0</v>
      </c>
      <c r="T383" s="50"/>
      <c r="U383" s="50">
        <f t="shared" si="222"/>
        <v>0</v>
      </c>
      <c r="V383" s="50"/>
      <c r="W383" s="50">
        <f t="shared" si="223"/>
        <v>0</v>
      </c>
      <c r="X383" s="50"/>
      <c r="Y383" s="50">
        <f t="shared" si="224"/>
        <v>0</v>
      </c>
      <c r="Z383" s="50"/>
      <c r="AA383" s="50">
        <f t="shared" si="225"/>
        <v>0</v>
      </c>
      <c r="AB383" s="50">
        <f t="shared" si="226"/>
        <v>148006.41</v>
      </c>
      <c r="AC383" s="30" t="str">
        <f t="shared" si="227"/>
        <v>ok</v>
      </c>
    </row>
    <row r="384" spans="1:29" x14ac:dyDescent="0.2">
      <c r="A384" s="14">
        <v>584</v>
      </c>
      <c r="B384" s="14" t="s">
        <v>105</v>
      </c>
      <c r="C384" s="14" t="s">
        <v>486</v>
      </c>
      <c r="D384" s="14" t="s">
        <v>35</v>
      </c>
      <c r="F384" s="234">
        <v>609.08000000000004</v>
      </c>
      <c r="G384" s="194"/>
      <c r="H384" s="50">
        <f t="shared" si="214"/>
        <v>0</v>
      </c>
      <c r="I384" s="50">
        <f t="shared" si="215"/>
        <v>0</v>
      </c>
      <c r="J384" s="50"/>
      <c r="K384" s="50">
        <f t="shared" si="216"/>
        <v>0</v>
      </c>
      <c r="L384" s="50"/>
      <c r="M384" s="50">
        <f t="shared" si="217"/>
        <v>0</v>
      </c>
      <c r="N384" s="50"/>
      <c r="O384" s="50">
        <f t="shared" si="218"/>
        <v>306.28004631618683</v>
      </c>
      <c r="P384" s="50">
        <f t="shared" si="219"/>
        <v>302.79995368381321</v>
      </c>
      <c r="Q384" s="50"/>
      <c r="R384" s="50">
        <f t="shared" si="220"/>
        <v>0</v>
      </c>
      <c r="S384" s="50">
        <f t="shared" si="221"/>
        <v>0</v>
      </c>
      <c r="T384" s="50"/>
      <c r="U384" s="50">
        <f t="shared" si="222"/>
        <v>0</v>
      </c>
      <c r="V384" s="50"/>
      <c r="W384" s="50">
        <f t="shared" si="223"/>
        <v>0</v>
      </c>
      <c r="X384" s="50"/>
      <c r="Y384" s="50">
        <f t="shared" si="224"/>
        <v>0</v>
      </c>
      <c r="Z384" s="50"/>
      <c r="AA384" s="50">
        <f t="shared" si="225"/>
        <v>0</v>
      </c>
      <c r="AB384" s="50">
        <f t="shared" si="226"/>
        <v>609.08000000000004</v>
      </c>
      <c r="AC384" s="30" t="str">
        <f t="shared" si="227"/>
        <v>ok</v>
      </c>
    </row>
    <row r="385" spans="1:29" x14ac:dyDescent="0.2">
      <c r="A385" s="14">
        <v>585</v>
      </c>
      <c r="B385" s="14" t="s">
        <v>107</v>
      </c>
      <c r="C385" s="14" t="s">
        <v>487</v>
      </c>
      <c r="D385" s="14" t="s">
        <v>46</v>
      </c>
      <c r="F385" s="234">
        <v>1206050.29</v>
      </c>
      <c r="G385" s="194"/>
      <c r="H385" s="50">
        <f t="shared" si="214"/>
        <v>0</v>
      </c>
      <c r="I385" s="50">
        <f t="shared" si="215"/>
        <v>0</v>
      </c>
      <c r="J385" s="50"/>
      <c r="K385" s="50">
        <f t="shared" si="216"/>
        <v>0</v>
      </c>
      <c r="L385" s="50"/>
      <c r="M385" s="50">
        <f t="shared" si="217"/>
        <v>0</v>
      </c>
      <c r="N385" s="50"/>
      <c r="O385" s="50">
        <f t="shared" si="218"/>
        <v>0</v>
      </c>
      <c r="P385" s="50">
        <f t="shared" si="219"/>
        <v>0</v>
      </c>
      <c r="Q385" s="50"/>
      <c r="R385" s="50">
        <f t="shared" si="220"/>
        <v>0</v>
      </c>
      <c r="S385" s="50">
        <f t="shared" si="221"/>
        <v>0</v>
      </c>
      <c r="T385" s="50"/>
      <c r="U385" s="50">
        <f t="shared" si="222"/>
        <v>0</v>
      </c>
      <c r="V385" s="50"/>
      <c r="W385" s="50">
        <f t="shared" si="223"/>
        <v>1206050.29</v>
      </c>
      <c r="X385" s="50"/>
      <c r="Y385" s="50">
        <f t="shared" si="224"/>
        <v>0</v>
      </c>
      <c r="Z385" s="50"/>
      <c r="AA385" s="50">
        <f t="shared" si="225"/>
        <v>0</v>
      </c>
      <c r="AB385" s="50">
        <f t="shared" si="226"/>
        <v>1206050.29</v>
      </c>
      <c r="AC385" s="30" t="str">
        <f t="shared" si="227"/>
        <v>ok</v>
      </c>
    </row>
    <row r="386" spans="1:29" x14ac:dyDescent="0.2">
      <c r="A386" s="14">
        <v>586</v>
      </c>
      <c r="B386" s="14" t="s">
        <v>109</v>
      </c>
      <c r="C386" s="14" t="s">
        <v>488</v>
      </c>
      <c r="D386" s="14" t="s">
        <v>43</v>
      </c>
      <c r="F386" s="234">
        <v>0</v>
      </c>
      <c r="G386" s="194"/>
      <c r="H386" s="50">
        <f t="shared" si="214"/>
        <v>0</v>
      </c>
      <c r="I386" s="50">
        <f t="shared" si="215"/>
        <v>0</v>
      </c>
      <c r="J386" s="50"/>
      <c r="K386" s="50">
        <f t="shared" si="216"/>
        <v>0</v>
      </c>
      <c r="L386" s="50"/>
      <c r="M386" s="50">
        <f t="shared" si="217"/>
        <v>0</v>
      </c>
      <c r="N386" s="50"/>
      <c r="O386" s="50">
        <f t="shared" si="218"/>
        <v>0</v>
      </c>
      <c r="P386" s="50">
        <f t="shared" si="219"/>
        <v>0</v>
      </c>
      <c r="Q386" s="50"/>
      <c r="R386" s="50">
        <f t="shared" si="220"/>
        <v>0</v>
      </c>
      <c r="S386" s="50">
        <f t="shared" si="221"/>
        <v>0</v>
      </c>
      <c r="T386" s="50"/>
      <c r="U386" s="50">
        <f t="shared" si="222"/>
        <v>0</v>
      </c>
      <c r="V386" s="50"/>
      <c r="W386" s="50">
        <f t="shared" si="223"/>
        <v>0</v>
      </c>
      <c r="X386" s="50"/>
      <c r="Y386" s="50">
        <f t="shared" si="224"/>
        <v>0</v>
      </c>
      <c r="Z386" s="50"/>
      <c r="AA386" s="50">
        <f t="shared" si="225"/>
        <v>0</v>
      </c>
      <c r="AB386" s="50">
        <f t="shared" si="226"/>
        <v>0</v>
      </c>
      <c r="AC386" s="30" t="str">
        <f t="shared" si="227"/>
        <v>ok</v>
      </c>
    </row>
    <row r="387" spans="1:29" x14ac:dyDescent="0.2">
      <c r="A387" s="14">
        <v>586</v>
      </c>
      <c r="B387" s="14" t="s">
        <v>450</v>
      </c>
      <c r="C387" s="14" t="s">
        <v>489</v>
      </c>
      <c r="D387" s="14" t="s">
        <v>471</v>
      </c>
      <c r="F387" s="234">
        <v>0</v>
      </c>
      <c r="G387" s="194"/>
      <c r="H387" s="50">
        <f t="shared" si="214"/>
        <v>0</v>
      </c>
      <c r="I387" s="50">
        <f t="shared" si="215"/>
        <v>0</v>
      </c>
      <c r="J387" s="50"/>
      <c r="K387" s="50">
        <f t="shared" si="216"/>
        <v>0</v>
      </c>
      <c r="L387" s="50"/>
      <c r="M387" s="50">
        <f t="shared" si="217"/>
        <v>0</v>
      </c>
      <c r="N387" s="50"/>
      <c r="O387" s="50">
        <f t="shared" si="218"/>
        <v>0</v>
      </c>
      <c r="P387" s="50">
        <f t="shared" si="219"/>
        <v>0</v>
      </c>
      <c r="Q387" s="50"/>
      <c r="R387" s="50">
        <f t="shared" si="220"/>
        <v>0</v>
      </c>
      <c r="S387" s="50">
        <f t="shared" si="221"/>
        <v>0</v>
      </c>
      <c r="T387" s="50"/>
      <c r="U387" s="50">
        <f t="shared" si="222"/>
        <v>0</v>
      </c>
      <c r="V387" s="50"/>
      <c r="W387" s="50">
        <f t="shared" si="223"/>
        <v>0</v>
      </c>
      <c r="X387" s="50"/>
      <c r="Y387" s="50">
        <f t="shared" si="224"/>
        <v>0</v>
      </c>
      <c r="Z387" s="50"/>
      <c r="AA387" s="50">
        <f t="shared" si="225"/>
        <v>0</v>
      </c>
      <c r="AB387" s="50">
        <f t="shared" si="226"/>
        <v>0</v>
      </c>
      <c r="AC387" s="30" t="str">
        <f t="shared" si="227"/>
        <v>ok</v>
      </c>
    </row>
    <row r="388" spans="1:29" x14ac:dyDescent="0.2">
      <c r="A388" s="14">
        <v>587</v>
      </c>
      <c r="B388" s="14" t="s">
        <v>111</v>
      </c>
      <c r="C388" s="14" t="s">
        <v>490</v>
      </c>
      <c r="D388" s="14" t="s">
        <v>40</v>
      </c>
      <c r="F388" s="234">
        <v>0</v>
      </c>
      <c r="G388" s="194"/>
      <c r="H388" s="50">
        <f t="shared" si="214"/>
        <v>0</v>
      </c>
      <c r="I388" s="50">
        <f t="shared" si="215"/>
        <v>0</v>
      </c>
      <c r="J388" s="50"/>
      <c r="K388" s="50">
        <f t="shared" si="216"/>
        <v>0</v>
      </c>
      <c r="L388" s="50"/>
      <c r="M388" s="50">
        <f t="shared" si="217"/>
        <v>0</v>
      </c>
      <c r="N388" s="50"/>
      <c r="O388" s="50">
        <f t="shared" si="218"/>
        <v>0</v>
      </c>
      <c r="P388" s="50">
        <f t="shared" si="219"/>
        <v>0</v>
      </c>
      <c r="Q388" s="50"/>
      <c r="R388" s="50">
        <f t="shared" si="220"/>
        <v>0</v>
      </c>
      <c r="S388" s="50">
        <f t="shared" si="221"/>
        <v>0</v>
      </c>
      <c r="T388" s="50"/>
      <c r="U388" s="50">
        <f t="shared" si="222"/>
        <v>0</v>
      </c>
      <c r="V388" s="50"/>
      <c r="W388" s="50">
        <f t="shared" si="223"/>
        <v>0</v>
      </c>
      <c r="X388" s="50"/>
      <c r="Y388" s="50">
        <f t="shared" si="224"/>
        <v>0</v>
      </c>
      <c r="Z388" s="50"/>
      <c r="AA388" s="50">
        <f t="shared" si="225"/>
        <v>0</v>
      </c>
      <c r="AB388" s="50">
        <f t="shared" si="226"/>
        <v>0</v>
      </c>
      <c r="AC388" s="30" t="str">
        <f t="shared" si="227"/>
        <v>ok</v>
      </c>
    </row>
    <row r="389" spans="1:29" x14ac:dyDescent="0.2">
      <c r="A389" s="14">
        <v>588</v>
      </c>
      <c r="B389" s="14" t="s">
        <v>113</v>
      </c>
      <c r="C389" s="14" t="s">
        <v>491</v>
      </c>
      <c r="D389" s="14" t="s">
        <v>16</v>
      </c>
      <c r="F389" s="234">
        <v>410712.16</v>
      </c>
      <c r="G389" s="194"/>
      <c r="H389" s="50">
        <f t="shared" si="214"/>
        <v>0</v>
      </c>
      <c r="I389" s="50">
        <f t="shared" si="215"/>
        <v>0</v>
      </c>
      <c r="J389" s="50"/>
      <c r="K389" s="50">
        <f t="shared" si="216"/>
        <v>0</v>
      </c>
      <c r="L389" s="50"/>
      <c r="M389" s="50">
        <f t="shared" si="217"/>
        <v>1513.7804769288402</v>
      </c>
      <c r="N389" s="50"/>
      <c r="O389" s="50">
        <f t="shared" si="218"/>
        <v>200021.27911307843</v>
      </c>
      <c r="P389" s="50">
        <f t="shared" si="219"/>
        <v>112579.88728393128</v>
      </c>
      <c r="Q389" s="50"/>
      <c r="R389" s="50">
        <f t="shared" si="220"/>
        <v>0</v>
      </c>
      <c r="S389" s="50">
        <f t="shared" si="221"/>
        <v>51739.075745339811</v>
      </c>
      <c r="T389" s="50"/>
      <c r="U389" s="50">
        <f t="shared" si="222"/>
        <v>22511.657649484954</v>
      </c>
      <c r="V389" s="50"/>
      <c r="W389" s="50">
        <f t="shared" si="223"/>
        <v>22346.479731236708</v>
      </c>
      <c r="X389" s="50"/>
      <c r="Y389" s="50">
        <f t="shared" si="224"/>
        <v>0</v>
      </c>
      <c r="Z389" s="50"/>
      <c r="AA389" s="50">
        <f t="shared" si="225"/>
        <v>0</v>
      </c>
      <c r="AB389" s="50">
        <f t="shared" si="226"/>
        <v>410712.16</v>
      </c>
      <c r="AC389" s="30" t="str">
        <f t="shared" si="227"/>
        <v>ok</v>
      </c>
    </row>
    <row r="390" spans="1:29" x14ac:dyDescent="0.2">
      <c r="A390" s="14">
        <v>589</v>
      </c>
      <c r="B390" s="14" t="s">
        <v>115</v>
      </c>
      <c r="C390" s="14" t="s">
        <v>492</v>
      </c>
      <c r="D390" s="14" t="s">
        <v>16</v>
      </c>
      <c r="F390" s="234">
        <v>0</v>
      </c>
      <c r="G390" s="194"/>
      <c r="H390" s="50">
        <f t="shared" si="214"/>
        <v>0</v>
      </c>
      <c r="I390" s="50">
        <f t="shared" si="215"/>
        <v>0</v>
      </c>
      <c r="J390" s="50"/>
      <c r="K390" s="50">
        <f t="shared" si="216"/>
        <v>0</v>
      </c>
      <c r="L390" s="50"/>
      <c r="M390" s="50">
        <f t="shared" si="217"/>
        <v>0</v>
      </c>
      <c r="N390" s="50"/>
      <c r="O390" s="50">
        <f t="shared" si="218"/>
        <v>0</v>
      </c>
      <c r="P390" s="50">
        <f t="shared" si="219"/>
        <v>0</v>
      </c>
      <c r="Q390" s="50"/>
      <c r="R390" s="50">
        <f t="shared" si="220"/>
        <v>0</v>
      </c>
      <c r="S390" s="50">
        <f t="shared" si="221"/>
        <v>0</v>
      </c>
      <c r="T390" s="50"/>
      <c r="U390" s="50">
        <f t="shared" si="222"/>
        <v>0</v>
      </c>
      <c r="V390" s="50"/>
      <c r="W390" s="50">
        <f t="shared" si="223"/>
        <v>0</v>
      </c>
      <c r="X390" s="50"/>
      <c r="Y390" s="50">
        <f t="shared" si="224"/>
        <v>0</v>
      </c>
      <c r="Z390" s="50"/>
      <c r="AA390" s="50">
        <f t="shared" si="225"/>
        <v>0</v>
      </c>
      <c r="AB390" s="50">
        <f t="shared" si="226"/>
        <v>0</v>
      </c>
      <c r="AC390" s="30" t="str">
        <f t="shared" si="227"/>
        <v>ok</v>
      </c>
    </row>
    <row r="391" spans="1:29" x14ac:dyDescent="0.2">
      <c r="F391" s="234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C391" s="30"/>
    </row>
    <row r="392" spans="1:29" x14ac:dyDescent="0.2">
      <c r="A392" s="14" t="s">
        <v>536</v>
      </c>
      <c r="C392" s="14" t="s">
        <v>493</v>
      </c>
      <c r="F392" s="233">
        <f>SUM(F380:F391)</f>
        <v>1889116.54</v>
      </c>
      <c r="G392" s="66"/>
      <c r="H392" s="66">
        <f>SUM(H380:H391)</f>
        <v>0</v>
      </c>
      <c r="I392" s="66">
        <f>SUM(I380:I391)</f>
        <v>0</v>
      </c>
      <c r="J392" s="66"/>
      <c r="K392" s="66">
        <f>SUM(K380:K391)</f>
        <v>0</v>
      </c>
      <c r="L392" s="66"/>
      <c r="M392" s="66">
        <f>SUM(M380:M391)</f>
        <v>1969.849459455452</v>
      </c>
      <c r="N392" s="66"/>
      <c r="O392" s="66">
        <f>SUM(O380:O391)</f>
        <v>366337.9470024514</v>
      </c>
      <c r="P392" s="66">
        <f>SUM(P380:P391)</f>
        <v>189058.61068682355</v>
      </c>
      <c r="Q392" s="66"/>
      <c r="R392" s="66">
        <f>SUM(R380:R391)</f>
        <v>0</v>
      </c>
      <c r="S392" s="66">
        <f>SUM(S380:S391)</f>
        <v>67326.928800438793</v>
      </c>
      <c r="T392" s="66"/>
      <c r="U392" s="66">
        <f>SUM(U380:U391)</f>
        <v>29293.928233405721</v>
      </c>
      <c r="V392" s="66"/>
      <c r="W392" s="66">
        <f>SUM(W380:W391)</f>
        <v>1235129.2758174252</v>
      </c>
      <c r="X392" s="66"/>
      <c r="Y392" s="66">
        <f>SUM(Y380:Y391)</f>
        <v>0</v>
      </c>
      <c r="Z392" s="66"/>
      <c r="AA392" s="66">
        <f>SUM(AA380:AA391)</f>
        <v>0</v>
      </c>
      <c r="AB392" s="50">
        <f>SUM(H392:AA392)</f>
        <v>1889116.54</v>
      </c>
      <c r="AC392" s="30" t="str">
        <f>IF(ABS(AB392-F392)&lt;1,"ok","err")</f>
        <v>ok</v>
      </c>
    </row>
    <row r="393" spans="1:29" x14ac:dyDescent="0.2">
      <c r="F393" s="233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50"/>
      <c r="AC393" s="30"/>
    </row>
    <row r="394" spans="1:29" x14ac:dyDescent="0.2">
      <c r="F394" s="233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50"/>
      <c r="AC394" s="30"/>
    </row>
    <row r="395" spans="1:29" x14ac:dyDescent="0.2">
      <c r="A395" s="13"/>
      <c r="F395" s="234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C395" s="30"/>
    </row>
    <row r="396" spans="1:29" x14ac:dyDescent="0.2">
      <c r="A396" s="28" t="s">
        <v>473</v>
      </c>
      <c r="F396" s="234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C396" s="30"/>
    </row>
    <row r="397" spans="1:29" x14ac:dyDescent="0.2">
      <c r="F397" s="234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C397" s="30"/>
    </row>
    <row r="398" spans="1:29" x14ac:dyDescent="0.2">
      <c r="A398" s="13" t="s">
        <v>537</v>
      </c>
      <c r="F398" s="234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C398" s="30"/>
    </row>
    <row r="399" spans="1:29" x14ac:dyDescent="0.2">
      <c r="A399" s="14">
        <v>590</v>
      </c>
      <c r="B399" s="14" t="s">
        <v>120</v>
      </c>
      <c r="C399" s="14" t="s">
        <v>494</v>
      </c>
      <c r="D399" s="14" t="s">
        <v>16</v>
      </c>
      <c r="F399" s="233">
        <v>77926.66</v>
      </c>
      <c r="G399" s="193"/>
      <c r="H399" s="50">
        <f t="shared" ref="H399:H406" si="228">IF(VLOOKUP($D399,$C$5:$AA$493,6,)=0,0,((VLOOKUP($D399,$C$5:$AA$493,6,)/VLOOKUP($D399,$C$5:$AA$493,4,))*$F399))</f>
        <v>0</v>
      </c>
      <c r="I399" s="50">
        <f t="shared" ref="I399:I406" si="229">IF(VLOOKUP($D399,$C$5:$AA$493,7,)=0,0,((VLOOKUP($D399,$C$5:$AA$493,7,)/VLOOKUP($D399,$C$5:$AA$493,4,))*$F399))</f>
        <v>0</v>
      </c>
      <c r="J399" s="50"/>
      <c r="K399" s="50">
        <f t="shared" ref="K399:K406" si="230">IF(VLOOKUP($D399,$C$5:$AA$493,9,)=0,0,((VLOOKUP($D399,$C$5:$AA$493,9,)/VLOOKUP($D399,$C$5:$AA$493,4,))*$F399))</f>
        <v>0</v>
      </c>
      <c r="L399" s="50"/>
      <c r="M399" s="50">
        <f t="shared" ref="M399:M406" si="231">IF(VLOOKUP($D399,$C$5:$AA$493,11,)=0,0,((VLOOKUP($D399,$C$5:$AA$493,11,)/VLOOKUP($D399,$C$5:$AA$493,4,))*$F399))</f>
        <v>287.2178328985234</v>
      </c>
      <c r="N399" s="50"/>
      <c r="O399" s="50">
        <f t="shared" ref="O399:O406" si="232">IF(VLOOKUP($D399,$C$5:$AA$493,13,)=0,0,((VLOOKUP($D399,$C$5:$AA$493,13,)/VLOOKUP($D399,$C$5:$AA$493,4,))*$F399))</f>
        <v>37951.12910757248</v>
      </c>
      <c r="P399" s="50">
        <f t="shared" ref="P399:P406" si="233">IF(VLOOKUP($D399,$C$5:$AA$493,14,)=0,0,((VLOOKUP($D399,$C$5:$AA$493,14,)/VLOOKUP($D399,$C$5:$AA$493,4,))*$F399))</f>
        <v>21360.396534675863</v>
      </c>
      <c r="Q399" s="50"/>
      <c r="R399" s="50">
        <f t="shared" ref="R399:R406" si="234">IF(VLOOKUP($D399,$C$5:$AA$493,16,)=0,0,((VLOOKUP($D399,$C$5:$AA$493,16,)/VLOOKUP($D399,$C$5:$AA$493,4,))*$F399))</f>
        <v>0</v>
      </c>
      <c r="S399" s="50">
        <f t="shared" ref="S399:S406" si="235">IF(VLOOKUP($D399,$C$5:$AA$493,17,)=0,0,((VLOOKUP($D399,$C$5:$AA$493,17,)/VLOOKUP($D399,$C$5:$AA$493,4,))*$F399))</f>
        <v>9816.7372602782016</v>
      </c>
      <c r="T399" s="50"/>
      <c r="U399" s="50">
        <f t="shared" ref="U399:U406" si="236">IF(VLOOKUP($D399,$C$5:$AA$493,19,)=0,0,((VLOOKUP($D399,$C$5:$AA$493,19,)/VLOOKUP($D399,$C$5:$AA$493,4,))*$F399))</f>
        <v>4271.2596863161134</v>
      </c>
      <c r="V399" s="50"/>
      <c r="W399" s="50">
        <f t="shared" ref="W399:W406" si="237">IF(VLOOKUP($D399,$C$5:$AA$493,21,)=0,0,((VLOOKUP($D399,$C$5:$AA$493,21,)/VLOOKUP($D399,$C$5:$AA$493,4,))*$F399))</f>
        <v>4239.9195782588331</v>
      </c>
      <c r="X399" s="50"/>
      <c r="Y399" s="50">
        <f t="shared" ref="Y399:Y406" si="238">IF(VLOOKUP($D399,$C$5:$AA$493,23,)=0,0,((VLOOKUP($D399,$C$5:$AA$493,23,)/VLOOKUP($D399,$C$5:$AA$493,4,))*$F399))</f>
        <v>0</v>
      </c>
      <c r="Z399" s="50"/>
      <c r="AA399" s="50">
        <f t="shared" ref="AA399:AA406" si="239">IF(VLOOKUP($D399,$C$5:$AA$493,25,)=0,0,((VLOOKUP($D399,$C$5:$AA$493,25,)/VLOOKUP($D399,$C$5:$AA$493,4,))*$F399))</f>
        <v>0</v>
      </c>
      <c r="AB399" s="50">
        <f t="shared" ref="AB399:AB406" si="240">SUM(H399:AA399)</f>
        <v>77926.660000000018</v>
      </c>
      <c r="AC399" s="30" t="str">
        <f t="shared" ref="AC399:AC406" si="241">IF(ABS(AB399-F399)&lt;1,"ok","err")</f>
        <v>ok</v>
      </c>
    </row>
    <row r="400" spans="1:29" x14ac:dyDescent="0.2">
      <c r="A400" s="14">
        <v>592</v>
      </c>
      <c r="B400" s="14" t="s">
        <v>122</v>
      </c>
      <c r="C400" s="14" t="s">
        <v>495</v>
      </c>
      <c r="D400" s="14" t="s">
        <v>23</v>
      </c>
      <c r="F400" s="234">
        <v>0</v>
      </c>
      <c r="G400" s="194"/>
      <c r="H400" s="50">
        <f t="shared" si="228"/>
        <v>0</v>
      </c>
      <c r="I400" s="50">
        <f t="shared" si="229"/>
        <v>0</v>
      </c>
      <c r="J400" s="50"/>
      <c r="K400" s="50">
        <f t="shared" si="230"/>
        <v>0</v>
      </c>
      <c r="L400" s="50"/>
      <c r="M400" s="50">
        <f t="shared" si="231"/>
        <v>0</v>
      </c>
      <c r="N400" s="50"/>
      <c r="O400" s="50">
        <f t="shared" si="232"/>
        <v>0</v>
      </c>
      <c r="P400" s="50">
        <f t="shared" si="233"/>
        <v>0</v>
      </c>
      <c r="Q400" s="50"/>
      <c r="R400" s="50">
        <f t="shared" si="234"/>
        <v>0</v>
      </c>
      <c r="S400" s="50">
        <f t="shared" si="235"/>
        <v>0</v>
      </c>
      <c r="T400" s="50"/>
      <c r="U400" s="50">
        <f t="shared" si="236"/>
        <v>0</v>
      </c>
      <c r="V400" s="50"/>
      <c r="W400" s="50">
        <f t="shared" si="237"/>
        <v>0</v>
      </c>
      <c r="X400" s="50"/>
      <c r="Y400" s="50">
        <f t="shared" si="238"/>
        <v>0</v>
      </c>
      <c r="Z400" s="50"/>
      <c r="AA400" s="50">
        <f t="shared" si="239"/>
        <v>0</v>
      </c>
      <c r="AB400" s="50">
        <f t="shared" si="240"/>
        <v>0</v>
      </c>
      <c r="AC400" s="30" t="str">
        <f t="shared" si="241"/>
        <v>ok</v>
      </c>
    </row>
    <row r="401" spans="1:29" x14ac:dyDescent="0.2">
      <c r="A401" s="14">
        <v>593</v>
      </c>
      <c r="B401" s="14" t="s">
        <v>124</v>
      </c>
      <c r="C401" s="14" t="s">
        <v>496</v>
      </c>
      <c r="D401" s="14" t="s">
        <v>29</v>
      </c>
      <c r="F401" s="234">
        <v>4939426.83</v>
      </c>
      <c r="G401" s="194"/>
      <c r="H401" s="50">
        <f t="shared" si="228"/>
        <v>0</v>
      </c>
      <c r="I401" s="50">
        <f t="shared" si="229"/>
        <v>0</v>
      </c>
      <c r="J401" s="50"/>
      <c r="K401" s="50">
        <f t="shared" si="230"/>
        <v>0</v>
      </c>
      <c r="L401" s="50"/>
      <c r="M401" s="50">
        <f t="shared" si="231"/>
        <v>0</v>
      </c>
      <c r="N401" s="50"/>
      <c r="O401" s="50">
        <f t="shared" si="232"/>
        <v>3529145.9427576619</v>
      </c>
      <c r="P401" s="50">
        <f t="shared" si="233"/>
        <v>1410280.8872423379</v>
      </c>
      <c r="Q401" s="50"/>
      <c r="R401" s="50">
        <f t="shared" si="234"/>
        <v>0</v>
      </c>
      <c r="S401" s="50">
        <f t="shared" si="235"/>
        <v>0</v>
      </c>
      <c r="T401" s="50"/>
      <c r="U401" s="50">
        <f t="shared" si="236"/>
        <v>0</v>
      </c>
      <c r="V401" s="50"/>
      <c r="W401" s="50">
        <f t="shared" si="237"/>
        <v>0</v>
      </c>
      <c r="X401" s="50"/>
      <c r="Y401" s="50">
        <f t="shared" si="238"/>
        <v>0</v>
      </c>
      <c r="Z401" s="50"/>
      <c r="AA401" s="50">
        <f t="shared" si="239"/>
        <v>0</v>
      </c>
      <c r="AB401" s="50">
        <f t="shared" si="240"/>
        <v>4939426.83</v>
      </c>
      <c r="AC401" s="30" t="str">
        <f t="shared" si="241"/>
        <v>ok</v>
      </c>
    </row>
    <row r="402" spans="1:29" x14ac:dyDescent="0.2">
      <c r="A402" s="14">
        <v>594</v>
      </c>
      <c r="B402" s="14" t="s">
        <v>126</v>
      </c>
      <c r="C402" s="14" t="s">
        <v>497</v>
      </c>
      <c r="D402" s="14" t="s">
        <v>35</v>
      </c>
      <c r="F402" s="234">
        <v>1464.98</v>
      </c>
      <c r="G402" s="194"/>
      <c r="H402" s="50">
        <f t="shared" si="228"/>
        <v>0</v>
      </c>
      <c r="I402" s="50">
        <f t="shared" si="229"/>
        <v>0</v>
      </c>
      <c r="J402" s="50"/>
      <c r="K402" s="50">
        <f t="shared" si="230"/>
        <v>0</v>
      </c>
      <c r="L402" s="50"/>
      <c r="M402" s="50">
        <f t="shared" si="231"/>
        <v>0</v>
      </c>
      <c r="N402" s="50"/>
      <c r="O402" s="50">
        <f t="shared" si="232"/>
        <v>736.67521877633055</v>
      </c>
      <c r="P402" s="50">
        <f t="shared" si="233"/>
        <v>728.30478122366947</v>
      </c>
      <c r="Q402" s="50"/>
      <c r="R402" s="50">
        <f t="shared" si="234"/>
        <v>0</v>
      </c>
      <c r="S402" s="50">
        <f t="shared" si="235"/>
        <v>0</v>
      </c>
      <c r="T402" s="50"/>
      <c r="U402" s="50">
        <f t="shared" si="236"/>
        <v>0</v>
      </c>
      <c r="V402" s="50"/>
      <c r="W402" s="50">
        <f t="shared" si="237"/>
        <v>0</v>
      </c>
      <c r="X402" s="50"/>
      <c r="Y402" s="50">
        <f t="shared" si="238"/>
        <v>0</v>
      </c>
      <c r="Z402" s="50"/>
      <c r="AA402" s="50">
        <f t="shared" si="239"/>
        <v>0</v>
      </c>
      <c r="AB402" s="50">
        <f t="shared" si="240"/>
        <v>1464.98</v>
      </c>
      <c r="AC402" s="30" t="str">
        <f t="shared" si="241"/>
        <v>ok</v>
      </c>
    </row>
    <row r="403" spans="1:29" x14ac:dyDescent="0.2">
      <c r="A403" s="14">
        <v>595</v>
      </c>
      <c r="B403" s="14" t="s">
        <v>128</v>
      </c>
      <c r="C403" s="14" t="s">
        <v>498</v>
      </c>
      <c r="D403" s="14" t="s">
        <v>37</v>
      </c>
      <c r="F403" s="234">
        <v>389.67</v>
      </c>
      <c r="G403" s="194"/>
      <c r="H403" s="50">
        <f t="shared" si="228"/>
        <v>0</v>
      </c>
      <c r="I403" s="50">
        <f t="shared" si="229"/>
        <v>0</v>
      </c>
      <c r="J403" s="50"/>
      <c r="K403" s="50">
        <f t="shared" si="230"/>
        <v>0</v>
      </c>
      <c r="L403" s="50"/>
      <c r="M403" s="50">
        <f t="shared" si="231"/>
        <v>0</v>
      </c>
      <c r="N403" s="50"/>
      <c r="O403" s="50">
        <f t="shared" si="232"/>
        <v>174.89070483567039</v>
      </c>
      <c r="P403" s="50">
        <f t="shared" si="233"/>
        <v>214.77929516432962</v>
      </c>
      <c r="Q403" s="50"/>
      <c r="R403" s="50">
        <f t="shared" si="234"/>
        <v>0</v>
      </c>
      <c r="S403" s="50">
        <f t="shared" si="235"/>
        <v>0</v>
      </c>
      <c r="T403" s="50"/>
      <c r="U403" s="50">
        <f t="shared" si="236"/>
        <v>0</v>
      </c>
      <c r="V403" s="50"/>
      <c r="W403" s="50">
        <f t="shared" si="237"/>
        <v>0</v>
      </c>
      <c r="X403" s="50"/>
      <c r="Y403" s="50">
        <f t="shared" si="238"/>
        <v>0</v>
      </c>
      <c r="Z403" s="50"/>
      <c r="AA403" s="50">
        <f t="shared" si="239"/>
        <v>0</v>
      </c>
      <c r="AB403" s="50">
        <f t="shared" si="240"/>
        <v>389.67</v>
      </c>
      <c r="AC403" s="30" t="str">
        <f t="shared" si="241"/>
        <v>ok</v>
      </c>
    </row>
    <row r="404" spans="1:29" x14ac:dyDescent="0.2">
      <c r="A404" s="14">
        <v>596</v>
      </c>
      <c r="B404" s="14" t="s">
        <v>380</v>
      </c>
      <c r="C404" s="14" t="s">
        <v>499</v>
      </c>
      <c r="D404" s="14" t="s">
        <v>48</v>
      </c>
      <c r="F404" s="234">
        <v>70.97</v>
      </c>
      <c r="G404" s="194"/>
      <c r="H404" s="50">
        <f t="shared" si="228"/>
        <v>0</v>
      </c>
      <c r="I404" s="50">
        <f t="shared" si="229"/>
        <v>0</v>
      </c>
      <c r="J404" s="50"/>
      <c r="K404" s="50">
        <f t="shared" si="230"/>
        <v>0</v>
      </c>
      <c r="L404" s="50"/>
      <c r="M404" s="50">
        <f t="shared" si="231"/>
        <v>0</v>
      </c>
      <c r="N404" s="50"/>
      <c r="O404" s="50">
        <f t="shared" si="232"/>
        <v>0</v>
      </c>
      <c r="P404" s="50">
        <f t="shared" si="233"/>
        <v>0</v>
      </c>
      <c r="Q404" s="50"/>
      <c r="R404" s="50">
        <f t="shared" si="234"/>
        <v>0</v>
      </c>
      <c r="S404" s="50">
        <f t="shared" si="235"/>
        <v>0</v>
      </c>
      <c r="T404" s="50"/>
      <c r="U404" s="50">
        <f t="shared" si="236"/>
        <v>0</v>
      </c>
      <c r="V404" s="50"/>
      <c r="W404" s="50">
        <f t="shared" si="237"/>
        <v>70.97</v>
      </c>
      <c r="X404" s="50"/>
      <c r="Y404" s="50">
        <f t="shared" si="238"/>
        <v>0</v>
      </c>
      <c r="Z404" s="50"/>
      <c r="AA404" s="50">
        <f t="shared" si="239"/>
        <v>0</v>
      </c>
      <c r="AB404" s="50">
        <f t="shared" si="240"/>
        <v>70.97</v>
      </c>
      <c r="AC404" s="30" t="str">
        <f t="shared" si="241"/>
        <v>ok</v>
      </c>
    </row>
    <row r="405" spans="1:29" x14ac:dyDescent="0.2">
      <c r="A405" s="14">
        <v>597</v>
      </c>
      <c r="B405" s="14" t="s">
        <v>130</v>
      </c>
      <c r="C405" s="14" t="s">
        <v>500</v>
      </c>
      <c r="D405" s="14" t="s">
        <v>43</v>
      </c>
      <c r="F405" s="234">
        <v>0</v>
      </c>
      <c r="G405" s="194"/>
      <c r="H405" s="50">
        <f t="shared" si="228"/>
        <v>0</v>
      </c>
      <c r="I405" s="50">
        <f t="shared" si="229"/>
        <v>0</v>
      </c>
      <c r="J405" s="50"/>
      <c r="K405" s="50">
        <f t="shared" si="230"/>
        <v>0</v>
      </c>
      <c r="L405" s="50"/>
      <c r="M405" s="50">
        <f t="shared" si="231"/>
        <v>0</v>
      </c>
      <c r="N405" s="50"/>
      <c r="O405" s="50">
        <f t="shared" si="232"/>
        <v>0</v>
      </c>
      <c r="P405" s="50">
        <f t="shared" si="233"/>
        <v>0</v>
      </c>
      <c r="Q405" s="50"/>
      <c r="R405" s="50">
        <f t="shared" si="234"/>
        <v>0</v>
      </c>
      <c r="S405" s="50">
        <f t="shared" si="235"/>
        <v>0</v>
      </c>
      <c r="T405" s="50"/>
      <c r="U405" s="50">
        <f t="shared" si="236"/>
        <v>0</v>
      </c>
      <c r="V405" s="50"/>
      <c r="W405" s="50">
        <f t="shared" si="237"/>
        <v>0</v>
      </c>
      <c r="X405" s="50"/>
      <c r="Y405" s="50">
        <f t="shared" si="238"/>
        <v>0</v>
      </c>
      <c r="Z405" s="50"/>
      <c r="AA405" s="50">
        <f t="shared" si="239"/>
        <v>0</v>
      </c>
      <c r="AB405" s="50">
        <f t="shared" si="240"/>
        <v>0</v>
      </c>
      <c r="AC405" s="30" t="str">
        <f t="shared" si="241"/>
        <v>ok</v>
      </c>
    </row>
    <row r="406" spans="1:29" x14ac:dyDescent="0.2">
      <c r="A406" s="14">
        <v>598</v>
      </c>
      <c r="B406" s="14" t="s">
        <v>384</v>
      </c>
      <c r="C406" s="14" t="s">
        <v>501</v>
      </c>
      <c r="D406" s="14" t="s">
        <v>16</v>
      </c>
      <c r="F406" s="234">
        <v>12170.98</v>
      </c>
      <c r="G406" s="194"/>
      <c r="H406" s="50">
        <f t="shared" si="228"/>
        <v>0</v>
      </c>
      <c r="I406" s="50">
        <f t="shared" si="229"/>
        <v>0</v>
      </c>
      <c r="J406" s="50"/>
      <c r="K406" s="50">
        <f t="shared" si="230"/>
        <v>0</v>
      </c>
      <c r="L406" s="50"/>
      <c r="M406" s="50">
        <f t="shared" si="231"/>
        <v>44.859134214802353</v>
      </c>
      <c r="N406" s="50"/>
      <c r="O406" s="50">
        <f t="shared" si="232"/>
        <v>5927.3993437635136</v>
      </c>
      <c r="P406" s="50">
        <f t="shared" si="233"/>
        <v>3336.1747958350734</v>
      </c>
      <c r="Q406" s="50"/>
      <c r="R406" s="50">
        <f t="shared" si="234"/>
        <v>0</v>
      </c>
      <c r="S406" s="50">
        <f t="shared" si="235"/>
        <v>1533.2276894723934</v>
      </c>
      <c r="T406" s="50"/>
      <c r="U406" s="50">
        <f t="shared" si="236"/>
        <v>667.10694667216183</v>
      </c>
      <c r="V406" s="50"/>
      <c r="W406" s="50">
        <f t="shared" si="237"/>
        <v>662.21209004205616</v>
      </c>
      <c r="X406" s="50"/>
      <c r="Y406" s="50">
        <f t="shared" si="238"/>
        <v>0</v>
      </c>
      <c r="Z406" s="50"/>
      <c r="AA406" s="50">
        <f t="shared" si="239"/>
        <v>0</v>
      </c>
      <c r="AB406" s="50">
        <f t="shared" si="240"/>
        <v>12170.98</v>
      </c>
      <c r="AC406" s="30" t="str">
        <f t="shared" si="241"/>
        <v>ok</v>
      </c>
    </row>
    <row r="407" spans="1:29" x14ac:dyDescent="0.2">
      <c r="F407" s="234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30"/>
    </row>
    <row r="408" spans="1:29" x14ac:dyDescent="0.2">
      <c r="A408" s="14" t="s">
        <v>538</v>
      </c>
      <c r="C408" s="14" t="s">
        <v>502</v>
      </c>
      <c r="F408" s="233">
        <f>SUM(F399:F407)</f>
        <v>5031450.0900000008</v>
      </c>
      <c r="G408" s="66"/>
      <c r="H408" s="66">
        <f>SUM(H399:H407)</f>
        <v>0</v>
      </c>
      <c r="I408" s="66">
        <f>SUM(I399:I407)</f>
        <v>0</v>
      </c>
      <c r="J408" s="66"/>
      <c r="K408" s="66">
        <f>SUM(K399:K407)</f>
        <v>0</v>
      </c>
      <c r="L408" s="66"/>
      <c r="M408" s="66">
        <f>SUM(M399:M407)</f>
        <v>332.07696711332574</v>
      </c>
      <c r="N408" s="66"/>
      <c r="O408" s="66">
        <f>SUM(O399:O407)</f>
        <v>3573936.0371326101</v>
      </c>
      <c r="P408" s="66">
        <f>SUM(P399:P407)</f>
        <v>1435920.542649237</v>
      </c>
      <c r="Q408" s="66"/>
      <c r="R408" s="66">
        <f>SUM(R399:R407)</f>
        <v>0</v>
      </c>
      <c r="S408" s="66">
        <f>SUM(S399:S407)</f>
        <v>11349.964949750594</v>
      </c>
      <c r="T408" s="66"/>
      <c r="U408" s="66">
        <f>SUM(U399:U407)</f>
        <v>4938.3666329882753</v>
      </c>
      <c r="V408" s="66"/>
      <c r="W408" s="66">
        <f>SUM(W399:W407)</f>
        <v>4973.1016683008893</v>
      </c>
      <c r="X408" s="66"/>
      <c r="Y408" s="66">
        <f>SUM(Y399:Y407)</f>
        <v>0</v>
      </c>
      <c r="Z408" s="66"/>
      <c r="AA408" s="66">
        <f>SUM(AA399:AA407)</f>
        <v>0</v>
      </c>
      <c r="AB408" s="50">
        <f>SUM(H408:AA408)</f>
        <v>5031450.09</v>
      </c>
      <c r="AC408" s="30" t="str">
        <f>IF(ABS(AB408-F408)&lt;1,"ok","err")</f>
        <v>ok</v>
      </c>
    </row>
    <row r="409" spans="1:29" x14ac:dyDescent="0.2">
      <c r="F409" s="234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C409" s="30"/>
    </row>
    <row r="410" spans="1:29" x14ac:dyDescent="0.2">
      <c r="A410" s="14" t="s">
        <v>539</v>
      </c>
      <c r="F410" s="234">
        <f>F392+F408</f>
        <v>6920566.6300000008</v>
      </c>
      <c r="G410" s="50"/>
      <c r="H410" s="50">
        <f>H392+H408</f>
        <v>0</v>
      </c>
      <c r="I410" s="50">
        <f>I392+I408</f>
        <v>0</v>
      </c>
      <c r="J410" s="50"/>
      <c r="K410" s="50">
        <f>K392+K408</f>
        <v>0</v>
      </c>
      <c r="L410" s="50"/>
      <c r="M410" s="50">
        <f>M392+M408</f>
        <v>2301.926426568778</v>
      </c>
      <c r="N410" s="50"/>
      <c r="O410" s="50">
        <f>O392+O408</f>
        <v>3940273.9841350615</v>
      </c>
      <c r="P410" s="50">
        <f>P392+P408</f>
        <v>1624979.1533360605</v>
      </c>
      <c r="Q410" s="50"/>
      <c r="R410" s="50">
        <f>R392+R408</f>
        <v>0</v>
      </c>
      <c r="S410" s="50">
        <f>S392+S408</f>
        <v>78676.893750189382</v>
      </c>
      <c r="T410" s="50"/>
      <c r="U410" s="50">
        <f>U392+U408</f>
        <v>34232.294866393997</v>
      </c>
      <c r="V410" s="50"/>
      <c r="W410" s="50">
        <f>W392+W408</f>
        <v>1240102.377485726</v>
      </c>
      <c r="X410" s="50"/>
      <c r="Y410" s="50">
        <f>Y392+Y408</f>
        <v>0</v>
      </c>
      <c r="Z410" s="50"/>
      <c r="AA410" s="50">
        <f>AA392+AA408</f>
        <v>0</v>
      </c>
      <c r="AB410" s="50">
        <f>SUM(H410:AA410)</f>
        <v>6920566.6300000008</v>
      </c>
      <c r="AC410" s="30" t="str">
        <f>IF(ABS(AB410-F410)&lt;1,"ok","err")</f>
        <v>ok</v>
      </c>
    </row>
    <row r="411" spans="1:29" x14ac:dyDescent="0.2">
      <c r="F411" s="234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C411" s="30"/>
    </row>
    <row r="412" spans="1:29" x14ac:dyDescent="0.2">
      <c r="A412" s="14" t="s">
        <v>540</v>
      </c>
      <c r="F412" s="234">
        <f>F410+F377</f>
        <v>6920566.6300000008</v>
      </c>
      <c r="G412" s="50"/>
      <c r="H412" s="50">
        <f>H410+H377</f>
        <v>0</v>
      </c>
      <c r="I412" s="50">
        <f>I410+I377</f>
        <v>0</v>
      </c>
      <c r="J412" s="50"/>
      <c r="K412" s="50">
        <f>K410+K377</f>
        <v>0</v>
      </c>
      <c r="L412" s="50"/>
      <c r="M412" s="50">
        <f>M410+M377</f>
        <v>2301.926426568778</v>
      </c>
      <c r="N412" s="50"/>
      <c r="O412" s="50">
        <f>O410+O377</f>
        <v>3940273.9841350615</v>
      </c>
      <c r="P412" s="50">
        <f>P410+P377</f>
        <v>1624979.1533360605</v>
      </c>
      <c r="Q412" s="50"/>
      <c r="R412" s="50">
        <f>R410+R377</f>
        <v>0</v>
      </c>
      <c r="S412" s="50">
        <f>S410+S377</f>
        <v>78676.893750189382</v>
      </c>
      <c r="T412" s="50"/>
      <c r="U412" s="50">
        <f>U410+U377</f>
        <v>34232.294866393997</v>
      </c>
      <c r="V412" s="50"/>
      <c r="W412" s="50">
        <f>W410+W377</f>
        <v>1240102.377485726</v>
      </c>
      <c r="X412" s="50"/>
      <c r="Y412" s="50">
        <f>Y410+Y377</f>
        <v>0</v>
      </c>
      <c r="Z412" s="50"/>
      <c r="AA412" s="50">
        <f>AA410+AA377</f>
        <v>0</v>
      </c>
      <c r="AB412" s="50">
        <f>SUM(H412:AA412)</f>
        <v>6920566.6300000008</v>
      </c>
      <c r="AC412" s="30" t="str">
        <f>IF(ABS(AB412-F412)&lt;1,"ok","err")</f>
        <v>ok</v>
      </c>
    </row>
    <row r="413" spans="1:29" x14ac:dyDescent="0.2">
      <c r="F413" s="234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C413" s="30"/>
    </row>
    <row r="414" spans="1:29" x14ac:dyDescent="0.2">
      <c r="A414" s="14" t="s">
        <v>541</v>
      </c>
      <c r="C414" s="14" t="s">
        <v>503</v>
      </c>
      <c r="F414" s="233">
        <f>F412+F365</f>
        <v>6920566.6300000008</v>
      </c>
      <c r="G414" s="66"/>
      <c r="H414" s="66">
        <f>H412+H365</f>
        <v>0</v>
      </c>
      <c r="I414" s="66">
        <f>I412+I365</f>
        <v>0</v>
      </c>
      <c r="J414" s="66"/>
      <c r="K414" s="66">
        <f>K412+K365</f>
        <v>0</v>
      </c>
      <c r="L414" s="66"/>
      <c r="M414" s="66">
        <f>M412+M365</f>
        <v>2301.926426568778</v>
      </c>
      <c r="N414" s="66"/>
      <c r="O414" s="66">
        <f>O412+O365</f>
        <v>3940273.9841350615</v>
      </c>
      <c r="P414" s="66">
        <f>P412+P365</f>
        <v>1624979.1533360605</v>
      </c>
      <c r="Q414" s="66"/>
      <c r="R414" s="66">
        <f>R412+R365</f>
        <v>0</v>
      </c>
      <c r="S414" s="66">
        <f>S412+S365</f>
        <v>78676.893750189382</v>
      </c>
      <c r="T414" s="66"/>
      <c r="U414" s="66">
        <f>U412+U365</f>
        <v>34232.294866393997</v>
      </c>
      <c r="V414" s="66"/>
      <c r="W414" s="66">
        <f>W412+W365</f>
        <v>1240102.377485726</v>
      </c>
      <c r="X414" s="66"/>
      <c r="Y414" s="66">
        <f>Y412+Y365</f>
        <v>0</v>
      </c>
      <c r="Z414" s="66"/>
      <c r="AA414" s="66">
        <f>AA412+AA365</f>
        <v>0</v>
      </c>
      <c r="AB414" s="50">
        <f>SUM(H414:AA414)</f>
        <v>6920566.6300000008</v>
      </c>
      <c r="AC414" s="30" t="str">
        <f>IF(ABS(AB414-F414)&lt;1,"ok","err")</f>
        <v>ok</v>
      </c>
    </row>
    <row r="415" spans="1:29" x14ac:dyDescent="0.2">
      <c r="A415" s="13"/>
      <c r="F415" s="234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C415" s="30"/>
    </row>
    <row r="416" spans="1:29" x14ac:dyDescent="0.2">
      <c r="A416" s="13" t="s">
        <v>137</v>
      </c>
      <c r="F416" s="234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C416" s="30"/>
    </row>
    <row r="417" spans="1:29" x14ac:dyDescent="0.2">
      <c r="A417" s="14">
        <v>901</v>
      </c>
      <c r="B417" s="14" t="s">
        <v>138</v>
      </c>
      <c r="C417" s="14" t="s">
        <v>504</v>
      </c>
      <c r="D417" s="14" t="s">
        <v>140</v>
      </c>
      <c r="F417" s="234">
        <v>32568.000000000004</v>
      </c>
      <c r="G417" s="193"/>
      <c r="H417" s="50">
        <f>IF(VLOOKUP($D417,$C$5:$AA$493,6,)=0,0,((VLOOKUP($D417,$C$5:$AA$493,6,)/VLOOKUP($D417,$C$5:$AA$493,4,))*$F417))</f>
        <v>0</v>
      </c>
      <c r="I417" s="50">
        <f>IF(VLOOKUP($D417,$C$5:$AA$493,7,)=0,0,((VLOOKUP($D417,$C$5:$AA$493,7,)/VLOOKUP($D417,$C$5:$AA$493,4,))*$F417))</f>
        <v>0</v>
      </c>
      <c r="J417" s="50"/>
      <c r="K417" s="50">
        <f>IF(VLOOKUP($D417,$C$5:$AA$493,9,)=0,0,((VLOOKUP($D417,$C$5:$AA$493,9,)/VLOOKUP($D417,$C$5:$AA$493,4,))*$F417))</f>
        <v>0</v>
      </c>
      <c r="L417" s="50"/>
      <c r="M417" s="50">
        <f>IF(VLOOKUP($D417,$C$5:$AA$493,11,)=0,0,((VLOOKUP($D417,$C$5:$AA$493,11,)/VLOOKUP($D417,$C$5:$AA$493,4,))*$F417))</f>
        <v>0</v>
      </c>
      <c r="N417" s="50"/>
      <c r="O417" s="50">
        <f>IF(VLOOKUP($D417,$C$5:$AA$493,13,)=0,0,((VLOOKUP($D417,$C$5:$AA$493,13,)/VLOOKUP($D417,$C$5:$AA$493,4,))*$F417))</f>
        <v>0</v>
      </c>
      <c r="P417" s="50">
        <f>IF(VLOOKUP($D417,$C$5:$AA$493,14,)=0,0,((VLOOKUP($D417,$C$5:$AA$493,14,)/VLOOKUP($D417,$C$5:$AA$493,4,))*$F417))</f>
        <v>0</v>
      </c>
      <c r="Q417" s="50"/>
      <c r="R417" s="50">
        <f>IF(VLOOKUP($D417,$C$5:$AA$493,16,)=0,0,((VLOOKUP($D417,$C$5:$AA$493,16,)/VLOOKUP($D417,$C$5:$AA$493,4,))*$F417))</f>
        <v>0</v>
      </c>
      <c r="S417" s="50">
        <f>IF(VLOOKUP($D417,$C$5:$AA$493,17,)=0,0,((VLOOKUP($D417,$C$5:$AA$493,17,)/VLOOKUP($D417,$C$5:$AA$493,4,))*$F417))</f>
        <v>0</v>
      </c>
      <c r="T417" s="50"/>
      <c r="U417" s="50">
        <f>IF(VLOOKUP($D417,$C$5:$AA$493,19,)=0,0,((VLOOKUP($D417,$C$5:$AA$493,19,)/VLOOKUP($D417,$C$5:$AA$493,4,))*$F417))</f>
        <v>0</v>
      </c>
      <c r="V417" s="50"/>
      <c r="W417" s="50">
        <f>IF(VLOOKUP($D417,$C$5:$AA$493,21,)=0,0,((VLOOKUP($D417,$C$5:$AA$493,21,)/VLOOKUP($D417,$C$5:$AA$493,4,))*$F417))</f>
        <v>0</v>
      </c>
      <c r="X417" s="50"/>
      <c r="Y417" s="50">
        <f>IF(VLOOKUP($D417,$C$5:$AA$493,23,)=0,0,((VLOOKUP($D417,$C$5:$AA$493,23,)/VLOOKUP($D417,$C$5:$AA$493,4,))*$F417))</f>
        <v>32568.000000000004</v>
      </c>
      <c r="Z417" s="50"/>
      <c r="AA417" s="50">
        <f>IF(VLOOKUP($D417,$C$5:$AA$493,25,)=0,0,((VLOOKUP($D417,$C$5:$AA$493,25,)/VLOOKUP($D417,$C$5:$AA$493,4,))*$F417))</f>
        <v>0</v>
      </c>
      <c r="AB417" s="50">
        <f>SUM(H417:AA417)</f>
        <v>32568.000000000004</v>
      </c>
      <c r="AC417" s="30" t="str">
        <f>IF(ABS(AB417-F417)&lt;1,"ok","err")</f>
        <v>ok</v>
      </c>
    </row>
    <row r="418" spans="1:29" x14ac:dyDescent="0.2">
      <c r="A418" s="14">
        <v>902</v>
      </c>
      <c r="B418" s="14" t="s">
        <v>141</v>
      </c>
      <c r="C418" s="14" t="s">
        <v>505</v>
      </c>
      <c r="D418" s="14" t="s">
        <v>140</v>
      </c>
      <c r="F418" s="234">
        <v>0</v>
      </c>
      <c r="G418" s="194"/>
      <c r="H418" s="50">
        <f>IF(VLOOKUP($D418,$C$5:$AA$493,6,)=0,0,((VLOOKUP($D418,$C$5:$AA$493,6,)/VLOOKUP($D418,$C$5:$AA$493,4,))*$F418))</f>
        <v>0</v>
      </c>
      <c r="I418" s="50">
        <f>IF(VLOOKUP($D418,$C$5:$AA$493,7,)=0,0,((VLOOKUP($D418,$C$5:$AA$493,7,)/VLOOKUP($D418,$C$5:$AA$493,4,))*$F418))</f>
        <v>0</v>
      </c>
      <c r="J418" s="50"/>
      <c r="K418" s="50">
        <f>IF(VLOOKUP($D418,$C$5:$AA$493,9,)=0,0,((VLOOKUP($D418,$C$5:$AA$493,9,)/VLOOKUP($D418,$C$5:$AA$493,4,))*$F418))</f>
        <v>0</v>
      </c>
      <c r="L418" s="50"/>
      <c r="M418" s="50">
        <f>IF(VLOOKUP($D418,$C$5:$AA$493,11,)=0,0,((VLOOKUP($D418,$C$5:$AA$493,11,)/VLOOKUP($D418,$C$5:$AA$493,4,))*$F418))</f>
        <v>0</v>
      </c>
      <c r="N418" s="50"/>
      <c r="O418" s="50">
        <f>IF(VLOOKUP($D418,$C$5:$AA$493,13,)=0,0,((VLOOKUP($D418,$C$5:$AA$493,13,)/VLOOKUP($D418,$C$5:$AA$493,4,))*$F418))</f>
        <v>0</v>
      </c>
      <c r="P418" s="50">
        <f>IF(VLOOKUP($D418,$C$5:$AA$493,14,)=0,0,((VLOOKUP($D418,$C$5:$AA$493,14,)/VLOOKUP($D418,$C$5:$AA$493,4,))*$F418))</f>
        <v>0</v>
      </c>
      <c r="Q418" s="50"/>
      <c r="R418" s="50">
        <f>IF(VLOOKUP($D418,$C$5:$AA$493,16,)=0,0,((VLOOKUP($D418,$C$5:$AA$493,16,)/VLOOKUP($D418,$C$5:$AA$493,4,))*$F418))</f>
        <v>0</v>
      </c>
      <c r="S418" s="50">
        <f>IF(VLOOKUP($D418,$C$5:$AA$493,17,)=0,0,((VLOOKUP($D418,$C$5:$AA$493,17,)/VLOOKUP($D418,$C$5:$AA$493,4,))*$F418))</f>
        <v>0</v>
      </c>
      <c r="T418" s="50"/>
      <c r="U418" s="50">
        <f>IF(VLOOKUP($D418,$C$5:$AA$493,19,)=0,0,((VLOOKUP($D418,$C$5:$AA$493,19,)/VLOOKUP($D418,$C$5:$AA$493,4,))*$F418))</f>
        <v>0</v>
      </c>
      <c r="V418" s="50"/>
      <c r="W418" s="50">
        <f>IF(VLOOKUP($D418,$C$5:$AA$493,21,)=0,0,((VLOOKUP($D418,$C$5:$AA$493,21,)/VLOOKUP($D418,$C$5:$AA$493,4,))*$F418))</f>
        <v>0</v>
      </c>
      <c r="X418" s="50"/>
      <c r="Y418" s="50">
        <f>IF(VLOOKUP($D418,$C$5:$AA$493,23,)=0,0,((VLOOKUP($D418,$C$5:$AA$493,23,)/VLOOKUP($D418,$C$5:$AA$493,4,))*$F418))</f>
        <v>0</v>
      </c>
      <c r="Z418" s="50"/>
      <c r="AA418" s="50">
        <f>IF(VLOOKUP($D418,$C$5:$AA$493,25,)=0,0,((VLOOKUP($D418,$C$5:$AA$493,25,)/VLOOKUP($D418,$C$5:$AA$493,4,))*$F418))</f>
        <v>0</v>
      </c>
      <c r="AB418" s="50">
        <f>SUM(H418:AA418)</f>
        <v>0</v>
      </c>
      <c r="AC418" s="30" t="str">
        <f>IF(ABS(AB418-F418)&lt;1,"ok","err")</f>
        <v>ok</v>
      </c>
    </row>
    <row r="419" spans="1:29" x14ac:dyDescent="0.2">
      <c r="A419" s="14">
        <v>903</v>
      </c>
      <c r="B419" s="14" t="s">
        <v>452</v>
      </c>
      <c r="C419" s="14" t="s">
        <v>506</v>
      </c>
      <c r="D419" s="14" t="s">
        <v>140</v>
      </c>
      <c r="F419" s="234">
        <v>2584868.4700000002</v>
      </c>
      <c r="G419" s="194"/>
      <c r="H419" s="50">
        <f>IF(VLOOKUP($D419,$C$5:$AA$493,6,)=0,0,((VLOOKUP($D419,$C$5:$AA$493,6,)/VLOOKUP($D419,$C$5:$AA$493,4,))*$F419))</f>
        <v>0</v>
      </c>
      <c r="I419" s="50">
        <f>IF(VLOOKUP($D419,$C$5:$AA$493,7,)=0,0,((VLOOKUP($D419,$C$5:$AA$493,7,)/VLOOKUP($D419,$C$5:$AA$493,4,))*$F419))</f>
        <v>0</v>
      </c>
      <c r="J419" s="50"/>
      <c r="K419" s="50">
        <f>IF(VLOOKUP($D419,$C$5:$AA$493,9,)=0,0,((VLOOKUP($D419,$C$5:$AA$493,9,)/VLOOKUP($D419,$C$5:$AA$493,4,))*$F419))</f>
        <v>0</v>
      </c>
      <c r="L419" s="50"/>
      <c r="M419" s="50">
        <f>IF(VLOOKUP($D419,$C$5:$AA$493,11,)=0,0,((VLOOKUP($D419,$C$5:$AA$493,11,)/VLOOKUP($D419,$C$5:$AA$493,4,))*$F419))</f>
        <v>0</v>
      </c>
      <c r="N419" s="50"/>
      <c r="O419" s="50">
        <f>IF(VLOOKUP($D419,$C$5:$AA$493,13,)=0,0,((VLOOKUP($D419,$C$5:$AA$493,13,)/VLOOKUP($D419,$C$5:$AA$493,4,))*$F419))</f>
        <v>0</v>
      </c>
      <c r="P419" s="50">
        <f>IF(VLOOKUP($D419,$C$5:$AA$493,14,)=0,0,((VLOOKUP($D419,$C$5:$AA$493,14,)/VLOOKUP($D419,$C$5:$AA$493,4,))*$F419))</f>
        <v>0</v>
      </c>
      <c r="Q419" s="50"/>
      <c r="R419" s="50">
        <f>IF(VLOOKUP($D419,$C$5:$AA$493,16,)=0,0,((VLOOKUP($D419,$C$5:$AA$493,16,)/VLOOKUP($D419,$C$5:$AA$493,4,))*$F419))</f>
        <v>0</v>
      </c>
      <c r="S419" s="50">
        <f>IF(VLOOKUP($D419,$C$5:$AA$493,17,)=0,0,((VLOOKUP($D419,$C$5:$AA$493,17,)/VLOOKUP($D419,$C$5:$AA$493,4,))*$F419))</f>
        <v>0</v>
      </c>
      <c r="T419" s="50"/>
      <c r="U419" s="50">
        <f>IF(VLOOKUP($D419,$C$5:$AA$493,19,)=0,0,((VLOOKUP($D419,$C$5:$AA$493,19,)/VLOOKUP($D419,$C$5:$AA$493,4,))*$F419))</f>
        <v>0</v>
      </c>
      <c r="V419" s="50"/>
      <c r="W419" s="50">
        <f>IF(VLOOKUP($D419,$C$5:$AA$493,21,)=0,0,((VLOOKUP($D419,$C$5:$AA$493,21,)/VLOOKUP($D419,$C$5:$AA$493,4,))*$F419))</f>
        <v>0</v>
      </c>
      <c r="X419" s="50"/>
      <c r="Y419" s="50">
        <f>IF(VLOOKUP($D419,$C$5:$AA$493,23,)=0,0,((VLOOKUP($D419,$C$5:$AA$493,23,)/VLOOKUP($D419,$C$5:$AA$493,4,))*$F419))</f>
        <v>2584868.4700000002</v>
      </c>
      <c r="Z419" s="50"/>
      <c r="AA419" s="50">
        <f>IF(VLOOKUP($D419,$C$5:$AA$493,25,)=0,0,((VLOOKUP($D419,$C$5:$AA$493,25,)/VLOOKUP($D419,$C$5:$AA$493,4,))*$F419))</f>
        <v>0</v>
      </c>
      <c r="AB419" s="50">
        <f>SUM(H419:AA419)</f>
        <v>2584868.4700000002</v>
      </c>
      <c r="AC419" s="30" t="str">
        <f>IF(ABS(AB419-F419)&lt;1,"ok","err")</f>
        <v>ok</v>
      </c>
    </row>
    <row r="420" spans="1:29" x14ac:dyDescent="0.2">
      <c r="A420" s="14">
        <v>904</v>
      </c>
      <c r="B420" s="14" t="s">
        <v>144</v>
      </c>
      <c r="C420" s="14" t="s">
        <v>507</v>
      </c>
      <c r="D420" s="14" t="s">
        <v>140</v>
      </c>
      <c r="F420" s="234">
        <v>0</v>
      </c>
      <c r="G420" s="194"/>
      <c r="H420" s="50">
        <f>IF(VLOOKUP($D420,$C$5:$AA$493,6,)=0,0,((VLOOKUP($D420,$C$5:$AA$493,6,)/VLOOKUP($D420,$C$5:$AA$493,4,))*$F420))</f>
        <v>0</v>
      </c>
      <c r="I420" s="50">
        <f>IF(VLOOKUP($D420,$C$5:$AA$493,7,)=0,0,((VLOOKUP($D420,$C$5:$AA$493,7,)/VLOOKUP($D420,$C$5:$AA$493,4,))*$F420))</f>
        <v>0</v>
      </c>
      <c r="J420" s="50"/>
      <c r="K420" s="50">
        <f>IF(VLOOKUP($D420,$C$5:$AA$493,9,)=0,0,((VLOOKUP($D420,$C$5:$AA$493,9,)/VLOOKUP($D420,$C$5:$AA$493,4,))*$F420))</f>
        <v>0</v>
      </c>
      <c r="L420" s="50"/>
      <c r="M420" s="50">
        <f>IF(VLOOKUP($D420,$C$5:$AA$493,11,)=0,0,((VLOOKUP($D420,$C$5:$AA$493,11,)/VLOOKUP($D420,$C$5:$AA$493,4,))*$F420))</f>
        <v>0</v>
      </c>
      <c r="N420" s="50"/>
      <c r="O420" s="50">
        <f>IF(VLOOKUP($D420,$C$5:$AA$493,13,)=0,0,((VLOOKUP($D420,$C$5:$AA$493,13,)/VLOOKUP($D420,$C$5:$AA$493,4,))*$F420))</f>
        <v>0</v>
      </c>
      <c r="P420" s="50">
        <f>IF(VLOOKUP($D420,$C$5:$AA$493,14,)=0,0,((VLOOKUP($D420,$C$5:$AA$493,14,)/VLOOKUP($D420,$C$5:$AA$493,4,))*$F420))</f>
        <v>0</v>
      </c>
      <c r="Q420" s="50"/>
      <c r="R420" s="50">
        <f>IF(VLOOKUP($D420,$C$5:$AA$493,16,)=0,0,((VLOOKUP($D420,$C$5:$AA$493,16,)/VLOOKUP($D420,$C$5:$AA$493,4,))*$F420))</f>
        <v>0</v>
      </c>
      <c r="S420" s="50">
        <f>IF(VLOOKUP($D420,$C$5:$AA$493,17,)=0,0,((VLOOKUP($D420,$C$5:$AA$493,17,)/VLOOKUP($D420,$C$5:$AA$493,4,))*$F420))</f>
        <v>0</v>
      </c>
      <c r="T420" s="50"/>
      <c r="U420" s="50">
        <f>IF(VLOOKUP($D420,$C$5:$AA$493,19,)=0,0,((VLOOKUP($D420,$C$5:$AA$493,19,)/VLOOKUP($D420,$C$5:$AA$493,4,))*$F420))</f>
        <v>0</v>
      </c>
      <c r="V420" s="50"/>
      <c r="W420" s="50">
        <f>IF(VLOOKUP($D420,$C$5:$AA$493,21,)=0,0,((VLOOKUP($D420,$C$5:$AA$493,21,)/VLOOKUP($D420,$C$5:$AA$493,4,))*$F420))</f>
        <v>0</v>
      </c>
      <c r="X420" s="50"/>
      <c r="Y420" s="50">
        <f>IF(VLOOKUP($D420,$C$5:$AA$493,23,)=0,0,((VLOOKUP($D420,$C$5:$AA$493,23,)/VLOOKUP($D420,$C$5:$AA$493,4,))*$F420))</f>
        <v>0</v>
      </c>
      <c r="Z420" s="50"/>
      <c r="AA420" s="50">
        <f>IF(VLOOKUP($D420,$C$5:$AA$493,25,)=0,0,((VLOOKUP($D420,$C$5:$AA$493,25,)/VLOOKUP($D420,$C$5:$AA$493,4,))*$F420))</f>
        <v>0</v>
      </c>
      <c r="AB420" s="50">
        <f>SUM(H420:AA420)</f>
        <v>0</v>
      </c>
      <c r="AC420" s="30" t="str">
        <f>IF(ABS(AB420-F420)&lt;1,"ok","err")</f>
        <v>ok</v>
      </c>
    </row>
    <row r="421" spans="1:29" x14ac:dyDescent="0.2">
      <c r="A421" s="14">
        <v>905</v>
      </c>
      <c r="B421" s="14" t="s">
        <v>453</v>
      </c>
      <c r="C421" s="14" t="s">
        <v>506</v>
      </c>
      <c r="D421" s="14" t="s">
        <v>140</v>
      </c>
      <c r="F421" s="234">
        <v>0</v>
      </c>
      <c r="G421" s="194"/>
      <c r="H421" s="50">
        <f>IF(VLOOKUP($D421,$C$5:$AA$493,6,)=0,0,((VLOOKUP($D421,$C$5:$AA$493,6,)/VLOOKUP($D421,$C$5:$AA$493,4,))*$F421))</f>
        <v>0</v>
      </c>
      <c r="I421" s="50">
        <f>IF(VLOOKUP($D421,$C$5:$AA$493,7,)=0,0,((VLOOKUP($D421,$C$5:$AA$493,7,)/VLOOKUP($D421,$C$5:$AA$493,4,))*$F421))</f>
        <v>0</v>
      </c>
      <c r="J421" s="50"/>
      <c r="K421" s="50">
        <f>IF(VLOOKUP($D421,$C$5:$AA$493,9,)=0,0,((VLOOKUP($D421,$C$5:$AA$493,9,)/VLOOKUP($D421,$C$5:$AA$493,4,))*$F421))</f>
        <v>0</v>
      </c>
      <c r="L421" s="50"/>
      <c r="M421" s="50">
        <f>IF(VLOOKUP($D421,$C$5:$AA$493,11,)=0,0,((VLOOKUP($D421,$C$5:$AA$493,11,)/VLOOKUP($D421,$C$5:$AA$493,4,))*$F421))</f>
        <v>0</v>
      </c>
      <c r="N421" s="50"/>
      <c r="O421" s="50">
        <f>IF(VLOOKUP($D421,$C$5:$AA$493,13,)=0,0,((VLOOKUP($D421,$C$5:$AA$493,13,)/VLOOKUP($D421,$C$5:$AA$493,4,))*$F421))</f>
        <v>0</v>
      </c>
      <c r="P421" s="50">
        <f>IF(VLOOKUP($D421,$C$5:$AA$493,14,)=0,0,((VLOOKUP($D421,$C$5:$AA$493,14,)/VLOOKUP($D421,$C$5:$AA$493,4,))*$F421))</f>
        <v>0</v>
      </c>
      <c r="Q421" s="50"/>
      <c r="R421" s="50">
        <f>IF(VLOOKUP($D421,$C$5:$AA$493,16,)=0,0,((VLOOKUP($D421,$C$5:$AA$493,16,)/VLOOKUP($D421,$C$5:$AA$493,4,))*$F421))</f>
        <v>0</v>
      </c>
      <c r="S421" s="50">
        <f>IF(VLOOKUP($D421,$C$5:$AA$493,17,)=0,0,((VLOOKUP($D421,$C$5:$AA$493,17,)/VLOOKUP($D421,$C$5:$AA$493,4,))*$F421))</f>
        <v>0</v>
      </c>
      <c r="T421" s="50"/>
      <c r="U421" s="50">
        <f>IF(VLOOKUP($D421,$C$5:$AA$493,19,)=0,0,((VLOOKUP($D421,$C$5:$AA$493,19,)/VLOOKUP($D421,$C$5:$AA$493,4,))*$F421))</f>
        <v>0</v>
      </c>
      <c r="V421" s="50"/>
      <c r="W421" s="50">
        <f>IF(VLOOKUP($D421,$C$5:$AA$493,21,)=0,0,((VLOOKUP($D421,$C$5:$AA$493,21,)/VLOOKUP($D421,$C$5:$AA$493,4,))*$F421))</f>
        <v>0</v>
      </c>
      <c r="X421" s="50"/>
      <c r="Y421" s="50">
        <f>IF(VLOOKUP($D421,$C$5:$AA$493,23,)=0,0,((VLOOKUP($D421,$C$5:$AA$493,23,)/VLOOKUP($D421,$C$5:$AA$493,4,))*$F421))</f>
        <v>0</v>
      </c>
      <c r="Z421" s="50"/>
      <c r="AA421" s="50">
        <f>IF(VLOOKUP($D421,$C$5:$AA$493,25,)=0,0,((VLOOKUP($D421,$C$5:$AA$493,25,)/VLOOKUP($D421,$C$5:$AA$493,4,))*$F421))</f>
        <v>0</v>
      </c>
      <c r="AB421" s="50">
        <f>SUM(H421:AA421)</f>
        <v>0</v>
      </c>
      <c r="AC421" s="30" t="str">
        <f>IF(ABS(AB421-F421)&lt;1,"ok","err")</f>
        <v>ok</v>
      </c>
    </row>
    <row r="422" spans="1:29" x14ac:dyDescent="0.2">
      <c r="A422" s="13"/>
      <c r="F422" s="234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30"/>
    </row>
    <row r="423" spans="1:29" x14ac:dyDescent="0.2">
      <c r="A423" s="14" t="s">
        <v>542</v>
      </c>
      <c r="C423" s="14" t="s">
        <v>508</v>
      </c>
      <c r="F423" s="233">
        <f>SUM(F417:F422)</f>
        <v>2617436.4700000002</v>
      </c>
      <c r="G423" s="66"/>
      <c r="H423" s="66">
        <f>SUM(H417:H422)</f>
        <v>0</v>
      </c>
      <c r="I423" s="66">
        <f>SUM(I417:I422)</f>
        <v>0</v>
      </c>
      <c r="J423" s="66"/>
      <c r="K423" s="66">
        <f>SUM(K417:K422)</f>
        <v>0</v>
      </c>
      <c r="L423" s="66"/>
      <c r="M423" s="66">
        <f>SUM(M417:M422)</f>
        <v>0</v>
      </c>
      <c r="N423" s="66"/>
      <c r="O423" s="66">
        <f>SUM(O417:O422)</f>
        <v>0</v>
      </c>
      <c r="P423" s="66">
        <f>SUM(P417:P422)</f>
        <v>0</v>
      </c>
      <c r="Q423" s="66"/>
      <c r="R423" s="66">
        <f>SUM(R417:R422)</f>
        <v>0</v>
      </c>
      <c r="S423" s="66">
        <f>SUM(S417:S422)</f>
        <v>0</v>
      </c>
      <c r="T423" s="66"/>
      <c r="U423" s="66">
        <f>SUM(U417:U422)</f>
        <v>0</v>
      </c>
      <c r="V423" s="66"/>
      <c r="W423" s="66">
        <f>SUM(W417:W422)</f>
        <v>0</v>
      </c>
      <c r="X423" s="66"/>
      <c r="Y423" s="66">
        <f>SUM(Y417:Y422)</f>
        <v>2617436.4700000002</v>
      </c>
      <c r="Z423" s="66"/>
      <c r="AA423" s="66">
        <f>SUM(AA417:AA422)</f>
        <v>0</v>
      </c>
      <c r="AB423" s="50">
        <f>SUM(H423:AA423)</f>
        <v>2617436.4700000002</v>
      </c>
      <c r="AC423" s="30" t="str">
        <f>IF(ABS(AB423-F423)&lt;1,"ok","err")</f>
        <v>ok</v>
      </c>
    </row>
    <row r="424" spans="1:29" x14ac:dyDescent="0.2">
      <c r="F424" s="234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C424" s="30"/>
    </row>
    <row r="425" spans="1:29" x14ac:dyDescent="0.2">
      <c r="A425" s="13" t="s">
        <v>148</v>
      </c>
      <c r="F425" s="234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C425" s="30"/>
    </row>
    <row r="426" spans="1:29" x14ac:dyDescent="0.2">
      <c r="A426" s="14">
        <v>907</v>
      </c>
      <c r="B426" s="14" t="s">
        <v>385</v>
      </c>
      <c r="C426" s="14" t="s">
        <v>509</v>
      </c>
      <c r="D426" s="14" t="s">
        <v>150</v>
      </c>
      <c r="F426" s="233">
        <v>32568.000000000004</v>
      </c>
      <c r="G426" s="193"/>
      <c r="H426" s="50">
        <f t="shared" ref="H426:H436" si="242">IF(VLOOKUP($D426,$C$5:$AA$493,6,)=0,0,((VLOOKUP($D426,$C$5:$AA$493,6,)/VLOOKUP($D426,$C$5:$AA$493,4,))*$F426))</f>
        <v>0</v>
      </c>
      <c r="I426" s="50">
        <f t="shared" ref="I426:I436" si="243">IF(VLOOKUP($D426,$C$5:$AA$493,7,)=0,0,((VLOOKUP($D426,$C$5:$AA$493,7,)/VLOOKUP($D426,$C$5:$AA$493,4,))*$F426))</f>
        <v>0</v>
      </c>
      <c r="J426" s="50"/>
      <c r="K426" s="50">
        <f t="shared" ref="K426:K436" si="244">IF(VLOOKUP($D426,$C$5:$AA$493,9,)=0,0,((VLOOKUP($D426,$C$5:$AA$493,9,)/VLOOKUP($D426,$C$5:$AA$493,4,))*$F426))</f>
        <v>0</v>
      </c>
      <c r="L426" s="50"/>
      <c r="M426" s="50">
        <f t="shared" ref="M426:M436" si="245">IF(VLOOKUP($D426,$C$5:$AA$493,11,)=0,0,((VLOOKUP($D426,$C$5:$AA$493,11,)/VLOOKUP($D426,$C$5:$AA$493,4,))*$F426))</f>
        <v>0</v>
      </c>
      <c r="N426" s="50"/>
      <c r="O426" s="50">
        <f t="shared" ref="O426:O436" si="246">IF(VLOOKUP($D426,$C$5:$AA$493,13,)=0,0,((VLOOKUP($D426,$C$5:$AA$493,13,)/VLOOKUP($D426,$C$5:$AA$493,4,))*$F426))</f>
        <v>0</v>
      </c>
      <c r="P426" s="50">
        <f t="shared" ref="P426:P436" si="247">IF(VLOOKUP($D426,$C$5:$AA$493,14,)=0,0,((VLOOKUP($D426,$C$5:$AA$493,14,)/VLOOKUP($D426,$C$5:$AA$493,4,))*$F426))</f>
        <v>0</v>
      </c>
      <c r="Q426" s="50"/>
      <c r="R426" s="50">
        <f t="shared" ref="R426:R436" si="248">IF(VLOOKUP($D426,$C$5:$AA$493,16,)=0,0,((VLOOKUP($D426,$C$5:$AA$493,16,)/VLOOKUP($D426,$C$5:$AA$493,4,))*$F426))</f>
        <v>0</v>
      </c>
      <c r="S426" s="50">
        <f t="shared" ref="S426:S436" si="249">IF(VLOOKUP($D426,$C$5:$AA$493,17,)=0,0,((VLOOKUP($D426,$C$5:$AA$493,17,)/VLOOKUP($D426,$C$5:$AA$493,4,))*$F426))</f>
        <v>0</v>
      </c>
      <c r="T426" s="50"/>
      <c r="U426" s="50">
        <f t="shared" ref="U426:U436" si="250">IF(VLOOKUP($D426,$C$5:$AA$493,19,)=0,0,((VLOOKUP($D426,$C$5:$AA$493,19,)/VLOOKUP($D426,$C$5:$AA$493,4,))*$F426))</f>
        <v>0</v>
      </c>
      <c r="V426" s="50"/>
      <c r="W426" s="50">
        <f t="shared" ref="W426:W436" si="251">IF(VLOOKUP($D426,$C$5:$AA$493,21,)=0,0,((VLOOKUP($D426,$C$5:$AA$493,21,)/VLOOKUP($D426,$C$5:$AA$493,4,))*$F426))</f>
        <v>0</v>
      </c>
      <c r="X426" s="50"/>
      <c r="Y426" s="50">
        <f t="shared" ref="Y426:Y436" si="252">IF(VLOOKUP($D426,$C$5:$AA$493,23,)=0,0,((VLOOKUP($D426,$C$5:$AA$493,23,)/VLOOKUP($D426,$C$5:$AA$493,4,))*$F426))</f>
        <v>32568.000000000004</v>
      </c>
      <c r="Z426" s="50"/>
      <c r="AA426" s="50">
        <f t="shared" ref="AA426:AA436" si="253">IF(VLOOKUP($D426,$C$5:$AA$493,25,)=0,0,((VLOOKUP($D426,$C$5:$AA$493,25,)/VLOOKUP($D426,$C$5:$AA$493,4,))*$F426))</f>
        <v>0</v>
      </c>
      <c r="AB426" s="50">
        <f t="shared" ref="AB426:AB436" si="254">SUM(H426:AA426)</f>
        <v>32568.000000000004</v>
      </c>
      <c r="AC426" s="30" t="str">
        <f t="shared" ref="AC426:AC436" si="255">IF(ABS(AB426-F426)&lt;1,"ok","err")</f>
        <v>ok</v>
      </c>
    </row>
    <row r="427" spans="1:29" x14ac:dyDescent="0.2">
      <c r="A427" s="14">
        <v>908</v>
      </c>
      <c r="B427" s="14" t="s">
        <v>151</v>
      </c>
      <c r="C427" s="14" t="s">
        <v>510</v>
      </c>
      <c r="D427" s="14" t="s">
        <v>150</v>
      </c>
      <c r="F427" s="234">
        <v>280067.76</v>
      </c>
      <c r="G427" s="194"/>
      <c r="H427" s="50">
        <f t="shared" si="242"/>
        <v>0</v>
      </c>
      <c r="I427" s="50">
        <f t="shared" si="243"/>
        <v>0</v>
      </c>
      <c r="J427" s="50"/>
      <c r="K427" s="50">
        <f t="shared" si="244"/>
        <v>0</v>
      </c>
      <c r="L427" s="50"/>
      <c r="M427" s="50">
        <f t="shared" si="245"/>
        <v>0</v>
      </c>
      <c r="N427" s="50"/>
      <c r="O427" s="50">
        <f t="shared" si="246"/>
        <v>0</v>
      </c>
      <c r="P427" s="50">
        <f t="shared" si="247"/>
        <v>0</v>
      </c>
      <c r="Q427" s="50"/>
      <c r="R427" s="50">
        <f t="shared" si="248"/>
        <v>0</v>
      </c>
      <c r="S427" s="50">
        <f t="shared" si="249"/>
        <v>0</v>
      </c>
      <c r="T427" s="50"/>
      <c r="U427" s="50">
        <f t="shared" si="250"/>
        <v>0</v>
      </c>
      <c r="V427" s="50"/>
      <c r="W427" s="50">
        <f t="shared" si="251"/>
        <v>0</v>
      </c>
      <c r="X427" s="50"/>
      <c r="Y427" s="50">
        <f t="shared" si="252"/>
        <v>280067.76</v>
      </c>
      <c r="Z427" s="50"/>
      <c r="AA427" s="50">
        <f t="shared" si="253"/>
        <v>0</v>
      </c>
      <c r="AB427" s="50">
        <f t="shared" si="254"/>
        <v>280067.76</v>
      </c>
      <c r="AC427" s="30" t="str">
        <f t="shared" si="255"/>
        <v>ok</v>
      </c>
    </row>
    <row r="428" spans="1:29" x14ac:dyDescent="0.2">
      <c r="A428" s="14">
        <v>908</v>
      </c>
      <c r="B428" s="14" t="s">
        <v>454</v>
      </c>
      <c r="C428" s="14" t="s">
        <v>511</v>
      </c>
      <c r="D428" s="14" t="s">
        <v>471</v>
      </c>
      <c r="F428" s="234">
        <v>266284.64</v>
      </c>
      <c r="G428" s="194"/>
      <c r="H428" s="50">
        <f t="shared" si="242"/>
        <v>0</v>
      </c>
      <c r="I428" s="50">
        <f t="shared" si="243"/>
        <v>0</v>
      </c>
      <c r="J428" s="50"/>
      <c r="K428" s="50">
        <f t="shared" si="244"/>
        <v>0</v>
      </c>
      <c r="L428" s="50"/>
      <c r="M428" s="50">
        <f t="shared" si="245"/>
        <v>0</v>
      </c>
      <c r="N428" s="50"/>
      <c r="O428" s="50">
        <f t="shared" si="246"/>
        <v>0</v>
      </c>
      <c r="P428" s="50">
        <f t="shared" si="247"/>
        <v>0</v>
      </c>
      <c r="Q428" s="50"/>
      <c r="R428" s="50">
        <f t="shared" si="248"/>
        <v>0</v>
      </c>
      <c r="S428" s="50">
        <f t="shared" si="249"/>
        <v>0</v>
      </c>
      <c r="T428" s="50"/>
      <c r="U428" s="50">
        <f t="shared" si="250"/>
        <v>0</v>
      </c>
      <c r="V428" s="50"/>
      <c r="W428" s="50">
        <f t="shared" si="251"/>
        <v>0</v>
      </c>
      <c r="X428" s="50"/>
      <c r="Y428" s="50">
        <f t="shared" si="252"/>
        <v>0</v>
      </c>
      <c r="Z428" s="50"/>
      <c r="AA428" s="50">
        <f t="shared" si="253"/>
        <v>266284.64</v>
      </c>
      <c r="AB428" s="50">
        <f t="shared" si="254"/>
        <v>266284.64</v>
      </c>
      <c r="AC428" s="30" t="str">
        <f t="shared" si="255"/>
        <v>ok</v>
      </c>
    </row>
    <row r="429" spans="1:29" x14ac:dyDescent="0.2">
      <c r="A429" s="14">
        <v>909</v>
      </c>
      <c r="B429" s="14" t="s">
        <v>153</v>
      </c>
      <c r="C429" s="14" t="s">
        <v>512</v>
      </c>
      <c r="D429" s="14" t="s">
        <v>150</v>
      </c>
      <c r="F429" s="234">
        <v>0</v>
      </c>
      <c r="G429" s="194"/>
      <c r="H429" s="50">
        <f t="shared" si="242"/>
        <v>0</v>
      </c>
      <c r="I429" s="50">
        <f t="shared" si="243"/>
        <v>0</v>
      </c>
      <c r="J429" s="50"/>
      <c r="K429" s="50">
        <f t="shared" si="244"/>
        <v>0</v>
      </c>
      <c r="L429" s="50"/>
      <c r="M429" s="50">
        <f t="shared" si="245"/>
        <v>0</v>
      </c>
      <c r="N429" s="50"/>
      <c r="O429" s="50">
        <f t="shared" si="246"/>
        <v>0</v>
      </c>
      <c r="P429" s="50">
        <f t="shared" si="247"/>
        <v>0</v>
      </c>
      <c r="Q429" s="50"/>
      <c r="R429" s="50">
        <f t="shared" si="248"/>
        <v>0</v>
      </c>
      <c r="S429" s="50">
        <f t="shared" si="249"/>
        <v>0</v>
      </c>
      <c r="T429" s="50"/>
      <c r="U429" s="50">
        <f t="shared" si="250"/>
        <v>0</v>
      </c>
      <c r="V429" s="50"/>
      <c r="W429" s="50">
        <f t="shared" si="251"/>
        <v>0</v>
      </c>
      <c r="X429" s="50"/>
      <c r="Y429" s="50">
        <f t="shared" si="252"/>
        <v>0</v>
      </c>
      <c r="Z429" s="50"/>
      <c r="AA429" s="50">
        <f t="shared" si="253"/>
        <v>0</v>
      </c>
      <c r="AB429" s="50">
        <f t="shared" si="254"/>
        <v>0</v>
      </c>
      <c r="AC429" s="30" t="str">
        <f t="shared" si="255"/>
        <v>ok</v>
      </c>
    </row>
    <row r="430" spans="1:29" x14ac:dyDescent="0.2">
      <c r="A430" s="14">
        <v>909</v>
      </c>
      <c r="B430" s="14" t="s">
        <v>456</v>
      </c>
      <c r="C430" s="14" t="s">
        <v>513</v>
      </c>
      <c r="D430" s="14" t="s">
        <v>471</v>
      </c>
      <c r="F430" s="234">
        <v>0</v>
      </c>
      <c r="G430" s="194"/>
      <c r="H430" s="50">
        <f t="shared" si="242"/>
        <v>0</v>
      </c>
      <c r="I430" s="50">
        <f t="shared" si="243"/>
        <v>0</v>
      </c>
      <c r="J430" s="50"/>
      <c r="K430" s="50">
        <f t="shared" si="244"/>
        <v>0</v>
      </c>
      <c r="L430" s="50"/>
      <c r="M430" s="50">
        <f t="shared" si="245"/>
        <v>0</v>
      </c>
      <c r="N430" s="50"/>
      <c r="O430" s="50">
        <f t="shared" si="246"/>
        <v>0</v>
      </c>
      <c r="P430" s="50">
        <f t="shared" si="247"/>
        <v>0</v>
      </c>
      <c r="Q430" s="50"/>
      <c r="R430" s="50">
        <f t="shared" si="248"/>
        <v>0</v>
      </c>
      <c r="S430" s="50">
        <f t="shared" si="249"/>
        <v>0</v>
      </c>
      <c r="T430" s="50"/>
      <c r="U430" s="50">
        <f t="shared" si="250"/>
        <v>0</v>
      </c>
      <c r="V430" s="50"/>
      <c r="W430" s="50">
        <f t="shared" si="251"/>
        <v>0</v>
      </c>
      <c r="X430" s="50"/>
      <c r="Y430" s="50">
        <f t="shared" si="252"/>
        <v>0</v>
      </c>
      <c r="Z430" s="50"/>
      <c r="AA430" s="50">
        <f t="shared" si="253"/>
        <v>0</v>
      </c>
      <c r="AB430" s="50">
        <f t="shared" si="254"/>
        <v>0</v>
      </c>
      <c r="AC430" s="30" t="str">
        <f t="shared" si="255"/>
        <v>ok</v>
      </c>
    </row>
    <row r="431" spans="1:29" x14ac:dyDescent="0.2">
      <c r="A431" s="14">
        <v>910</v>
      </c>
      <c r="B431" s="14" t="s">
        <v>155</v>
      </c>
      <c r="C431" s="14" t="s">
        <v>514</v>
      </c>
      <c r="D431" s="14" t="s">
        <v>150</v>
      </c>
      <c r="F431" s="234">
        <v>0</v>
      </c>
      <c r="G431" s="194"/>
      <c r="H431" s="50">
        <f t="shared" si="242"/>
        <v>0</v>
      </c>
      <c r="I431" s="50">
        <f t="shared" si="243"/>
        <v>0</v>
      </c>
      <c r="J431" s="50"/>
      <c r="K431" s="50">
        <f t="shared" si="244"/>
        <v>0</v>
      </c>
      <c r="L431" s="50"/>
      <c r="M431" s="50">
        <f t="shared" si="245"/>
        <v>0</v>
      </c>
      <c r="N431" s="50"/>
      <c r="O431" s="50">
        <f t="shared" si="246"/>
        <v>0</v>
      </c>
      <c r="P431" s="50">
        <f t="shared" si="247"/>
        <v>0</v>
      </c>
      <c r="Q431" s="50"/>
      <c r="R431" s="50">
        <f t="shared" si="248"/>
        <v>0</v>
      </c>
      <c r="S431" s="50">
        <f t="shared" si="249"/>
        <v>0</v>
      </c>
      <c r="T431" s="50"/>
      <c r="U431" s="50">
        <f t="shared" si="250"/>
        <v>0</v>
      </c>
      <c r="V431" s="50"/>
      <c r="W431" s="50">
        <f t="shared" si="251"/>
        <v>0</v>
      </c>
      <c r="X431" s="50"/>
      <c r="Y431" s="50">
        <f t="shared" si="252"/>
        <v>0</v>
      </c>
      <c r="Z431" s="50"/>
      <c r="AA431" s="50">
        <f t="shared" si="253"/>
        <v>0</v>
      </c>
      <c r="AB431" s="50">
        <f t="shared" si="254"/>
        <v>0</v>
      </c>
      <c r="AC431" s="30" t="str">
        <f t="shared" si="255"/>
        <v>ok</v>
      </c>
    </row>
    <row r="432" spans="1:29" x14ac:dyDescent="0.2">
      <c r="A432" s="14">
        <v>911</v>
      </c>
      <c r="B432" s="14" t="s">
        <v>385</v>
      </c>
      <c r="C432" s="14" t="s">
        <v>710</v>
      </c>
      <c r="D432" s="14" t="s">
        <v>150</v>
      </c>
      <c r="F432" s="234">
        <v>0</v>
      </c>
      <c r="G432" s="194"/>
      <c r="H432" s="50">
        <f t="shared" si="242"/>
        <v>0</v>
      </c>
      <c r="I432" s="50">
        <f t="shared" si="243"/>
        <v>0</v>
      </c>
      <c r="J432" s="50"/>
      <c r="K432" s="50">
        <f t="shared" si="244"/>
        <v>0</v>
      </c>
      <c r="L432" s="50"/>
      <c r="M432" s="50">
        <f t="shared" si="245"/>
        <v>0</v>
      </c>
      <c r="N432" s="50"/>
      <c r="O432" s="50">
        <f t="shared" si="246"/>
        <v>0</v>
      </c>
      <c r="P432" s="50">
        <f t="shared" si="247"/>
        <v>0</v>
      </c>
      <c r="Q432" s="50"/>
      <c r="R432" s="50">
        <f t="shared" si="248"/>
        <v>0</v>
      </c>
      <c r="S432" s="50">
        <f t="shared" si="249"/>
        <v>0</v>
      </c>
      <c r="T432" s="50"/>
      <c r="U432" s="50">
        <f t="shared" si="250"/>
        <v>0</v>
      </c>
      <c r="V432" s="50"/>
      <c r="W432" s="50">
        <f t="shared" si="251"/>
        <v>0</v>
      </c>
      <c r="X432" s="50"/>
      <c r="Y432" s="50">
        <f t="shared" si="252"/>
        <v>0</v>
      </c>
      <c r="Z432" s="50"/>
      <c r="AA432" s="50">
        <f t="shared" si="253"/>
        <v>0</v>
      </c>
      <c r="AB432" s="50">
        <f>SUM(H432:AA432)</f>
        <v>0</v>
      </c>
      <c r="AC432" s="30" t="str">
        <f>IF(ABS(AB432-F432)&lt;1,"ok","err")</f>
        <v>ok</v>
      </c>
    </row>
    <row r="433" spans="1:29" x14ac:dyDescent="0.2">
      <c r="A433" s="14">
        <v>912</v>
      </c>
      <c r="B433" s="14" t="s">
        <v>587</v>
      </c>
      <c r="C433" s="14" t="s">
        <v>590</v>
      </c>
      <c r="D433" s="14" t="s">
        <v>471</v>
      </c>
      <c r="F433" s="234">
        <v>32568.000000000004</v>
      </c>
      <c r="G433" s="194"/>
      <c r="H433" s="50">
        <f t="shared" si="242"/>
        <v>0</v>
      </c>
      <c r="I433" s="50">
        <f t="shared" si="243"/>
        <v>0</v>
      </c>
      <c r="J433" s="50"/>
      <c r="K433" s="50">
        <f t="shared" si="244"/>
        <v>0</v>
      </c>
      <c r="L433" s="50"/>
      <c r="M433" s="50">
        <f t="shared" si="245"/>
        <v>0</v>
      </c>
      <c r="N433" s="50"/>
      <c r="O433" s="50">
        <f t="shared" si="246"/>
        <v>0</v>
      </c>
      <c r="P433" s="50">
        <f t="shared" si="247"/>
        <v>0</v>
      </c>
      <c r="Q433" s="50"/>
      <c r="R433" s="50">
        <f t="shared" si="248"/>
        <v>0</v>
      </c>
      <c r="S433" s="50">
        <f t="shared" si="249"/>
        <v>0</v>
      </c>
      <c r="T433" s="50"/>
      <c r="U433" s="50">
        <f t="shared" si="250"/>
        <v>0</v>
      </c>
      <c r="V433" s="50"/>
      <c r="W433" s="50">
        <f t="shared" si="251"/>
        <v>0</v>
      </c>
      <c r="X433" s="50"/>
      <c r="Y433" s="50">
        <f t="shared" si="252"/>
        <v>0</v>
      </c>
      <c r="Z433" s="50"/>
      <c r="AA433" s="50">
        <f t="shared" si="253"/>
        <v>32568.000000000004</v>
      </c>
      <c r="AB433" s="50">
        <f t="shared" si="254"/>
        <v>32568.000000000004</v>
      </c>
      <c r="AC433" s="30" t="str">
        <f t="shared" si="255"/>
        <v>ok</v>
      </c>
    </row>
    <row r="434" spans="1:29" x14ac:dyDescent="0.2">
      <c r="A434" s="14">
        <v>913</v>
      </c>
      <c r="B434" s="14" t="s">
        <v>576</v>
      </c>
      <c r="C434" s="14" t="s">
        <v>591</v>
      </c>
      <c r="D434" s="14" t="s">
        <v>471</v>
      </c>
      <c r="F434" s="234">
        <v>0</v>
      </c>
      <c r="G434" s="194"/>
      <c r="H434" s="50">
        <f t="shared" si="242"/>
        <v>0</v>
      </c>
      <c r="I434" s="50">
        <f t="shared" si="243"/>
        <v>0</v>
      </c>
      <c r="J434" s="50"/>
      <c r="K434" s="50">
        <f t="shared" si="244"/>
        <v>0</v>
      </c>
      <c r="L434" s="50"/>
      <c r="M434" s="50">
        <f t="shared" si="245"/>
        <v>0</v>
      </c>
      <c r="N434" s="50"/>
      <c r="O434" s="50">
        <f t="shared" si="246"/>
        <v>0</v>
      </c>
      <c r="P434" s="50">
        <f t="shared" si="247"/>
        <v>0</v>
      </c>
      <c r="Q434" s="50"/>
      <c r="R434" s="50">
        <f t="shared" si="248"/>
        <v>0</v>
      </c>
      <c r="S434" s="50">
        <f t="shared" si="249"/>
        <v>0</v>
      </c>
      <c r="T434" s="50"/>
      <c r="U434" s="50">
        <f t="shared" si="250"/>
        <v>0</v>
      </c>
      <c r="V434" s="50"/>
      <c r="W434" s="50">
        <f t="shared" si="251"/>
        <v>0</v>
      </c>
      <c r="X434" s="50"/>
      <c r="Y434" s="50">
        <f t="shared" si="252"/>
        <v>0</v>
      </c>
      <c r="Z434" s="50"/>
      <c r="AA434" s="50">
        <f t="shared" si="253"/>
        <v>0</v>
      </c>
      <c r="AB434" s="50">
        <f t="shared" si="254"/>
        <v>0</v>
      </c>
      <c r="AC434" s="30" t="str">
        <f t="shared" si="255"/>
        <v>ok</v>
      </c>
    </row>
    <row r="435" spans="1:29" x14ac:dyDescent="0.2">
      <c r="A435" s="14">
        <v>915</v>
      </c>
      <c r="B435" s="14" t="s">
        <v>637</v>
      </c>
      <c r="C435" s="14" t="s">
        <v>640</v>
      </c>
      <c r="D435" s="14" t="s">
        <v>471</v>
      </c>
      <c r="F435" s="234">
        <v>0</v>
      </c>
      <c r="G435" s="194"/>
      <c r="H435" s="50">
        <f t="shared" si="242"/>
        <v>0</v>
      </c>
      <c r="I435" s="50">
        <f t="shared" si="243"/>
        <v>0</v>
      </c>
      <c r="J435" s="50"/>
      <c r="K435" s="50">
        <f t="shared" si="244"/>
        <v>0</v>
      </c>
      <c r="L435" s="50"/>
      <c r="M435" s="50">
        <f t="shared" si="245"/>
        <v>0</v>
      </c>
      <c r="N435" s="50"/>
      <c r="O435" s="50">
        <f t="shared" si="246"/>
        <v>0</v>
      </c>
      <c r="P435" s="50">
        <f t="shared" si="247"/>
        <v>0</v>
      </c>
      <c r="Q435" s="50"/>
      <c r="R435" s="50">
        <f t="shared" si="248"/>
        <v>0</v>
      </c>
      <c r="S435" s="50">
        <f t="shared" si="249"/>
        <v>0</v>
      </c>
      <c r="T435" s="50"/>
      <c r="U435" s="50">
        <f t="shared" si="250"/>
        <v>0</v>
      </c>
      <c r="V435" s="50"/>
      <c r="W435" s="50">
        <f t="shared" si="251"/>
        <v>0</v>
      </c>
      <c r="X435" s="50"/>
      <c r="Y435" s="50">
        <f t="shared" si="252"/>
        <v>0</v>
      </c>
      <c r="Z435" s="50"/>
      <c r="AA435" s="50">
        <f t="shared" si="253"/>
        <v>0</v>
      </c>
      <c r="AB435" s="50">
        <f t="shared" si="254"/>
        <v>0</v>
      </c>
      <c r="AC435" s="30" t="str">
        <f t="shared" si="255"/>
        <v>ok</v>
      </c>
    </row>
    <row r="436" spans="1:29" x14ac:dyDescent="0.2">
      <c r="A436" s="14">
        <v>916</v>
      </c>
      <c r="B436" s="14" t="s">
        <v>638</v>
      </c>
      <c r="C436" s="14" t="s">
        <v>641</v>
      </c>
      <c r="D436" s="14" t="s">
        <v>471</v>
      </c>
      <c r="F436" s="234">
        <v>0</v>
      </c>
      <c r="G436" s="194"/>
      <c r="H436" s="50">
        <f t="shared" si="242"/>
        <v>0</v>
      </c>
      <c r="I436" s="50">
        <f t="shared" si="243"/>
        <v>0</v>
      </c>
      <c r="J436" s="50"/>
      <c r="K436" s="50">
        <f t="shared" si="244"/>
        <v>0</v>
      </c>
      <c r="L436" s="50"/>
      <c r="M436" s="50">
        <f t="shared" si="245"/>
        <v>0</v>
      </c>
      <c r="N436" s="50"/>
      <c r="O436" s="50">
        <f t="shared" si="246"/>
        <v>0</v>
      </c>
      <c r="P436" s="50">
        <f t="shared" si="247"/>
        <v>0</v>
      </c>
      <c r="Q436" s="50"/>
      <c r="R436" s="50">
        <f t="shared" si="248"/>
        <v>0</v>
      </c>
      <c r="S436" s="50">
        <f t="shared" si="249"/>
        <v>0</v>
      </c>
      <c r="T436" s="50"/>
      <c r="U436" s="50">
        <f t="shared" si="250"/>
        <v>0</v>
      </c>
      <c r="V436" s="50"/>
      <c r="W436" s="50">
        <f t="shared" si="251"/>
        <v>0</v>
      </c>
      <c r="X436" s="50"/>
      <c r="Y436" s="50">
        <f t="shared" si="252"/>
        <v>0</v>
      </c>
      <c r="Z436" s="50"/>
      <c r="AA436" s="50">
        <f t="shared" si="253"/>
        <v>0</v>
      </c>
      <c r="AB436" s="50">
        <f t="shared" si="254"/>
        <v>0</v>
      </c>
      <c r="AC436" s="30" t="str">
        <f t="shared" si="255"/>
        <v>ok</v>
      </c>
    </row>
    <row r="437" spans="1:29" x14ac:dyDescent="0.2">
      <c r="F437" s="234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30"/>
    </row>
    <row r="438" spans="1:29" x14ac:dyDescent="0.2">
      <c r="A438" s="14" t="s">
        <v>543</v>
      </c>
      <c r="C438" s="14" t="s">
        <v>515</v>
      </c>
      <c r="F438" s="233">
        <f>SUM(F426:F437)</f>
        <v>611488.4</v>
      </c>
      <c r="G438" s="66"/>
      <c r="H438" s="66">
        <f>SUM(H426:H437)</f>
        <v>0</v>
      </c>
      <c r="I438" s="66">
        <f>SUM(I426:I437)</f>
        <v>0</v>
      </c>
      <c r="J438" s="66"/>
      <c r="K438" s="66">
        <f>SUM(K426:K437)</f>
        <v>0</v>
      </c>
      <c r="L438" s="66"/>
      <c r="M438" s="66">
        <f>SUM(M426:M437)</f>
        <v>0</v>
      </c>
      <c r="N438" s="66"/>
      <c r="O438" s="66">
        <f>SUM(O426:O437)</f>
        <v>0</v>
      </c>
      <c r="P438" s="66">
        <f>SUM(P426:P437)</f>
        <v>0</v>
      </c>
      <c r="Q438" s="66"/>
      <c r="R438" s="66">
        <f>SUM(R426:R437)</f>
        <v>0</v>
      </c>
      <c r="S438" s="66">
        <f>SUM(S426:S437)</f>
        <v>0</v>
      </c>
      <c r="T438" s="66"/>
      <c r="U438" s="66">
        <f>SUM(U426:U437)</f>
        <v>0</v>
      </c>
      <c r="V438" s="66"/>
      <c r="W438" s="66">
        <f>SUM(W426:W437)</f>
        <v>0</v>
      </c>
      <c r="X438" s="66"/>
      <c r="Y438" s="66">
        <f>SUM(Y426:Y437)</f>
        <v>312635.76</v>
      </c>
      <c r="Z438" s="66"/>
      <c r="AA438" s="66">
        <f>SUM(AA426:AA437)</f>
        <v>298852.64</v>
      </c>
      <c r="AB438" s="50">
        <f>SUM(H438:AA438)</f>
        <v>611488.4</v>
      </c>
      <c r="AC438" s="30" t="str">
        <f>IF(ABS(AB438-F438)&lt;1,"ok","err")</f>
        <v>ok</v>
      </c>
    </row>
    <row r="439" spans="1:29" x14ac:dyDescent="0.2">
      <c r="F439" s="234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C439" s="30"/>
    </row>
    <row r="440" spans="1:29" x14ac:dyDescent="0.2">
      <c r="A440" s="14" t="s">
        <v>544</v>
      </c>
      <c r="C440" s="14" t="s">
        <v>516</v>
      </c>
      <c r="F440" s="234">
        <f>F412+F423+F438</f>
        <v>10149491.500000002</v>
      </c>
      <c r="G440" s="50"/>
      <c r="H440" s="50">
        <f>H412+H423+H438</f>
        <v>0</v>
      </c>
      <c r="I440" s="50">
        <f>I412+I423+I438</f>
        <v>0</v>
      </c>
      <c r="J440" s="50"/>
      <c r="K440" s="50">
        <f>K412+K423+K438</f>
        <v>0</v>
      </c>
      <c r="L440" s="50"/>
      <c r="M440" s="50">
        <f>M412+M423+M438</f>
        <v>2301.926426568778</v>
      </c>
      <c r="N440" s="50"/>
      <c r="O440" s="50">
        <f>O412+O423+O438</f>
        <v>3940273.9841350615</v>
      </c>
      <c r="P440" s="50">
        <f>P412+P423+P438</f>
        <v>1624979.1533360605</v>
      </c>
      <c r="Q440" s="50"/>
      <c r="R440" s="50">
        <f>R412+R423+R438</f>
        <v>0</v>
      </c>
      <c r="S440" s="50">
        <f>S412+S423+S438</f>
        <v>78676.893750189382</v>
      </c>
      <c r="T440" s="50"/>
      <c r="U440" s="50">
        <f>U412+U423+U438</f>
        <v>34232.294866393997</v>
      </c>
      <c r="V440" s="50"/>
      <c r="W440" s="50">
        <f>W412+W423+W438</f>
        <v>1240102.377485726</v>
      </c>
      <c r="X440" s="50"/>
      <c r="Y440" s="50">
        <f>Y412+Y423+Y438</f>
        <v>2930072.2300000004</v>
      </c>
      <c r="Z440" s="50"/>
      <c r="AA440" s="50">
        <f>AA412+AA423+AA438</f>
        <v>298852.64</v>
      </c>
      <c r="AB440" s="50">
        <f>SUM(H440:AA440)</f>
        <v>10149491.500000002</v>
      </c>
      <c r="AC440" s="30" t="str">
        <f>IF(ABS(AB440-F440)&lt;1,"ok","err")</f>
        <v>ok</v>
      </c>
    </row>
    <row r="441" spans="1:29" x14ac:dyDescent="0.2">
      <c r="F441" s="234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C441" s="30"/>
    </row>
    <row r="442" spans="1:29" x14ac:dyDescent="0.2">
      <c r="F442" s="234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C442" s="30"/>
    </row>
    <row r="443" spans="1:29" x14ac:dyDescent="0.2">
      <c r="A443" s="28" t="s">
        <v>473</v>
      </c>
      <c r="F443" s="234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C443" s="30"/>
    </row>
    <row r="444" spans="1:29" x14ac:dyDescent="0.2">
      <c r="F444" s="234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C444" s="30"/>
    </row>
    <row r="445" spans="1:29" x14ac:dyDescent="0.2">
      <c r="A445" s="13" t="s">
        <v>159</v>
      </c>
      <c r="F445" s="234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C445" s="30"/>
    </row>
    <row r="446" spans="1:29" x14ac:dyDescent="0.2">
      <c r="A446" s="14">
        <v>920</v>
      </c>
      <c r="B446" s="14" t="s">
        <v>160</v>
      </c>
      <c r="C446" s="14" t="s">
        <v>517</v>
      </c>
      <c r="D446" s="14" t="s">
        <v>411</v>
      </c>
      <c r="F446" s="233">
        <v>1481177.8799999997</v>
      </c>
      <c r="G446" s="193"/>
      <c r="H446" s="50">
        <f t="shared" ref="H446:H456" si="256">IF(VLOOKUP($D446,$C$5:$AA$493,6,)=0,0,((VLOOKUP($D446,$C$5:$AA$493,6,)/VLOOKUP($D446,$C$5:$AA$493,4,))*$F446))</f>
        <v>0</v>
      </c>
      <c r="I446" s="50">
        <f t="shared" ref="I446:I456" si="257">IF(VLOOKUP($D446,$C$5:$AA$493,7,)=0,0,((VLOOKUP($D446,$C$5:$AA$493,7,)/VLOOKUP($D446,$C$5:$AA$493,4,))*$F446))</f>
        <v>0</v>
      </c>
      <c r="J446" s="50"/>
      <c r="K446" s="50">
        <f t="shared" ref="K446:K456" si="258">IF(VLOOKUP($D446,$C$5:$AA$493,9,)=0,0,((VLOOKUP($D446,$C$5:$AA$493,9,)/VLOOKUP($D446,$C$5:$AA$493,4,))*$F446))</f>
        <v>0</v>
      </c>
      <c r="L446" s="50"/>
      <c r="M446" s="50">
        <f t="shared" ref="M446:M456" si="259">IF(VLOOKUP($D446,$C$5:$AA$493,11,)=0,0,((VLOOKUP($D446,$C$5:$AA$493,11,)/VLOOKUP($D446,$C$5:$AA$493,4,))*$F446))</f>
        <v>11054.428175130872</v>
      </c>
      <c r="N446" s="50"/>
      <c r="O446" s="50">
        <f t="shared" ref="O446:O456" si="260">IF(VLOOKUP($D446,$C$5:$AA$493,13,)=0,0,((VLOOKUP($D446,$C$5:$AA$493,13,)/VLOOKUP($D446,$C$5:$AA$493,4,))*$F446))</f>
        <v>750116.54813247593</v>
      </c>
      <c r="P446" s="50">
        <f t="shared" ref="P446:P456" si="261">IF(VLOOKUP($D446,$C$5:$AA$493,14,)=0,0,((VLOOKUP($D446,$C$5:$AA$493,14,)/VLOOKUP($D446,$C$5:$AA$493,4,))*$F446))</f>
        <v>317509.20623377414</v>
      </c>
      <c r="Q446" s="50"/>
      <c r="R446" s="50">
        <f t="shared" ref="R446:R456" si="262">IF(VLOOKUP($D446,$C$5:$AA$493,16,)=0,0,((VLOOKUP($D446,$C$5:$AA$493,16,)/VLOOKUP($D446,$C$5:$AA$493,4,))*$F446))</f>
        <v>0</v>
      </c>
      <c r="S446" s="50">
        <f t="shared" ref="S446:S456" si="263">IF(VLOOKUP($D446,$C$5:$AA$493,17,)=0,0,((VLOOKUP($D446,$C$5:$AA$493,17,)/VLOOKUP($D446,$C$5:$AA$493,4,))*$F446))</f>
        <v>27344.434496469999</v>
      </c>
      <c r="T446" s="50"/>
      <c r="U446" s="50">
        <f t="shared" ref="U446:U456" si="264">IF(VLOOKUP($D446,$C$5:$AA$493,19,)=0,0,((VLOOKUP($D446,$C$5:$AA$493,19,)/VLOOKUP($D446,$C$5:$AA$493,4,))*$F446))</f>
        <v>93989.654174476964</v>
      </c>
      <c r="V446" s="50"/>
      <c r="W446" s="50">
        <f t="shared" ref="W446:W456" si="265">IF(VLOOKUP($D446,$C$5:$AA$493,21,)=0,0,((VLOOKUP($D446,$C$5:$AA$493,21,)/VLOOKUP($D446,$C$5:$AA$493,4,))*$F446))</f>
        <v>2652.0333349852522</v>
      </c>
      <c r="X446" s="50"/>
      <c r="Y446" s="50">
        <f t="shared" ref="Y446:Y456" si="266">IF(VLOOKUP($D446,$C$5:$AA$493,23,)=0,0,((VLOOKUP($D446,$C$5:$AA$493,23,)/VLOOKUP($D446,$C$5:$AA$493,4,))*$F446))</f>
        <v>260012.85587810428</v>
      </c>
      <c r="Z446" s="50"/>
      <c r="AA446" s="50">
        <f t="shared" ref="AA446:AA456" si="267">IF(VLOOKUP($D446,$C$5:$AA$493,25,)=0,0,((VLOOKUP($D446,$C$5:$AA$493,25,)/VLOOKUP($D446,$C$5:$AA$493,4,))*$F446))</f>
        <v>18498.719574582137</v>
      </c>
      <c r="AB446" s="50">
        <f t="shared" ref="AB446:AB456" si="268">SUM(H446:AA446)</f>
        <v>1481177.8799999992</v>
      </c>
      <c r="AC446" s="30" t="str">
        <f t="shared" ref="AC446:AC456" si="269">IF(ABS(AB446-F446)&lt;1,"ok","err")</f>
        <v>ok</v>
      </c>
    </row>
    <row r="447" spans="1:29" x14ac:dyDescent="0.2">
      <c r="A447" s="14">
        <v>921</v>
      </c>
      <c r="B447" s="14" t="s">
        <v>162</v>
      </c>
      <c r="C447" s="14" t="s">
        <v>518</v>
      </c>
      <c r="D447" s="14" t="s">
        <v>516</v>
      </c>
      <c r="F447" s="234">
        <v>0</v>
      </c>
      <c r="G447" s="194"/>
      <c r="H447" s="50">
        <f t="shared" si="256"/>
        <v>0</v>
      </c>
      <c r="I447" s="50">
        <f t="shared" si="257"/>
        <v>0</v>
      </c>
      <c r="J447" s="50"/>
      <c r="K447" s="50">
        <f t="shared" si="258"/>
        <v>0</v>
      </c>
      <c r="L447" s="50"/>
      <c r="M447" s="50">
        <f t="shared" si="259"/>
        <v>0</v>
      </c>
      <c r="N447" s="50"/>
      <c r="O447" s="50">
        <f t="shared" si="260"/>
        <v>0</v>
      </c>
      <c r="P447" s="50">
        <f t="shared" si="261"/>
        <v>0</v>
      </c>
      <c r="Q447" s="50"/>
      <c r="R447" s="50">
        <f t="shared" si="262"/>
        <v>0</v>
      </c>
      <c r="S447" s="50">
        <f t="shared" si="263"/>
        <v>0</v>
      </c>
      <c r="T447" s="50"/>
      <c r="U447" s="50">
        <f t="shared" si="264"/>
        <v>0</v>
      </c>
      <c r="V447" s="50"/>
      <c r="W447" s="50">
        <f t="shared" si="265"/>
        <v>0</v>
      </c>
      <c r="X447" s="50"/>
      <c r="Y447" s="50">
        <f t="shared" si="266"/>
        <v>0</v>
      </c>
      <c r="Z447" s="50"/>
      <c r="AA447" s="50">
        <f t="shared" si="267"/>
        <v>0</v>
      </c>
      <c r="AB447" s="50">
        <f t="shared" si="268"/>
        <v>0</v>
      </c>
      <c r="AC447" s="30" t="str">
        <f t="shared" si="269"/>
        <v>ok</v>
      </c>
    </row>
    <row r="448" spans="1:29" x14ac:dyDescent="0.2">
      <c r="A448" s="14">
        <v>923</v>
      </c>
      <c r="B448" s="14" t="s">
        <v>164</v>
      </c>
      <c r="C448" s="14" t="s">
        <v>519</v>
      </c>
      <c r="D448" s="14" t="s">
        <v>411</v>
      </c>
      <c r="F448" s="234">
        <v>0</v>
      </c>
      <c r="G448" s="194"/>
      <c r="H448" s="50">
        <f t="shared" si="256"/>
        <v>0</v>
      </c>
      <c r="I448" s="50">
        <f t="shared" si="257"/>
        <v>0</v>
      </c>
      <c r="J448" s="50"/>
      <c r="K448" s="50">
        <f t="shared" si="258"/>
        <v>0</v>
      </c>
      <c r="L448" s="50"/>
      <c r="M448" s="50">
        <f t="shared" si="259"/>
        <v>0</v>
      </c>
      <c r="N448" s="50"/>
      <c r="O448" s="50">
        <f t="shared" si="260"/>
        <v>0</v>
      </c>
      <c r="P448" s="50">
        <f t="shared" si="261"/>
        <v>0</v>
      </c>
      <c r="Q448" s="50"/>
      <c r="R448" s="50">
        <f t="shared" si="262"/>
        <v>0</v>
      </c>
      <c r="S448" s="50">
        <f t="shared" si="263"/>
        <v>0</v>
      </c>
      <c r="T448" s="50"/>
      <c r="U448" s="50">
        <f t="shared" si="264"/>
        <v>0</v>
      </c>
      <c r="V448" s="50"/>
      <c r="W448" s="50">
        <f t="shared" si="265"/>
        <v>0</v>
      </c>
      <c r="X448" s="50"/>
      <c r="Y448" s="50">
        <f t="shared" si="266"/>
        <v>0</v>
      </c>
      <c r="Z448" s="50"/>
      <c r="AA448" s="50">
        <f t="shared" si="267"/>
        <v>0</v>
      </c>
      <c r="AB448" s="50">
        <f t="shared" si="268"/>
        <v>0</v>
      </c>
      <c r="AC448" s="30" t="str">
        <f t="shared" si="269"/>
        <v>ok</v>
      </c>
    </row>
    <row r="449" spans="1:29" x14ac:dyDescent="0.2">
      <c r="A449" s="14">
        <v>924</v>
      </c>
      <c r="B449" s="14" t="s">
        <v>166</v>
      </c>
      <c r="C449" s="14" t="s">
        <v>520</v>
      </c>
      <c r="D449" s="14" t="s">
        <v>84</v>
      </c>
      <c r="F449" s="234">
        <v>0</v>
      </c>
      <c r="G449" s="194"/>
      <c r="H449" s="50">
        <f t="shared" si="256"/>
        <v>0</v>
      </c>
      <c r="I449" s="50">
        <f t="shared" si="257"/>
        <v>0</v>
      </c>
      <c r="J449" s="50"/>
      <c r="K449" s="50">
        <f t="shared" si="258"/>
        <v>0</v>
      </c>
      <c r="L449" s="50"/>
      <c r="M449" s="50">
        <f t="shared" si="259"/>
        <v>0</v>
      </c>
      <c r="N449" s="50"/>
      <c r="O449" s="50">
        <f t="shared" si="260"/>
        <v>0</v>
      </c>
      <c r="P449" s="50">
        <f t="shared" si="261"/>
        <v>0</v>
      </c>
      <c r="Q449" s="50"/>
      <c r="R449" s="50">
        <f t="shared" si="262"/>
        <v>0</v>
      </c>
      <c r="S449" s="50">
        <f t="shared" si="263"/>
        <v>0</v>
      </c>
      <c r="T449" s="50"/>
      <c r="U449" s="50">
        <f t="shared" si="264"/>
        <v>0</v>
      </c>
      <c r="V449" s="50"/>
      <c r="W449" s="50">
        <f t="shared" si="265"/>
        <v>0</v>
      </c>
      <c r="X449" s="50"/>
      <c r="Y449" s="50">
        <f t="shared" si="266"/>
        <v>0</v>
      </c>
      <c r="Z449" s="50"/>
      <c r="AA449" s="50">
        <f t="shared" si="267"/>
        <v>0</v>
      </c>
      <c r="AB449" s="50">
        <f t="shared" si="268"/>
        <v>0</v>
      </c>
      <c r="AC449" s="30" t="str">
        <f t="shared" si="269"/>
        <v>ok</v>
      </c>
    </row>
    <row r="450" spans="1:29" x14ac:dyDescent="0.2">
      <c r="A450" s="14">
        <v>925</v>
      </c>
      <c r="B450" s="14" t="s">
        <v>168</v>
      </c>
      <c r="C450" s="14" t="s">
        <v>521</v>
      </c>
      <c r="D450" s="14" t="s">
        <v>516</v>
      </c>
      <c r="F450" s="234">
        <v>307394</v>
      </c>
      <c r="G450" s="194"/>
      <c r="H450" s="50">
        <f t="shared" si="256"/>
        <v>0</v>
      </c>
      <c r="I450" s="50">
        <f t="shared" si="257"/>
        <v>0</v>
      </c>
      <c r="J450" s="50"/>
      <c r="K450" s="50">
        <f t="shared" si="258"/>
        <v>0</v>
      </c>
      <c r="L450" s="50"/>
      <c r="M450" s="50">
        <f t="shared" si="259"/>
        <v>69.717618066745786</v>
      </c>
      <c r="N450" s="50"/>
      <c r="O450" s="50">
        <f t="shared" si="260"/>
        <v>119337.66150542743</v>
      </c>
      <c r="P450" s="50">
        <f t="shared" si="261"/>
        <v>49215.15938612145</v>
      </c>
      <c r="Q450" s="50"/>
      <c r="R450" s="50">
        <f t="shared" si="262"/>
        <v>0</v>
      </c>
      <c r="S450" s="50">
        <f t="shared" si="263"/>
        <v>2382.8587942012377</v>
      </c>
      <c r="T450" s="50"/>
      <c r="U450" s="50">
        <f t="shared" si="264"/>
        <v>1036.7812070348859</v>
      </c>
      <c r="V450" s="50"/>
      <c r="W450" s="50">
        <f t="shared" si="265"/>
        <v>37558.534851213699</v>
      </c>
      <c r="X450" s="50"/>
      <c r="Y450" s="50">
        <f t="shared" si="266"/>
        <v>88742.04417715114</v>
      </c>
      <c r="Z450" s="50"/>
      <c r="AA450" s="50">
        <f t="shared" si="267"/>
        <v>9051.24246078338</v>
      </c>
      <c r="AB450" s="50">
        <f t="shared" si="268"/>
        <v>307393.99999999994</v>
      </c>
      <c r="AC450" s="30" t="str">
        <f t="shared" si="269"/>
        <v>ok</v>
      </c>
    </row>
    <row r="451" spans="1:29" x14ac:dyDescent="0.2">
      <c r="A451" s="14">
        <v>926</v>
      </c>
      <c r="B451" s="14" t="s">
        <v>170</v>
      </c>
      <c r="C451" s="14" t="s">
        <v>522</v>
      </c>
      <c r="D451" s="14" t="s">
        <v>516</v>
      </c>
      <c r="F451" s="234">
        <v>0</v>
      </c>
      <c r="G451" s="194"/>
      <c r="H451" s="50">
        <f t="shared" si="256"/>
        <v>0</v>
      </c>
      <c r="I451" s="50">
        <f t="shared" si="257"/>
        <v>0</v>
      </c>
      <c r="J451" s="50"/>
      <c r="K451" s="50">
        <f t="shared" si="258"/>
        <v>0</v>
      </c>
      <c r="L451" s="50"/>
      <c r="M451" s="50">
        <f t="shared" si="259"/>
        <v>0</v>
      </c>
      <c r="N451" s="50"/>
      <c r="O451" s="50">
        <f t="shared" si="260"/>
        <v>0</v>
      </c>
      <c r="P451" s="50">
        <f t="shared" si="261"/>
        <v>0</v>
      </c>
      <c r="Q451" s="50"/>
      <c r="R451" s="50">
        <f t="shared" si="262"/>
        <v>0</v>
      </c>
      <c r="S451" s="50">
        <f t="shared" si="263"/>
        <v>0</v>
      </c>
      <c r="T451" s="50"/>
      <c r="U451" s="50">
        <f t="shared" si="264"/>
        <v>0</v>
      </c>
      <c r="V451" s="50"/>
      <c r="W451" s="50">
        <f t="shared" si="265"/>
        <v>0</v>
      </c>
      <c r="X451" s="50"/>
      <c r="Y451" s="50">
        <f t="shared" si="266"/>
        <v>0</v>
      </c>
      <c r="Z451" s="50"/>
      <c r="AA451" s="50">
        <f t="shared" si="267"/>
        <v>0</v>
      </c>
      <c r="AB451" s="50">
        <f t="shared" si="268"/>
        <v>0</v>
      </c>
      <c r="AC451" s="30" t="str">
        <f t="shared" si="269"/>
        <v>ok</v>
      </c>
    </row>
    <row r="452" spans="1:29" x14ac:dyDescent="0.2">
      <c r="A452" s="14">
        <v>928</v>
      </c>
      <c r="B452" s="14" t="s">
        <v>172</v>
      </c>
      <c r="C452" s="14" t="s">
        <v>523</v>
      </c>
      <c r="D452" s="14" t="s">
        <v>411</v>
      </c>
      <c r="F452" s="234">
        <v>0</v>
      </c>
      <c r="G452" s="194"/>
      <c r="H452" s="50">
        <f t="shared" si="256"/>
        <v>0</v>
      </c>
      <c r="I452" s="50">
        <f t="shared" si="257"/>
        <v>0</v>
      </c>
      <c r="J452" s="50"/>
      <c r="K452" s="50">
        <f t="shared" si="258"/>
        <v>0</v>
      </c>
      <c r="L452" s="50"/>
      <c r="M452" s="50">
        <f t="shared" si="259"/>
        <v>0</v>
      </c>
      <c r="N452" s="50"/>
      <c r="O452" s="50">
        <f t="shared" si="260"/>
        <v>0</v>
      </c>
      <c r="P452" s="50">
        <f t="shared" si="261"/>
        <v>0</v>
      </c>
      <c r="Q452" s="50"/>
      <c r="R452" s="50">
        <f t="shared" si="262"/>
        <v>0</v>
      </c>
      <c r="S452" s="50">
        <f t="shared" si="263"/>
        <v>0</v>
      </c>
      <c r="T452" s="50"/>
      <c r="U452" s="50">
        <f t="shared" si="264"/>
        <v>0</v>
      </c>
      <c r="V452" s="50"/>
      <c r="W452" s="50">
        <f t="shared" si="265"/>
        <v>0</v>
      </c>
      <c r="X452" s="50"/>
      <c r="Y452" s="50">
        <f t="shared" si="266"/>
        <v>0</v>
      </c>
      <c r="Z452" s="50"/>
      <c r="AA452" s="50">
        <f t="shared" si="267"/>
        <v>0</v>
      </c>
      <c r="AB452" s="50">
        <f t="shared" si="268"/>
        <v>0</v>
      </c>
      <c r="AC452" s="30" t="str">
        <f t="shared" si="269"/>
        <v>ok</v>
      </c>
    </row>
    <row r="453" spans="1:29" x14ac:dyDescent="0.2">
      <c r="A453" s="14">
        <v>929</v>
      </c>
      <c r="B453" s="14" t="s">
        <v>386</v>
      </c>
      <c r="C453" s="14" t="s">
        <v>524</v>
      </c>
      <c r="D453" s="14" t="s">
        <v>411</v>
      </c>
      <c r="F453" s="234">
        <v>0</v>
      </c>
      <c r="G453" s="194"/>
      <c r="H453" s="50">
        <f t="shared" si="256"/>
        <v>0</v>
      </c>
      <c r="I453" s="50">
        <f t="shared" si="257"/>
        <v>0</v>
      </c>
      <c r="J453" s="50"/>
      <c r="K453" s="50">
        <f t="shared" si="258"/>
        <v>0</v>
      </c>
      <c r="L453" s="50"/>
      <c r="M453" s="50">
        <f t="shared" si="259"/>
        <v>0</v>
      </c>
      <c r="N453" s="50"/>
      <c r="O453" s="50">
        <f t="shared" si="260"/>
        <v>0</v>
      </c>
      <c r="P453" s="50">
        <f t="shared" si="261"/>
        <v>0</v>
      </c>
      <c r="Q453" s="50"/>
      <c r="R453" s="50">
        <f t="shared" si="262"/>
        <v>0</v>
      </c>
      <c r="S453" s="50">
        <f t="shared" si="263"/>
        <v>0</v>
      </c>
      <c r="T453" s="50"/>
      <c r="U453" s="50">
        <f t="shared" si="264"/>
        <v>0</v>
      </c>
      <c r="V453" s="50"/>
      <c r="W453" s="50">
        <f t="shared" si="265"/>
        <v>0</v>
      </c>
      <c r="X453" s="50"/>
      <c r="Y453" s="50">
        <f t="shared" si="266"/>
        <v>0</v>
      </c>
      <c r="Z453" s="50"/>
      <c r="AA453" s="50">
        <f t="shared" si="267"/>
        <v>0</v>
      </c>
      <c r="AB453" s="50">
        <f t="shared" si="268"/>
        <v>0</v>
      </c>
      <c r="AC453" s="30" t="str">
        <f t="shared" si="269"/>
        <v>ok</v>
      </c>
    </row>
    <row r="454" spans="1:29" x14ac:dyDescent="0.2">
      <c r="A454" s="14">
        <v>930</v>
      </c>
      <c r="B454" s="14" t="s">
        <v>174</v>
      </c>
      <c r="C454" s="14" t="s">
        <v>525</v>
      </c>
      <c r="D454" s="14" t="s">
        <v>411</v>
      </c>
      <c r="F454" s="234">
        <v>174322</v>
      </c>
      <c r="G454" s="194"/>
      <c r="H454" s="50">
        <f t="shared" si="256"/>
        <v>0</v>
      </c>
      <c r="I454" s="50">
        <f t="shared" si="257"/>
        <v>0</v>
      </c>
      <c r="J454" s="50"/>
      <c r="K454" s="50">
        <f t="shared" si="258"/>
        <v>0</v>
      </c>
      <c r="L454" s="50"/>
      <c r="M454" s="50">
        <f t="shared" si="259"/>
        <v>1301.0118867999597</v>
      </c>
      <c r="N454" s="50"/>
      <c r="O454" s="50">
        <f t="shared" si="260"/>
        <v>88282.318193645653</v>
      </c>
      <c r="P454" s="50">
        <f t="shared" si="261"/>
        <v>37368.124785312073</v>
      </c>
      <c r="Q454" s="50"/>
      <c r="R454" s="50">
        <f t="shared" si="262"/>
        <v>0</v>
      </c>
      <c r="S454" s="50">
        <f t="shared" si="263"/>
        <v>3218.2066547561758</v>
      </c>
      <c r="T454" s="50"/>
      <c r="U454" s="50">
        <f t="shared" si="264"/>
        <v>11061.780435853643</v>
      </c>
      <c r="V454" s="50"/>
      <c r="W454" s="50">
        <f t="shared" si="265"/>
        <v>312.12169805108027</v>
      </c>
      <c r="X454" s="50"/>
      <c r="Y454" s="50">
        <f t="shared" si="266"/>
        <v>30601.294871067683</v>
      </c>
      <c r="Z454" s="50"/>
      <c r="AA454" s="50">
        <f t="shared" si="267"/>
        <v>2177.1414745137213</v>
      </c>
      <c r="AB454" s="50">
        <f t="shared" si="268"/>
        <v>174321.99999999997</v>
      </c>
      <c r="AC454" s="30" t="str">
        <f t="shared" si="269"/>
        <v>ok</v>
      </c>
    </row>
    <row r="455" spans="1:29" x14ac:dyDescent="0.2">
      <c r="A455" s="14">
        <v>931</v>
      </c>
      <c r="B455" s="14" t="s">
        <v>176</v>
      </c>
      <c r="C455" s="14" t="s">
        <v>526</v>
      </c>
      <c r="D455" s="14" t="s">
        <v>84</v>
      </c>
      <c r="F455" s="234">
        <v>0</v>
      </c>
      <c r="G455" s="194"/>
      <c r="H455" s="50">
        <f t="shared" si="256"/>
        <v>0</v>
      </c>
      <c r="I455" s="50">
        <f t="shared" si="257"/>
        <v>0</v>
      </c>
      <c r="J455" s="50"/>
      <c r="K455" s="50">
        <f t="shared" si="258"/>
        <v>0</v>
      </c>
      <c r="L455" s="50"/>
      <c r="M455" s="50">
        <f t="shared" si="259"/>
        <v>0</v>
      </c>
      <c r="N455" s="50"/>
      <c r="O455" s="50">
        <f t="shared" si="260"/>
        <v>0</v>
      </c>
      <c r="P455" s="50">
        <f t="shared" si="261"/>
        <v>0</v>
      </c>
      <c r="Q455" s="50"/>
      <c r="R455" s="50">
        <f t="shared" si="262"/>
        <v>0</v>
      </c>
      <c r="S455" s="50">
        <f t="shared" si="263"/>
        <v>0</v>
      </c>
      <c r="T455" s="50"/>
      <c r="U455" s="50">
        <f t="shared" si="264"/>
        <v>0</v>
      </c>
      <c r="V455" s="50"/>
      <c r="W455" s="50">
        <f t="shared" si="265"/>
        <v>0</v>
      </c>
      <c r="X455" s="50"/>
      <c r="Y455" s="50">
        <f t="shared" si="266"/>
        <v>0</v>
      </c>
      <c r="Z455" s="50"/>
      <c r="AA455" s="50">
        <f t="shared" si="267"/>
        <v>0</v>
      </c>
      <c r="AB455" s="50">
        <f t="shared" si="268"/>
        <v>0</v>
      </c>
      <c r="AC455" s="30" t="str">
        <f t="shared" si="269"/>
        <v>ok</v>
      </c>
    </row>
    <row r="456" spans="1:29" x14ac:dyDescent="0.2">
      <c r="A456" s="14">
        <v>935</v>
      </c>
      <c r="B456" s="14" t="s">
        <v>178</v>
      </c>
      <c r="C456" s="14" t="s">
        <v>711</v>
      </c>
      <c r="D456" s="14" t="s">
        <v>70</v>
      </c>
      <c r="F456" s="234">
        <v>376195.77999999991</v>
      </c>
      <c r="G456" s="194"/>
      <c r="H456" s="50">
        <f t="shared" si="256"/>
        <v>0</v>
      </c>
      <c r="I456" s="50">
        <f t="shared" si="257"/>
        <v>0</v>
      </c>
      <c r="J456" s="50"/>
      <c r="K456" s="50">
        <f t="shared" si="258"/>
        <v>0</v>
      </c>
      <c r="L456" s="50"/>
      <c r="M456" s="50">
        <f t="shared" si="259"/>
        <v>1386.5618862295601</v>
      </c>
      <c r="N456" s="50"/>
      <c r="O456" s="50">
        <f t="shared" si="260"/>
        <v>183211.42746916047</v>
      </c>
      <c r="P456" s="50">
        <f t="shared" si="261"/>
        <v>103118.6379022491</v>
      </c>
      <c r="Q456" s="50"/>
      <c r="R456" s="50">
        <f t="shared" si="262"/>
        <v>0</v>
      </c>
      <c r="S456" s="50">
        <f t="shared" si="263"/>
        <v>47390.907433802757</v>
      </c>
      <c r="T456" s="50"/>
      <c r="U456" s="50">
        <f t="shared" si="264"/>
        <v>20619.770811122205</v>
      </c>
      <c r="V456" s="50"/>
      <c r="W456" s="50">
        <f t="shared" si="265"/>
        <v>20468.474497435822</v>
      </c>
      <c r="X456" s="50"/>
      <c r="Y456" s="50">
        <f t="shared" si="266"/>
        <v>0</v>
      </c>
      <c r="Z456" s="50"/>
      <c r="AA456" s="50">
        <f t="shared" si="267"/>
        <v>0</v>
      </c>
      <c r="AB456" s="50">
        <f t="shared" si="268"/>
        <v>376195.77999999997</v>
      </c>
      <c r="AC456" s="30" t="str">
        <f t="shared" si="269"/>
        <v>ok</v>
      </c>
    </row>
    <row r="457" spans="1:29" x14ac:dyDescent="0.2">
      <c r="F457" s="234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30"/>
    </row>
    <row r="458" spans="1:29" x14ac:dyDescent="0.2">
      <c r="A458" s="14" t="s">
        <v>179</v>
      </c>
      <c r="C458" s="14" t="s">
        <v>527</v>
      </c>
      <c r="F458" s="233">
        <f>SUM(F446:F457)</f>
        <v>2339089.6599999997</v>
      </c>
      <c r="G458" s="66"/>
      <c r="H458" s="66">
        <f>SUM(H446:H457)</f>
        <v>0</v>
      </c>
      <c r="I458" s="66">
        <f>SUM(I446:I457)</f>
        <v>0</v>
      </c>
      <c r="J458" s="66"/>
      <c r="K458" s="66">
        <f>SUM(K446:K457)</f>
        <v>0</v>
      </c>
      <c r="L458" s="66"/>
      <c r="M458" s="66">
        <f>SUM(M446:M457)</f>
        <v>13811.719566227137</v>
      </c>
      <c r="N458" s="66"/>
      <c r="O458" s="66">
        <f>SUM(O446:O457)</f>
        <v>1140947.9553007095</v>
      </c>
      <c r="P458" s="66">
        <f>SUM(P446:P457)</f>
        <v>507211.12830745673</v>
      </c>
      <c r="Q458" s="66"/>
      <c r="R458" s="66">
        <f>SUM(R446:R457)</f>
        <v>0</v>
      </c>
      <c r="S458" s="66">
        <f>SUM(S446:S457)</f>
        <v>80336.407379230164</v>
      </c>
      <c r="T458" s="66"/>
      <c r="U458" s="66">
        <f>SUM(U446:U457)</f>
        <v>126707.98662848769</v>
      </c>
      <c r="V458" s="66"/>
      <c r="W458" s="66">
        <f>SUM(W446:W457)</f>
        <v>60991.164381685856</v>
      </c>
      <c r="X458" s="66"/>
      <c r="Y458" s="66">
        <f>SUM(Y446:Y457)</f>
        <v>379356.19492632308</v>
      </c>
      <c r="Z458" s="66"/>
      <c r="AA458" s="66">
        <f>SUM(AA446:AA457)</f>
        <v>29727.103509879242</v>
      </c>
      <c r="AB458" s="50">
        <f>SUM(H458:AA458)</f>
        <v>2339089.6599999992</v>
      </c>
      <c r="AC458" s="30" t="str">
        <f>IF(ABS(AB458-F458)&lt;1,"ok","err")</f>
        <v>ok</v>
      </c>
    </row>
    <row r="459" spans="1:29" x14ac:dyDescent="0.2">
      <c r="D459" s="93"/>
      <c r="F459" s="234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30"/>
    </row>
    <row r="460" spans="1:29" x14ac:dyDescent="0.2">
      <c r="A460" s="14" t="s">
        <v>181</v>
      </c>
      <c r="C460" s="14" t="s">
        <v>528</v>
      </c>
      <c r="F460" s="233">
        <f>F356+F414+F423+F438+F458</f>
        <v>12488581.160000002</v>
      </c>
      <c r="G460" s="66"/>
      <c r="H460" s="66">
        <f>H356+H414+H423+H438+H458</f>
        <v>0</v>
      </c>
      <c r="I460" s="66">
        <f>I356+I414+I423+I438+I458</f>
        <v>0</v>
      </c>
      <c r="J460" s="66"/>
      <c r="K460" s="66">
        <f>K356+K414+K423+K438+K458</f>
        <v>0</v>
      </c>
      <c r="L460" s="66"/>
      <c r="M460" s="66">
        <f>M356+M414+M423+M438+M458</f>
        <v>16113.645992795915</v>
      </c>
      <c r="N460" s="66"/>
      <c r="O460" s="66">
        <f>O356+O414+O423+O438+O458</f>
        <v>5081221.9394357707</v>
      </c>
      <c r="P460" s="66">
        <f>P356+P414+P423+P438+P458</f>
        <v>2132190.2816435173</v>
      </c>
      <c r="Q460" s="66"/>
      <c r="R460" s="66">
        <f>R356+R414+R423+R438+R458</f>
        <v>0</v>
      </c>
      <c r="S460" s="66">
        <f>S356+S414+S423+S438+S458</f>
        <v>159013.30112941953</v>
      </c>
      <c r="T460" s="66"/>
      <c r="U460" s="66">
        <f>U356+U414+U423+U438+U458</f>
        <v>160940.2814948817</v>
      </c>
      <c r="V460" s="66"/>
      <c r="W460" s="66">
        <f>W356+W414+W423+W438+W458</f>
        <v>1301093.5418674119</v>
      </c>
      <c r="X460" s="66"/>
      <c r="Y460" s="66">
        <f>Y356+Y414+Y423+Y438+Y458</f>
        <v>3309428.4249263234</v>
      </c>
      <c r="Z460" s="66"/>
      <c r="AA460" s="66">
        <f>AA356+AA414+AA423+AA438+AA458</f>
        <v>328579.74350987928</v>
      </c>
      <c r="AB460" s="50">
        <f>SUM(H460:AA460)</f>
        <v>12488581.16</v>
      </c>
      <c r="AC460" s="30" t="str">
        <f>IF(ABS(AB460-F460)&lt;1,"ok","err")</f>
        <v>ok</v>
      </c>
    </row>
    <row r="461" spans="1:29" x14ac:dyDescent="0.2">
      <c r="D461" s="93"/>
      <c r="F461" s="234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30"/>
    </row>
    <row r="462" spans="1:29" x14ac:dyDescent="0.2">
      <c r="A462" s="14" t="s">
        <v>412</v>
      </c>
      <c r="C462" s="14" t="s">
        <v>529</v>
      </c>
      <c r="F462" s="226">
        <f>F460-F362</f>
        <v>12488581.160000002</v>
      </c>
      <c r="G462" s="93"/>
      <c r="H462" s="93">
        <f>H460-H362</f>
        <v>0</v>
      </c>
      <c r="I462" s="93">
        <f>I460-I362</f>
        <v>0</v>
      </c>
      <c r="J462" s="93"/>
      <c r="K462" s="93">
        <f>K460-K362</f>
        <v>0</v>
      </c>
      <c r="L462" s="93"/>
      <c r="M462" s="93">
        <f>M460-M362</f>
        <v>16113.645992795915</v>
      </c>
      <c r="N462" s="93"/>
      <c r="O462" s="93">
        <f>O460-O362</f>
        <v>5081221.9394357707</v>
      </c>
      <c r="P462" s="93">
        <f>P460-P362</f>
        <v>2132190.2816435173</v>
      </c>
      <c r="Q462" s="93"/>
      <c r="R462" s="93">
        <f>R460-R362</f>
        <v>0</v>
      </c>
      <c r="S462" s="93">
        <f>S460-S362</f>
        <v>159013.30112941953</v>
      </c>
      <c r="T462" s="93"/>
      <c r="U462" s="93">
        <f>U460-U362</f>
        <v>160940.2814948817</v>
      </c>
      <c r="V462" s="93"/>
      <c r="W462" s="93">
        <f>W460-W362</f>
        <v>1301093.5418674119</v>
      </c>
      <c r="X462" s="93"/>
      <c r="Y462" s="93">
        <f>Y460-Y362</f>
        <v>3309428.4249263234</v>
      </c>
      <c r="Z462" s="93"/>
      <c r="AA462" s="93">
        <f>AA460-AA362</f>
        <v>328579.74350987928</v>
      </c>
      <c r="AB462" s="50">
        <f>SUM(H462:AA462)</f>
        <v>12488581.16</v>
      </c>
      <c r="AC462" s="30" t="str">
        <f>IF(ABS(AB462-F462)&lt;1,"ok","err")</f>
        <v>ok</v>
      </c>
    </row>
    <row r="463" spans="1:29" x14ac:dyDescent="0.2">
      <c r="F463" s="226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50"/>
      <c r="AC463" s="30"/>
    </row>
    <row r="464" spans="1:29" x14ac:dyDescent="0.2">
      <c r="A464" s="28" t="s">
        <v>199</v>
      </c>
      <c r="AC464" s="30"/>
    </row>
    <row r="465" spans="1:29" x14ac:dyDescent="0.2">
      <c r="AC465" s="30"/>
    </row>
    <row r="466" spans="1:29" x14ac:dyDescent="0.2">
      <c r="A466" s="14" t="s">
        <v>1</v>
      </c>
      <c r="C466" s="14" t="s">
        <v>24</v>
      </c>
      <c r="F466" s="236">
        <v>1</v>
      </c>
      <c r="G466" s="97"/>
      <c r="H466" s="98">
        <v>0</v>
      </c>
      <c r="I466" s="98">
        <v>0</v>
      </c>
      <c r="J466" s="98"/>
      <c r="K466" s="98">
        <v>0</v>
      </c>
      <c r="L466" s="97"/>
      <c r="M466" s="98">
        <v>1</v>
      </c>
      <c r="N466" s="97"/>
      <c r="O466" s="98">
        <v>0</v>
      </c>
      <c r="P466" s="98">
        <v>0</v>
      </c>
      <c r="Q466" s="99"/>
      <c r="R466" s="97">
        <v>0</v>
      </c>
      <c r="S466" s="97">
        <v>0</v>
      </c>
      <c r="T466" s="97"/>
      <c r="U466" s="97">
        <v>0</v>
      </c>
      <c r="V466" s="97"/>
      <c r="W466" s="97">
        <v>0</v>
      </c>
      <c r="X466" s="97"/>
      <c r="Y466" s="97">
        <v>0</v>
      </c>
      <c r="Z466" s="97"/>
      <c r="AA466" s="97">
        <v>0</v>
      </c>
      <c r="AB466" s="98">
        <f>SUM(H466:AA466)</f>
        <v>1</v>
      </c>
      <c r="AC466" s="30" t="str">
        <f t="shared" ref="AC466:AC476" si="270">IF(ABS(AB466-F466)&lt;0.0000001,"ok","err")</f>
        <v>ok</v>
      </c>
    </row>
    <row r="467" spans="1:29" x14ac:dyDescent="0.2">
      <c r="A467" s="14" t="s">
        <v>200</v>
      </c>
      <c r="C467" s="14" t="s">
        <v>27</v>
      </c>
      <c r="F467" s="236">
        <v>1</v>
      </c>
      <c r="G467" s="97"/>
      <c r="H467" s="98">
        <v>0</v>
      </c>
      <c r="I467" s="98">
        <v>0</v>
      </c>
      <c r="J467" s="98"/>
      <c r="K467" s="98">
        <v>0</v>
      </c>
      <c r="L467" s="97"/>
      <c r="M467" s="98">
        <v>0</v>
      </c>
      <c r="N467" s="97"/>
      <c r="O467" s="98">
        <f>O468</f>
        <v>0.71448491175597839</v>
      </c>
      <c r="P467" s="98">
        <f>P468</f>
        <v>0.28551508824402161</v>
      </c>
      <c r="Q467" s="99"/>
      <c r="R467" s="97">
        <v>0</v>
      </c>
      <c r="S467" s="97">
        <v>0</v>
      </c>
      <c r="T467" s="97"/>
      <c r="U467" s="97">
        <v>0</v>
      </c>
      <c r="V467" s="97"/>
      <c r="W467" s="97">
        <v>0</v>
      </c>
      <c r="X467" s="97"/>
      <c r="Y467" s="97">
        <v>0</v>
      </c>
      <c r="Z467" s="97"/>
      <c r="AA467" s="97">
        <v>0</v>
      </c>
      <c r="AB467" s="98">
        <f t="shared" ref="AB467:AB475" si="271">SUM(H467:AA467)</f>
        <v>1</v>
      </c>
      <c r="AC467" s="30" t="str">
        <f t="shared" si="270"/>
        <v>ok</v>
      </c>
    </row>
    <row r="468" spans="1:29" x14ac:dyDescent="0.2">
      <c r="A468" s="14" t="s">
        <v>201</v>
      </c>
      <c r="C468" s="14" t="s">
        <v>30</v>
      </c>
      <c r="F468" s="236">
        <v>1</v>
      </c>
      <c r="G468" s="97"/>
      <c r="H468" s="98">
        <v>0</v>
      </c>
      <c r="I468" s="98">
        <v>0</v>
      </c>
      <c r="J468" s="98"/>
      <c r="K468" s="98">
        <v>0</v>
      </c>
      <c r="L468" s="97"/>
      <c r="M468" s="98">
        <v>0</v>
      </c>
      <c r="N468" s="97"/>
      <c r="O468" s="98">
        <f>ZeroInt!D166</f>
        <v>0.71448491175597839</v>
      </c>
      <c r="P468" s="98">
        <f>ZeroInt!E166</f>
        <v>0.28551508824402161</v>
      </c>
      <c r="Q468" s="99"/>
      <c r="R468" s="97">
        <v>0</v>
      </c>
      <c r="S468" s="97">
        <v>0</v>
      </c>
      <c r="T468" s="97"/>
      <c r="U468" s="97">
        <v>0</v>
      </c>
      <c r="V468" s="97"/>
      <c r="W468" s="97">
        <v>0</v>
      </c>
      <c r="X468" s="97"/>
      <c r="Y468" s="97">
        <v>0</v>
      </c>
      <c r="Z468" s="97"/>
      <c r="AA468" s="97">
        <v>0</v>
      </c>
      <c r="AB468" s="98">
        <f t="shared" si="271"/>
        <v>1</v>
      </c>
      <c r="AC468" s="30" t="str">
        <f t="shared" si="270"/>
        <v>ok</v>
      </c>
    </row>
    <row r="469" spans="1:29" x14ac:dyDescent="0.2">
      <c r="A469" s="14" t="s">
        <v>202</v>
      </c>
      <c r="C469" s="14" t="s">
        <v>33</v>
      </c>
      <c r="F469" s="236">
        <v>1</v>
      </c>
      <c r="G469" s="97"/>
      <c r="H469" s="98">
        <v>0</v>
      </c>
      <c r="I469" s="98">
        <v>0</v>
      </c>
      <c r="J469" s="98"/>
      <c r="K469" s="98">
        <v>0</v>
      </c>
      <c r="L469" s="97"/>
      <c r="M469" s="98">
        <v>0</v>
      </c>
      <c r="N469" s="97"/>
      <c r="O469" s="98">
        <f>ZeroInt!D167</f>
        <v>0.50285684362675975</v>
      </c>
      <c r="P469" s="98">
        <f>ZeroInt!E167</f>
        <v>0.49714315637324025</v>
      </c>
      <c r="Q469" s="99"/>
      <c r="R469" s="97">
        <v>0</v>
      </c>
      <c r="S469" s="97">
        <v>0</v>
      </c>
      <c r="T469" s="97"/>
      <c r="U469" s="97">
        <v>0</v>
      </c>
      <c r="V469" s="97"/>
      <c r="W469" s="97">
        <v>0</v>
      </c>
      <c r="X469" s="97"/>
      <c r="Y469" s="97">
        <v>0</v>
      </c>
      <c r="Z469" s="97"/>
      <c r="AA469" s="97">
        <v>0</v>
      </c>
      <c r="AB469" s="98">
        <f t="shared" si="271"/>
        <v>1</v>
      </c>
      <c r="AC469" s="30" t="str">
        <f t="shared" si="270"/>
        <v>ok</v>
      </c>
    </row>
    <row r="470" spans="1:29" x14ac:dyDescent="0.2">
      <c r="A470" s="14" t="s">
        <v>203</v>
      </c>
      <c r="C470" s="14" t="s">
        <v>38</v>
      </c>
      <c r="F470" s="236">
        <v>1</v>
      </c>
      <c r="G470" s="97"/>
      <c r="H470" s="98">
        <v>0</v>
      </c>
      <c r="I470" s="98">
        <v>0</v>
      </c>
      <c r="J470" s="98"/>
      <c r="K470" s="98">
        <v>0</v>
      </c>
      <c r="L470" s="97"/>
      <c r="M470" s="98">
        <v>0</v>
      </c>
      <c r="N470" s="97"/>
      <c r="O470" s="98">
        <f>ZeroInt!D168</f>
        <v>0.44881747333813327</v>
      </c>
      <c r="P470" s="98">
        <f>ZeroInt!E168</f>
        <v>0.55118252666186673</v>
      </c>
      <c r="Q470" s="99"/>
      <c r="R470" s="97">
        <v>0</v>
      </c>
      <c r="S470" s="97">
        <v>0</v>
      </c>
      <c r="T470" s="97"/>
      <c r="U470" s="97">
        <v>0</v>
      </c>
      <c r="V470" s="97"/>
      <c r="W470" s="97">
        <v>0</v>
      </c>
      <c r="X470" s="97"/>
      <c r="Y470" s="97">
        <v>0</v>
      </c>
      <c r="Z470" s="97"/>
      <c r="AA470" s="97">
        <v>0</v>
      </c>
      <c r="AB470" s="98">
        <f t="shared" si="271"/>
        <v>1</v>
      </c>
      <c r="AC470" s="30" t="str">
        <f t="shared" si="270"/>
        <v>ok</v>
      </c>
    </row>
    <row r="471" spans="1:29" x14ac:dyDescent="0.2">
      <c r="A471" s="14" t="s">
        <v>204</v>
      </c>
      <c r="C471" s="14" t="s">
        <v>41</v>
      </c>
      <c r="F471" s="236">
        <v>1</v>
      </c>
      <c r="G471" s="97"/>
      <c r="H471" s="98">
        <v>0</v>
      </c>
      <c r="I471" s="98">
        <v>0</v>
      </c>
      <c r="J471" s="98"/>
      <c r="K471" s="98">
        <v>0</v>
      </c>
      <c r="L471" s="97"/>
      <c r="M471" s="98">
        <v>0</v>
      </c>
      <c r="N471" s="97"/>
      <c r="O471" s="98">
        <v>0</v>
      </c>
      <c r="P471" s="98">
        <v>0</v>
      </c>
      <c r="Q471" s="99"/>
      <c r="R471" s="97">
        <v>0</v>
      </c>
      <c r="S471" s="97">
        <v>1</v>
      </c>
      <c r="T471" s="97"/>
      <c r="U471" s="97">
        <v>0</v>
      </c>
      <c r="V471" s="97"/>
      <c r="W471" s="97">
        <v>0</v>
      </c>
      <c r="X471" s="97"/>
      <c r="Y471" s="97">
        <v>0</v>
      </c>
      <c r="Z471" s="97"/>
      <c r="AA471" s="97">
        <v>0</v>
      </c>
      <c r="AB471" s="98">
        <f t="shared" si="271"/>
        <v>1</v>
      </c>
      <c r="AC471" s="30" t="str">
        <f t="shared" si="270"/>
        <v>ok</v>
      </c>
    </row>
    <row r="472" spans="1:29" x14ac:dyDescent="0.2">
      <c r="A472" s="14" t="s">
        <v>4</v>
      </c>
      <c r="C472" s="14" t="s">
        <v>44</v>
      </c>
      <c r="F472" s="236">
        <v>1</v>
      </c>
      <c r="G472" s="97"/>
      <c r="H472" s="98">
        <v>0</v>
      </c>
      <c r="I472" s="98">
        <v>0</v>
      </c>
      <c r="J472" s="98"/>
      <c r="K472" s="98">
        <v>0</v>
      </c>
      <c r="L472" s="97"/>
      <c r="M472" s="98">
        <v>0</v>
      </c>
      <c r="N472" s="97"/>
      <c r="O472" s="98">
        <v>0</v>
      </c>
      <c r="P472" s="98">
        <v>0</v>
      </c>
      <c r="Q472" s="99"/>
      <c r="R472" s="97">
        <v>0</v>
      </c>
      <c r="S472" s="97">
        <v>0</v>
      </c>
      <c r="T472" s="97"/>
      <c r="U472" s="97">
        <v>1</v>
      </c>
      <c r="V472" s="97"/>
      <c r="W472" s="97">
        <v>0</v>
      </c>
      <c r="X472" s="97"/>
      <c r="Y472" s="97">
        <v>0</v>
      </c>
      <c r="Z472" s="97"/>
      <c r="AA472" s="97">
        <v>0</v>
      </c>
      <c r="AB472" s="98">
        <f t="shared" si="271"/>
        <v>1</v>
      </c>
      <c r="AC472" s="30" t="str">
        <f t="shared" si="270"/>
        <v>ok</v>
      </c>
    </row>
    <row r="473" spans="1:29" x14ac:dyDescent="0.2">
      <c r="A473" s="14" t="s">
        <v>205</v>
      </c>
      <c r="C473" s="14" t="s">
        <v>49</v>
      </c>
      <c r="F473" s="236">
        <v>1</v>
      </c>
      <c r="G473" s="97"/>
      <c r="H473" s="98">
        <v>0</v>
      </c>
      <c r="I473" s="98">
        <v>0</v>
      </c>
      <c r="J473" s="98"/>
      <c r="K473" s="98">
        <v>0</v>
      </c>
      <c r="L473" s="97"/>
      <c r="M473" s="98">
        <v>0</v>
      </c>
      <c r="N473" s="97"/>
      <c r="O473" s="98">
        <v>0</v>
      </c>
      <c r="P473" s="98">
        <v>0</v>
      </c>
      <c r="Q473" s="99"/>
      <c r="R473" s="97">
        <v>0</v>
      </c>
      <c r="S473" s="97">
        <v>0</v>
      </c>
      <c r="T473" s="97"/>
      <c r="U473" s="97">
        <v>0</v>
      </c>
      <c r="V473" s="97"/>
      <c r="W473" s="97">
        <v>1</v>
      </c>
      <c r="X473" s="97"/>
      <c r="Y473" s="97">
        <v>0</v>
      </c>
      <c r="Z473" s="97"/>
      <c r="AA473" s="97">
        <v>0</v>
      </c>
      <c r="AB473" s="98">
        <f t="shared" si="271"/>
        <v>1</v>
      </c>
      <c r="AC473" s="30" t="str">
        <f t="shared" si="270"/>
        <v>ok</v>
      </c>
    </row>
    <row r="474" spans="1:29" x14ac:dyDescent="0.2">
      <c r="A474" s="14" t="s">
        <v>206</v>
      </c>
      <c r="C474" s="14" t="s">
        <v>140</v>
      </c>
      <c r="F474" s="236">
        <v>1</v>
      </c>
      <c r="G474" s="97"/>
      <c r="H474" s="98">
        <v>0</v>
      </c>
      <c r="I474" s="98">
        <v>0</v>
      </c>
      <c r="J474" s="98"/>
      <c r="K474" s="98">
        <v>0</v>
      </c>
      <c r="L474" s="97"/>
      <c r="M474" s="98">
        <v>0</v>
      </c>
      <c r="N474" s="97"/>
      <c r="O474" s="98">
        <v>0</v>
      </c>
      <c r="P474" s="98">
        <v>0</v>
      </c>
      <c r="Q474" s="99"/>
      <c r="R474" s="97">
        <v>0</v>
      </c>
      <c r="S474" s="97">
        <v>0</v>
      </c>
      <c r="T474" s="97"/>
      <c r="U474" s="97">
        <v>0</v>
      </c>
      <c r="V474" s="97"/>
      <c r="W474" s="97">
        <v>0</v>
      </c>
      <c r="X474" s="97"/>
      <c r="Y474" s="97">
        <v>1</v>
      </c>
      <c r="Z474" s="97"/>
      <c r="AA474" s="97">
        <v>0</v>
      </c>
      <c r="AB474" s="98">
        <f t="shared" si="271"/>
        <v>1</v>
      </c>
      <c r="AC474" s="30" t="str">
        <f t="shared" si="270"/>
        <v>ok</v>
      </c>
    </row>
    <row r="475" spans="1:29" x14ac:dyDescent="0.2">
      <c r="A475" s="14" t="s">
        <v>207</v>
      </c>
      <c r="C475" s="14" t="s">
        <v>150</v>
      </c>
      <c r="F475" s="236">
        <v>1</v>
      </c>
      <c r="G475" s="97"/>
      <c r="H475" s="98">
        <v>0</v>
      </c>
      <c r="I475" s="98">
        <v>0</v>
      </c>
      <c r="J475" s="98"/>
      <c r="K475" s="98">
        <v>0</v>
      </c>
      <c r="L475" s="97"/>
      <c r="M475" s="98">
        <v>0</v>
      </c>
      <c r="N475" s="97"/>
      <c r="O475" s="98">
        <v>0</v>
      </c>
      <c r="P475" s="98">
        <v>0</v>
      </c>
      <c r="Q475" s="99"/>
      <c r="R475" s="97">
        <v>0</v>
      </c>
      <c r="S475" s="97">
        <v>0</v>
      </c>
      <c r="T475" s="97"/>
      <c r="U475" s="97">
        <v>0</v>
      </c>
      <c r="V475" s="97"/>
      <c r="W475" s="97">
        <v>0</v>
      </c>
      <c r="X475" s="97"/>
      <c r="Y475" s="97">
        <v>1</v>
      </c>
      <c r="Z475" s="97"/>
      <c r="AA475" s="97">
        <v>0</v>
      </c>
      <c r="AB475" s="98">
        <f t="shared" si="271"/>
        <v>1</v>
      </c>
      <c r="AC475" s="30" t="str">
        <f t="shared" si="270"/>
        <v>ok</v>
      </c>
    </row>
    <row r="476" spans="1:29" x14ac:dyDescent="0.2">
      <c r="A476" s="14" t="s">
        <v>350</v>
      </c>
      <c r="C476" s="14" t="s">
        <v>391</v>
      </c>
      <c r="F476" s="236">
        <v>1</v>
      </c>
      <c r="G476" s="97"/>
      <c r="H476" s="98">
        <v>0</v>
      </c>
      <c r="I476" s="98">
        <v>0</v>
      </c>
      <c r="J476" s="98"/>
      <c r="K476" s="98">
        <v>1</v>
      </c>
      <c r="L476" s="97"/>
      <c r="M476" s="98">
        <v>0</v>
      </c>
      <c r="N476" s="97"/>
      <c r="O476" s="98">
        <v>0</v>
      </c>
      <c r="P476" s="98">
        <v>0</v>
      </c>
      <c r="Q476" s="99"/>
      <c r="R476" s="97">
        <v>0</v>
      </c>
      <c r="S476" s="97">
        <v>0</v>
      </c>
      <c r="T476" s="97"/>
      <c r="U476" s="97">
        <v>0</v>
      </c>
      <c r="V476" s="97"/>
      <c r="W476" s="97">
        <v>0</v>
      </c>
      <c r="X476" s="97"/>
      <c r="Y476" s="97">
        <v>0</v>
      </c>
      <c r="Z476" s="97"/>
      <c r="AA476" s="97">
        <v>0</v>
      </c>
      <c r="AB476" s="98">
        <f>SUM(H476:AA476)</f>
        <v>1</v>
      </c>
      <c r="AC476" s="30" t="str">
        <f t="shared" si="270"/>
        <v>ok</v>
      </c>
    </row>
    <row r="477" spans="1:29" x14ac:dyDescent="0.2">
      <c r="A477" s="14" t="s">
        <v>470</v>
      </c>
      <c r="C477" s="14" t="s">
        <v>471</v>
      </c>
      <c r="F477" s="236">
        <v>1</v>
      </c>
      <c r="G477" s="97"/>
      <c r="H477" s="98">
        <v>0</v>
      </c>
      <c r="I477" s="98">
        <v>0</v>
      </c>
      <c r="J477" s="98"/>
      <c r="K477" s="98">
        <v>0</v>
      </c>
      <c r="L477" s="97"/>
      <c r="M477" s="98">
        <v>0</v>
      </c>
      <c r="N477" s="97"/>
      <c r="O477" s="98">
        <v>0</v>
      </c>
      <c r="P477" s="98">
        <v>0</v>
      </c>
      <c r="Q477" s="99"/>
      <c r="R477" s="97">
        <v>0</v>
      </c>
      <c r="S477" s="97">
        <v>0</v>
      </c>
      <c r="T477" s="97"/>
      <c r="U477" s="97">
        <v>0</v>
      </c>
      <c r="V477" s="97"/>
      <c r="W477" s="97">
        <v>0</v>
      </c>
      <c r="X477" s="97"/>
      <c r="Y477" s="97">
        <v>0</v>
      </c>
      <c r="Z477" s="97"/>
      <c r="AA477" s="97">
        <v>1</v>
      </c>
      <c r="AB477" s="98">
        <f>SUM(H477:AA477)</f>
        <v>1</v>
      </c>
      <c r="AC477" s="30" t="str">
        <f>IF(ABS(AB477-F477)&lt;0.0000001,"ok","err")</f>
        <v>ok</v>
      </c>
    </row>
    <row r="478" spans="1:29" x14ac:dyDescent="0.2">
      <c r="F478" s="236"/>
      <c r="G478" s="97"/>
      <c r="H478" s="98"/>
      <c r="I478" s="98"/>
      <c r="J478" s="98"/>
      <c r="K478" s="98"/>
      <c r="L478" s="98"/>
      <c r="M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30"/>
    </row>
    <row r="479" spans="1:29" x14ac:dyDescent="0.2">
      <c r="AC479" s="30"/>
    </row>
    <row r="480" spans="1:29" x14ac:dyDescent="0.2">
      <c r="A480" s="13" t="s">
        <v>402</v>
      </c>
      <c r="C480" s="14" t="s">
        <v>97</v>
      </c>
      <c r="F480" s="236">
        <v>1</v>
      </c>
      <c r="G480" s="97"/>
      <c r="H480" s="98">
        <f>'Purchased Power'!O34</f>
        <v>0.29523876001745175</v>
      </c>
      <c r="I480" s="98">
        <f>'Purchased Power'!O35</f>
        <v>0.70476123998254847</v>
      </c>
      <c r="J480" s="50"/>
      <c r="K480" s="50">
        <v>0</v>
      </c>
      <c r="L480" s="50"/>
      <c r="M480" s="50">
        <v>0</v>
      </c>
      <c r="N480" s="50"/>
      <c r="O480" s="50">
        <v>0</v>
      </c>
      <c r="P480" s="50">
        <v>0</v>
      </c>
      <c r="Q480" s="100"/>
      <c r="R480" s="50">
        <v>0</v>
      </c>
      <c r="S480" s="50">
        <v>0</v>
      </c>
      <c r="T480" s="50"/>
      <c r="U480" s="50">
        <v>0</v>
      </c>
      <c r="V480" s="50"/>
      <c r="W480" s="50">
        <v>0</v>
      </c>
      <c r="X480" s="50"/>
      <c r="Y480" s="50">
        <v>0</v>
      </c>
      <c r="Z480" s="50"/>
      <c r="AA480" s="50">
        <v>0</v>
      </c>
      <c r="AB480" s="97">
        <f>SUM(H480:AA480)</f>
        <v>1.0000000000000002</v>
      </c>
      <c r="AC480" s="30" t="str">
        <f>IF(ABS(AB480-F480)&lt;1,"ok","err")</f>
        <v>ok</v>
      </c>
    </row>
    <row r="481" spans="1:29" x14ac:dyDescent="0.2">
      <c r="AC481" s="30"/>
    </row>
    <row r="482" spans="1:29" x14ac:dyDescent="0.2">
      <c r="A482" s="14" t="s">
        <v>548</v>
      </c>
      <c r="C482" s="14" t="s">
        <v>546</v>
      </c>
      <c r="F482" s="237">
        <v>1</v>
      </c>
      <c r="G482" s="101"/>
      <c r="H482" s="50">
        <v>0</v>
      </c>
      <c r="I482" s="50">
        <v>0</v>
      </c>
      <c r="K482" s="50">
        <v>0</v>
      </c>
      <c r="M482" s="50">
        <v>0</v>
      </c>
      <c r="O482" s="50">
        <v>0</v>
      </c>
      <c r="P482" s="50">
        <v>0</v>
      </c>
      <c r="R482" s="50">
        <v>0</v>
      </c>
      <c r="S482" s="50">
        <v>0</v>
      </c>
      <c r="U482" s="50">
        <v>0</v>
      </c>
      <c r="W482" s="101">
        <v>1</v>
      </c>
      <c r="Y482" s="50">
        <v>0</v>
      </c>
      <c r="AA482" s="50">
        <v>0</v>
      </c>
      <c r="AB482" s="98">
        <f>SUM(H482:AA482)</f>
        <v>1</v>
      </c>
      <c r="AC482" s="30" t="str">
        <f>IF(ABS(AB482-F482)&lt;1,"ok","err")</f>
        <v>ok</v>
      </c>
    </row>
    <row r="483" spans="1:29" x14ac:dyDescent="0.2">
      <c r="A483" s="14" t="s">
        <v>549</v>
      </c>
      <c r="C483" s="14" t="s">
        <v>547</v>
      </c>
      <c r="F483" s="237">
        <v>1</v>
      </c>
      <c r="G483" s="101"/>
      <c r="H483" s="50">
        <v>0</v>
      </c>
      <c r="I483" s="50">
        <v>0</v>
      </c>
      <c r="K483" s="50">
        <v>0</v>
      </c>
      <c r="M483" s="50">
        <v>0</v>
      </c>
      <c r="O483" s="50">
        <v>0</v>
      </c>
      <c r="P483" s="50">
        <v>0</v>
      </c>
      <c r="R483" s="50">
        <v>0</v>
      </c>
      <c r="S483" s="50">
        <v>0</v>
      </c>
      <c r="U483" s="50">
        <v>0</v>
      </c>
      <c r="W483" s="101">
        <v>1</v>
      </c>
      <c r="Y483" s="50">
        <v>0</v>
      </c>
      <c r="AA483" s="50">
        <v>0</v>
      </c>
      <c r="AB483" s="98">
        <f>SUM(H483:AA483)</f>
        <v>1</v>
      </c>
      <c r="AC483" s="30" t="str">
        <f>IF(ABS(AB483-F483)&lt;1,"ok","err")</f>
        <v>ok</v>
      </c>
    </row>
    <row r="484" spans="1:29" x14ac:dyDescent="0.2">
      <c r="A484" s="14" t="s">
        <v>706</v>
      </c>
      <c r="C484" s="14" t="s">
        <v>551</v>
      </c>
      <c r="F484" s="236">
        <v>1</v>
      </c>
      <c r="G484" s="97"/>
      <c r="H484" s="98">
        <v>0</v>
      </c>
      <c r="I484" s="98">
        <v>0</v>
      </c>
      <c r="J484" s="98"/>
      <c r="K484" s="98">
        <v>0</v>
      </c>
      <c r="L484" s="97"/>
      <c r="M484" s="98">
        <v>0</v>
      </c>
      <c r="N484" s="97"/>
      <c r="O484" s="98">
        <v>0</v>
      </c>
      <c r="P484" s="98">
        <v>1</v>
      </c>
      <c r="Q484" s="99"/>
      <c r="R484" s="97">
        <v>0</v>
      </c>
      <c r="S484" s="97">
        <v>0</v>
      </c>
      <c r="T484" s="97"/>
      <c r="U484" s="97">
        <v>0</v>
      </c>
      <c r="V484" s="97"/>
      <c r="W484" s="97">
        <v>0</v>
      </c>
      <c r="X484" s="97"/>
      <c r="Y484" s="97">
        <v>0</v>
      </c>
      <c r="Z484" s="97"/>
      <c r="AA484" s="97">
        <v>0</v>
      </c>
      <c r="AB484" s="98">
        <f>SUM(H484:AA484)</f>
        <v>1</v>
      </c>
      <c r="AC484" s="30" t="str">
        <f>IF(ABS(AB484-F484)&lt;0.0000001,"ok","err")</f>
        <v>ok</v>
      </c>
    </row>
    <row r="485" spans="1:29" x14ac:dyDescent="0.2">
      <c r="A485" s="14" t="s">
        <v>822</v>
      </c>
      <c r="C485" s="14" t="s">
        <v>552</v>
      </c>
      <c r="F485" s="236">
        <v>1</v>
      </c>
      <c r="G485" s="97"/>
      <c r="H485" s="98">
        <v>1</v>
      </c>
      <c r="I485" s="98">
        <v>0</v>
      </c>
      <c r="J485" s="98"/>
      <c r="K485" s="98">
        <v>0</v>
      </c>
      <c r="L485" s="97"/>
      <c r="M485" s="98">
        <v>0</v>
      </c>
      <c r="N485" s="97"/>
      <c r="O485" s="98">
        <v>0</v>
      </c>
      <c r="P485" s="98">
        <v>0</v>
      </c>
      <c r="Q485" s="99"/>
      <c r="R485" s="97">
        <v>0</v>
      </c>
      <c r="S485" s="97">
        <v>0</v>
      </c>
      <c r="T485" s="97"/>
      <c r="U485" s="97">
        <v>0</v>
      </c>
      <c r="V485" s="97"/>
      <c r="W485" s="97">
        <v>0</v>
      </c>
      <c r="X485" s="97"/>
      <c r="Y485" s="97">
        <v>0</v>
      </c>
      <c r="Z485" s="97"/>
      <c r="AA485" s="97">
        <v>0</v>
      </c>
      <c r="AB485" s="98">
        <f>SUM(H485:AA485)</f>
        <v>1</v>
      </c>
      <c r="AC485" s="30" t="str">
        <f>IF(ABS(AB485-F485)&lt;0.0000001,"ok","err")</f>
        <v>ok</v>
      </c>
    </row>
    <row r="486" spans="1:29" x14ac:dyDescent="0.2">
      <c r="A486" s="14" t="s">
        <v>823</v>
      </c>
      <c r="C486" s="14" t="s">
        <v>786</v>
      </c>
      <c r="F486" s="236">
        <v>1</v>
      </c>
      <c r="G486" s="97"/>
      <c r="H486" s="98">
        <v>0</v>
      </c>
      <c r="I486" s="98">
        <v>1</v>
      </c>
      <c r="J486" s="98"/>
      <c r="K486" s="98">
        <v>0</v>
      </c>
      <c r="L486" s="97"/>
      <c r="M486" s="98">
        <v>0</v>
      </c>
      <c r="N486" s="97"/>
      <c r="O486" s="98">
        <v>0</v>
      </c>
      <c r="P486" s="98">
        <v>0</v>
      </c>
      <c r="Q486" s="99"/>
      <c r="R486" s="97">
        <v>0</v>
      </c>
      <c r="S486" s="97">
        <v>0</v>
      </c>
      <c r="T486" s="97"/>
      <c r="U486" s="97">
        <v>0</v>
      </c>
      <c r="V486" s="97"/>
      <c r="W486" s="97">
        <v>0</v>
      </c>
      <c r="X486" s="97"/>
      <c r="Y486" s="97">
        <v>0</v>
      </c>
      <c r="Z486" s="97"/>
      <c r="AA486" s="97">
        <v>0</v>
      </c>
      <c r="AB486" s="98">
        <f>SUM(H486:AA486)</f>
        <v>1</v>
      </c>
      <c r="AC486" s="30" t="str">
        <f>IF(ABS(AB486-F486)&lt;0.0000001,"ok","err")</f>
        <v>ok</v>
      </c>
    </row>
    <row r="487" spans="1:29" x14ac:dyDescent="0.2">
      <c r="F487" s="236"/>
      <c r="G487" s="97"/>
      <c r="AC487" s="30"/>
    </row>
    <row r="488" spans="1:29" x14ac:dyDescent="0.2">
      <c r="AC488" s="30"/>
    </row>
    <row r="489" spans="1:29" x14ac:dyDescent="0.2">
      <c r="F489" s="226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50"/>
      <c r="AC489" s="30"/>
    </row>
    <row r="490" spans="1:29" x14ac:dyDescent="0.2">
      <c r="F490" s="226"/>
      <c r="G490" s="93"/>
      <c r="H490" s="93"/>
      <c r="I490" s="93"/>
      <c r="J490" s="93"/>
      <c r="K490" s="93"/>
      <c r="L490" s="93"/>
      <c r="M490" s="93"/>
      <c r="N490" s="93"/>
      <c r="O490" s="48"/>
      <c r="P490" s="48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50"/>
      <c r="AC490" s="30"/>
    </row>
    <row r="491" spans="1:29" x14ac:dyDescent="0.2">
      <c r="O491" s="48"/>
      <c r="P491" s="48"/>
      <c r="AC491" s="30"/>
    </row>
    <row r="492" spans="1:29" x14ac:dyDescent="0.2">
      <c r="F492" s="234"/>
      <c r="G492" s="50"/>
      <c r="O492" s="48"/>
      <c r="P492" s="48"/>
      <c r="AC492" s="30"/>
    </row>
    <row r="493" spans="1:29" x14ac:dyDescent="0.2">
      <c r="F493" s="234"/>
      <c r="G493" s="50"/>
      <c r="O493" s="48"/>
      <c r="P493" s="48"/>
      <c r="AC493" s="30"/>
    </row>
    <row r="494" spans="1:29" x14ac:dyDescent="0.2">
      <c r="F494" s="234"/>
      <c r="G494" s="50"/>
      <c r="AC494" s="30"/>
    </row>
    <row r="495" spans="1:29" x14ac:dyDescent="0.2">
      <c r="F495" s="234"/>
      <c r="G495" s="50"/>
      <c r="AC495" s="30"/>
    </row>
    <row r="496" spans="1:29" x14ac:dyDescent="0.2">
      <c r="F496" s="234"/>
      <c r="G496" s="50"/>
      <c r="AC496" s="30"/>
    </row>
    <row r="497" spans="6:29" x14ac:dyDescent="0.2">
      <c r="F497" s="234"/>
      <c r="G497" s="50"/>
      <c r="AC497" s="30"/>
    </row>
    <row r="498" spans="6:29" x14ac:dyDescent="0.2">
      <c r="F498" s="234"/>
      <c r="G498" s="50"/>
      <c r="AC498" s="30"/>
    </row>
    <row r="499" spans="6:29" x14ac:dyDescent="0.2">
      <c r="F499" s="234"/>
      <c r="G499" s="50"/>
      <c r="AC499" s="30"/>
    </row>
    <row r="500" spans="6:29" x14ac:dyDescent="0.2">
      <c r="F500" s="238"/>
      <c r="G500" s="36"/>
      <c r="AC500" s="30"/>
    </row>
    <row r="501" spans="6:29" x14ac:dyDescent="0.2">
      <c r="AC501" s="30"/>
    </row>
    <row r="502" spans="6:29" x14ac:dyDescent="0.2">
      <c r="F502" s="233"/>
      <c r="G502" s="66"/>
      <c r="AC502" s="30"/>
    </row>
    <row r="503" spans="6:29" x14ac:dyDescent="0.2">
      <c r="AC503" s="30"/>
    </row>
    <row r="504" spans="6:29" x14ac:dyDescent="0.2">
      <c r="AC504" s="30"/>
    </row>
    <row r="505" spans="6:29" x14ac:dyDescent="0.2">
      <c r="AC505" s="30"/>
    </row>
  </sheetData>
  <phoneticPr fontId="0" type="noConversion"/>
  <conditionalFormatting sqref="AC1:AC65533">
    <cfRule type="cellIs" dxfId="4" priority="2" operator="equal">
      <formula>"err"</formula>
    </cfRule>
  </conditionalFormatting>
  <conditionalFormatting sqref="AC8:AC490">
    <cfRule type="containsText" dxfId="3" priority="1" operator="containsText" text="err">
      <formula>NOT(ISERROR(SEARCH("err",AC8)))</formula>
    </cfRule>
  </conditionalFormatting>
  <pageMargins left="0.25" right="0.25" top="1.25" bottom="0.5" header="0.5" footer="0.2"/>
  <pageSetup scale="60" fitToWidth="3" pageOrder="overThenDown" orientation="landscape" r:id="rId1"/>
  <headerFooter alignWithMargins="0">
    <oddHeader xml:space="preserve">&amp;C&amp;"Times New Roman,Bold"SOUTH KENTUCKY R.E.C.C.
Cost of Service Study
Functionalization and Classification
</oddHeader>
    <oddFooter>&amp;RExhibit JW-4
Page &amp;P of &amp;N</oddFooter>
  </headerFooter>
  <rowBreaks count="13" manualBreakCount="13">
    <brk id="35" max="26" man="1"/>
    <brk id="58" max="26" man="1"/>
    <brk id="93" max="26" man="1"/>
    <brk id="144" max="26" man="1"/>
    <brk id="170" max="26" man="1"/>
    <brk id="215" max="26" man="1"/>
    <brk id="264" max="26" man="1"/>
    <brk id="288" max="26" man="1"/>
    <brk id="330" max="26" man="1"/>
    <brk id="357" max="26" man="1"/>
    <brk id="394" max="26" man="1"/>
    <brk id="441" max="26" man="1"/>
    <brk id="462" max="26" man="1"/>
  </rowBreaks>
  <colBreaks count="1" manualBreakCount="1">
    <brk id="14" max="497" man="1"/>
  </colBreaks>
  <ignoredErrors>
    <ignoredError sqref="H270:AA27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654"/>
  <sheetViews>
    <sheetView view="pageBreakPreview" zoomScale="75" zoomScaleNormal="100" zoomScaleSheetLayoutView="75" workbookViewId="0">
      <pane xSplit="2" ySplit="3" topLeftCell="C4" activePane="bottomRight" state="frozen"/>
      <selection activeCell="I42" sqref="I42"/>
      <selection pane="topRight" activeCell="I42" sqref="I42"/>
      <selection pane="bottomLeft" activeCell="I42" sqref="I42"/>
      <selection pane="bottomRight" activeCell="N9" sqref="N9"/>
    </sheetView>
  </sheetViews>
  <sheetFormatPr defaultColWidth="9.140625" defaultRowHeight="12.75" x14ac:dyDescent="0.2"/>
  <cols>
    <col min="1" max="1" width="7.7109375" style="14" customWidth="1"/>
    <col min="2" max="2" width="56.42578125" style="14" customWidth="1"/>
    <col min="3" max="3" width="14" style="14" customWidth="1"/>
    <col min="4" max="4" width="12.42578125" style="14" customWidth="1"/>
    <col min="5" max="5" width="20.7109375" style="232" customWidth="1"/>
    <col min="6" max="13" width="18.7109375" style="14" customWidth="1"/>
    <col min="14" max="14" width="20.7109375" style="14" customWidth="1"/>
    <col min="15" max="15" width="20.7109375" style="14" hidden="1" customWidth="1"/>
    <col min="16" max="16" width="16.140625" style="14" hidden="1" customWidth="1"/>
    <col min="17" max="17" width="15.7109375" style="14" hidden="1" customWidth="1"/>
    <col min="18" max="18" width="20.7109375" style="14" hidden="1" customWidth="1"/>
    <col min="19" max="22" width="14.5703125" style="14" hidden="1" customWidth="1"/>
    <col min="23" max="23" width="13.5703125" style="14" hidden="1" customWidth="1"/>
    <col min="24" max="24" width="12" style="14" hidden="1" customWidth="1"/>
    <col min="25" max="30" width="17.7109375" style="14" hidden="1" customWidth="1"/>
    <col min="31" max="31" width="17.42578125" style="14" hidden="1" customWidth="1"/>
    <col min="32" max="32" width="9.7109375" style="14" hidden="1" customWidth="1"/>
    <col min="33" max="33" width="17.7109375" style="14" customWidth="1"/>
    <col min="34" max="34" width="10.7109375" style="14" customWidth="1"/>
    <col min="35" max="35" width="11.7109375" style="14" bestFit="1" customWidth="1"/>
    <col min="36" max="36" width="9.140625" style="14"/>
    <col min="37" max="37" width="17.42578125" style="50" bestFit="1" customWidth="1"/>
    <col min="38" max="38" width="10.42578125" style="14" bestFit="1" customWidth="1"/>
    <col min="39" max="39" width="10.28515625" style="14" bestFit="1" customWidth="1"/>
    <col min="40" max="40" width="9.28515625" style="14" bestFit="1" customWidth="1"/>
    <col min="41" max="45" width="9.140625" style="14"/>
    <col min="46" max="46" width="11.7109375" style="14" bestFit="1" customWidth="1"/>
    <col min="47" max="16384" width="9.140625" style="14"/>
  </cols>
  <sheetData>
    <row r="1" spans="1:37" x14ac:dyDescent="0.2">
      <c r="A1" s="82"/>
      <c r="B1" s="82"/>
      <c r="C1" s="82"/>
      <c r="D1" s="82"/>
      <c r="AH1" s="30" t="str">
        <f>IF(COUNTIF(AH4:AH537,"err"),"err","ok")</f>
        <v>ok</v>
      </c>
    </row>
    <row r="2" spans="1:37" s="174" customFormat="1" ht="77.25" customHeight="1" x14ac:dyDescent="0.2">
      <c r="A2" s="172"/>
      <c r="B2" s="172"/>
      <c r="C2" s="85"/>
      <c r="D2" s="173" t="s">
        <v>208</v>
      </c>
      <c r="E2" s="239" t="s">
        <v>0</v>
      </c>
      <c r="F2" s="85" t="str">
        <f>'Summary of Returns'!B10</f>
        <v>Residential, Farm and Non-Farm Service</v>
      </c>
      <c r="G2" s="85" t="str">
        <f>'Summary of Returns'!B11</f>
        <v>Small Commercial Rate</v>
      </c>
      <c r="H2" s="239" t="str">
        <f>'Summary of Returns'!B12</f>
        <v>Large Power Rate (Excess of 50 kVA)</v>
      </c>
      <c r="I2" s="239" t="str">
        <f>'Summary of Returns'!B13</f>
        <v>Large Power Rate (500 KW to 4,999 KW)</v>
      </c>
      <c r="J2" s="239" t="str">
        <f>'Summary of Returns'!B14</f>
        <v>Large Power Rate (5,000 KW to 9,999 KW)</v>
      </c>
      <c r="K2" s="239" t="str">
        <f>'Summary of Returns'!B15</f>
        <v>Large Power Rate (500 KW to 2,999 KW)</v>
      </c>
      <c r="L2" s="85" t="str">
        <f>'Summary of Returns'!B16</f>
        <v>Optional Power Service</v>
      </c>
      <c r="M2" s="85" t="str">
        <f>'Summary of Returns'!B17</f>
        <v>All Electric Schools</v>
      </c>
      <c r="N2" s="85" t="str">
        <f>'Summary of Returns'!B18</f>
        <v>Lighting</v>
      </c>
      <c r="O2" s="85">
        <f>'Summary of Returns'!B19</f>
        <v>0</v>
      </c>
      <c r="P2" s="85">
        <f>'Summary of Returns'!B20</f>
        <v>0</v>
      </c>
      <c r="Q2" s="85" t="s">
        <v>701</v>
      </c>
      <c r="R2" s="85" t="s">
        <v>701</v>
      </c>
      <c r="S2" s="85" t="s">
        <v>701</v>
      </c>
      <c r="T2" s="85" t="s">
        <v>701</v>
      </c>
      <c r="U2" s="85" t="s">
        <v>701</v>
      </c>
      <c r="V2" s="85" t="s">
        <v>701</v>
      </c>
      <c r="W2" s="85" t="s">
        <v>701</v>
      </c>
      <c r="X2" s="85" t="s">
        <v>701</v>
      </c>
      <c r="Y2" s="85" t="s">
        <v>701</v>
      </c>
      <c r="Z2" s="85" t="s">
        <v>701</v>
      </c>
      <c r="AA2" s="85" t="s">
        <v>701</v>
      </c>
      <c r="AB2" s="85" t="s">
        <v>701</v>
      </c>
      <c r="AC2" s="85" t="s">
        <v>701</v>
      </c>
      <c r="AD2" s="85" t="s">
        <v>701</v>
      </c>
      <c r="AE2" s="85" t="s">
        <v>701</v>
      </c>
      <c r="AF2" s="85" t="s">
        <v>701</v>
      </c>
      <c r="AG2" s="172"/>
      <c r="AH2" s="172"/>
      <c r="AK2" s="175"/>
    </row>
    <row r="3" spans="1:37" ht="13.5" thickBot="1" x14ac:dyDescent="0.25">
      <c r="A3" s="87" t="s">
        <v>6</v>
      </c>
      <c r="B3" s="87"/>
      <c r="C3" s="88" t="s">
        <v>7</v>
      </c>
      <c r="D3" s="88" t="s">
        <v>8</v>
      </c>
      <c r="E3" s="229" t="s">
        <v>9</v>
      </c>
      <c r="F3" s="86" t="str">
        <f>'Summary of Returns'!C10</f>
        <v xml:space="preserve">A </v>
      </c>
      <c r="G3" s="86" t="str">
        <f>'Summary of Returns'!C11</f>
        <v>B</v>
      </c>
      <c r="H3" s="229" t="str">
        <f>'Summary of Returns'!C12</f>
        <v>LP</v>
      </c>
      <c r="I3" s="229" t="str">
        <f>'Summary of Returns'!C13</f>
        <v>LP-1</v>
      </c>
      <c r="J3" s="229" t="str">
        <f>'Summary of Returns'!C14</f>
        <v>LP-2</v>
      </c>
      <c r="K3" s="229" t="str">
        <f>'Summary of Returns'!C15</f>
        <v>LP-3</v>
      </c>
      <c r="L3" s="86" t="str">
        <f>'Summary of Returns'!C16</f>
        <v>OPS</v>
      </c>
      <c r="M3" s="86" t="str">
        <f>'Summary of Returns'!C17</f>
        <v>AES</v>
      </c>
      <c r="N3" s="86" t="str">
        <f>'Summary of Returns'!C18</f>
        <v>Lights</v>
      </c>
      <c r="O3" s="86">
        <f>'Summary of Returns'!C19</f>
        <v>0</v>
      </c>
      <c r="P3" s="86">
        <f>'Summary of Returns'!C20</f>
        <v>0</v>
      </c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 t="s">
        <v>13</v>
      </c>
      <c r="AH3" s="86" t="s">
        <v>14</v>
      </c>
    </row>
    <row r="5" spans="1:37" x14ac:dyDescent="0.2">
      <c r="A5" s="28" t="s">
        <v>15</v>
      </c>
    </row>
    <row r="7" spans="1:37" x14ac:dyDescent="0.2">
      <c r="A7" s="13" t="s">
        <v>893</v>
      </c>
    </row>
    <row r="8" spans="1:37" x14ac:dyDescent="0.2">
      <c r="A8" s="96" t="s">
        <v>209</v>
      </c>
      <c r="C8" s="14" t="s">
        <v>210</v>
      </c>
      <c r="D8" s="14" t="s">
        <v>655</v>
      </c>
      <c r="E8" s="233">
        <f>'Func &amp; Classif'!H82</f>
        <v>0</v>
      </c>
      <c r="F8" s="66">
        <f>IF(VLOOKUP($D8,$C$5:$AU$503,3,)=0,0,(VLOOKUP($D8,$C$5:$AU$503,4,)/VLOOKUP($D8,$C$5:$AU$503,3,))*$E8)</f>
        <v>0</v>
      </c>
      <c r="G8" s="66">
        <f>IF(VLOOKUP($D8,$C$5:$AU$503,3,)=0,0,(VLOOKUP($D8,$C$5:$AU$503,5,)/VLOOKUP($D8,$C$5:$AU$503,3,))*$E8)</f>
        <v>0</v>
      </c>
      <c r="H8" s="66">
        <f>IF(VLOOKUP($D8,$C$5:$AU$503,3,)=0,0,(VLOOKUP($D8,$C$5:$AU$503,6,)/VLOOKUP($D8,$C$5:$AU$503,3,))*$E8)</f>
        <v>0</v>
      </c>
      <c r="I8" s="66">
        <f>IF(VLOOKUP($D8,$C$5:$AU$503,3,)=0,0,(VLOOKUP($D8,$C$5:$AU$503,7,)/VLOOKUP($D8,$C$5:$AU$503,3,))*$E8)</f>
        <v>0</v>
      </c>
      <c r="J8" s="66">
        <f>IF(VLOOKUP($D8,$C$5:$AU$503,3,)=0,0,(VLOOKUP($D8,$C$5:$AU$503,8,)/VLOOKUP($D8,$C$5:$AU$503,3,))*$E8)</f>
        <v>0</v>
      </c>
      <c r="K8" s="66">
        <f>IF(VLOOKUP($D8,$C$5:$AU$503,3,)=0,0,(VLOOKUP($D8,$C$5:$AU$503,9,)/VLOOKUP($D8,$C$5:$AU$503,3,))*$E8)</f>
        <v>0</v>
      </c>
      <c r="L8" s="66">
        <f>IF(VLOOKUP($D8,$C$5:$AU$503,3,)=0,0,(VLOOKUP($D8,$C$5:$AU$503,10,)/VLOOKUP($D8,$C$5:$AU$503,3,))*$E8)</f>
        <v>0</v>
      </c>
      <c r="M8" s="66">
        <f>IF(VLOOKUP($D8,$C$5:$AU$503,3,)=0,0,(VLOOKUP($D8,$C$5:$AU$503,11,)/VLOOKUP($D8,$C$5:$AU$503,3,))*$E8)</f>
        <v>0</v>
      </c>
      <c r="N8" s="66">
        <f>IF(VLOOKUP($D8,$C$5:$AU$503,3,)=0,0,(VLOOKUP($D8,$C$5:$AU$503,12,)/VLOOKUP($D8,$C$5:$AU$503,3,))*$E8)</f>
        <v>0</v>
      </c>
      <c r="O8" s="66">
        <f>IF(VLOOKUP($D8,$C$5:$AU$503,3,)=0,0,(VLOOKUP($D8,$C$5:$AU$503,13,)/VLOOKUP($D8,$C$5:$AU$503,3,))*$E8)</f>
        <v>0</v>
      </c>
      <c r="P8" s="66">
        <f>IF(VLOOKUP($D8,$C$5:$AU$503,3,)=0,0,(VLOOKUP($D8,$C$5:$AU$503,14,)/VLOOKUP($D8,$C$5:$AU$503,3,))*$E8)</f>
        <v>0</v>
      </c>
      <c r="Q8" s="66">
        <f>IF(VLOOKUP($D8,$C$5:$AU$503,3,)=0,0,(VLOOKUP($D8,$C$5:$AU$503,15,)/VLOOKUP($D8,$C$5:$AU$503,3,))*$E8)</f>
        <v>0</v>
      </c>
      <c r="R8" s="66">
        <f>IF(VLOOKUP($D8,$C$5:$AU$503,3,)=0,0,(VLOOKUP($D8,$C$5:$AU$503,16,)/VLOOKUP($D8,$C$5:$AU$503,3,))*$E8)</f>
        <v>0</v>
      </c>
      <c r="S8" s="66">
        <f>IF(VLOOKUP($D8,$C$5:$AU$503,3,)=0,0,(VLOOKUP($D8,$C$5:$AU$503,17,)/VLOOKUP($D8,$C$5:$AU$503,3,))*$E8)</f>
        <v>0</v>
      </c>
      <c r="T8" s="66">
        <f>IF(VLOOKUP($D8,$C$5:$AU$503,3,)=0,0,(VLOOKUP($D8,$C$5:$AU$503,18,)/VLOOKUP($D8,$C$5:$AU$503,3,))*$E8)</f>
        <v>0</v>
      </c>
      <c r="U8" s="66">
        <f>IF(VLOOKUP($D8,$C$5:$AU$503,3,)=0,0,(VLOOKUP($D8,$C$5:$AU$503,19,)/VLOOKUP($D8,$C$5:$AU$503,3,))*$E8)</f>
        <v>0</v>
      </c>
      <c r="V8" s="66">
        <f>IF(VLOOKUP($D8,$C$5:$AU$503,3,)=0,0,(VLOOKUP($D8,$C$5:$AU$503,20,)/VLOOKUP($D8,$C$5:$AU$503,3,))*$E8)</f>
        <v>0</v>
      </c>
      <c r="W8" s="66">
        <f>IF(VLOOKUP($D8,$C$5:$AU$503,3,)=0,0,(VLOOKUP($D8,$C$5:$AU$503,21,)/VLOOKUP($D8,$C$5:$AU$503,3,))*$E8)</f>
        <v>0</v>
      </c>
      <c r="X8" s="66">
        <f>IF(VLOOKUP($D8,$C$5:$AU$503,3,)=0,0,(VLOOKUP($D8,$C$5:$AU$503,22,)/VLOOKUP($D8,$C$5:$AU$503,3,))*$E8)</f>
        <v>0</v>
      </c>
      <c r="Y8" s="66">
        <f>IF(VLOOKUP($D8,$C$5:$AU$503,3,)=0,0,(VLOOKUP($D8,$C$5:$AU$503,23,)/VLOOKUP($D8,$C$5:$AU$503,3,))*$E8)</f>
        <v>0</v>
      </c>
      <c r="Z8" s="66">
        <f>IF(VLOOKUP($D8,$C$5:$AU$503,3,)=0,0,(VLOOKUP($D8,$C$5:$AU$503,24,)/VLOOKUP($D8,$C$5:$AU$503,3,))*$E8)</f>
        <v>0</v>
      </c>
      <c r="AA8" s="66">
        <f>IF(VLOOKUP($D8,$C$5:$AU$503,3,)=0,0,(VLOOKUP($D8,$C$5:$AU$503,25,)/VLOOKUP($D8,$C$5:$AU$503,3,))*$E8)</f>
        <v>0</v>
      </c>
      <c r="AB8" s="66">
        <f>IF(VLOOKUP($D8,$C$5:$AU$503,3,)=0,0,(VLOOKUP($D8,$C$5:$AU$503,26,)/VLOOKUP($D8,$C$5:$AU$503,3,))*$E8)</f>
        <v>0</v>
      </c>
      <c r="AC8" s="66">
        <f>IF(VLOOKUP($D8,$C$5:$AU$503,3,)=0,0,(VLOOKUP($D8,$C$5:$AU$503,27,)/VLOOKUP($D8,$C$5:$AU$503,3,))*$E8)</f>
        <v>0</v>
      </c>
      <c r="AD8" s="66">
        <f>IF(VLOOKUP($D8,$C$5:$AU$503,3,)=0,0,(VLOOKUP($D8,$C$5:$AU$503,28,)/VLOOKUP($D8,$C$5:$AU$503,3,))*$E8)</f>
        <v>0</v>
      </c>
      <c r="AE8" s="66">
        <f>IF(VLOOKUP($D8,$C$5:$AU$503,3,)=0,0,(VLOOKUP($D8,$C$5:$AU$503,29,)/VLOOKUP($D8,$C$5:$AU$503,3,))*$E8)</f>
        <v>0</v>
      </c>
      <c r="AF8" s="66">
        <f>IF(VLOOKUP($D8,$C$5:$AU$503,3,)=0,0,(VLOOKUP($D8,$C$5:$AU$503,30,)/VLOOKUP($D8,$C$5:$AU$503,3,))*$E8)</f>
        <v>0</v>
      </c>
      <c r="AG8" s="93">
        <f>SUM(F8:AF8)</f>
        <v>0</v>
      </c>
      <c r="AH8" s="30" t="str">
        <f>IF(ABS(E8-AG8)&lt;0.01,"ok","err")</f>
        <v>ok</v>
      </c>
    </row>
    <row r="9" spans="1:37" x14ac:dyDescent="0.2">
      <c r="A9" s="96" t="s">
        <v>212</v>
      </c>
      <c r="C9" s="14" t="s">
        <v>213</v>
      </c>
      <c r="D9" s="14" t="s">
        <v>664</v>
      </c>
      <c r="E9" s="234">
        <f>'Func &amp; Classif'!I82</f>
        <v>0</v>
      </c>
      <c r="F9" s="66">
        <f>IF(VLOOKUP($D9,$C$5:$AU$503,3,)=0,0,(VLOOKUP($D9,$C$5:$AU$503,4,)/VLOOKUP($D9,$C$5:$AU$503,3,))*$E9)</f>
        <v>0</v>
      </c>
      <c r="G9" s="66">
        <f>IF(VLOOKUP($D9,$C$5:$AU$503,3,)=0,0,(VLOOKUP($D9,$C$5:$AU$503,5,)/VLOOKUP($D9,$C$5:$AU$503,3,))*$E9)</f>
        <v>0</v>
      </c>
      <c r="H9" s="66">
        <f>IF(VLOOKUP($D9,$C$5:$AU$503,3,)=0,0,(VLOOKUP($D9,$C$5:$AU$503,6,)/VLOOKUP($D9,$C$5:$AU$503,3,))*$E9)</f>
        <v>0</v>
      </c>
      <c r="I9" s="66">
        <f>IF(VLOOKUP($D9,$C$5:$AU$503,3,)=0,0,(VLOOKUP($D9,$C$5:$AU$503,7,)/VLOOKUP($D9,$C$5:$AU$503,3,))*$E9)</f>
        <v>0</v>
      </c>
      <c r="J9" s="66">
        <f>IF(VLOOKUP($D9,$C$5:$AU$503,3,)=0,0,(VLOOKUP($D9,$C$5:$AU$503,8,)/VLOOKUP($D9,$C$5:$AU$503,3,))*$E9)</f>
        <v>0</v>
      </c>
      <c r="K9" s="66">
        <f>IF(VLOOKUP($D9,$C$5:$AU$503,3,)=0,0,(VLOOKUP($D9,$C$5:$AU$503,9,)/VLOOKUP($D9,$C$5:$AU$503,3,))*$E9)</f>
        <v>0</v>
      </c>
      <c r="L9" s="66">
        <f>IF(VLOOKUP($D9,$C$5:$AU$503,3,)=0,0,(VLOOKUP($D9,$C$5:$AU$503,10,)/VLOOKUP($D9,$C$5:$AU$503,3,))*$E9)</f>
        <v>0</v>
      </c>
      <c r="M9" s="66">
        <f>IF(VLOOKUP($D9,$C$5:$AU$503,3,)=0,0,(VLOOKUP($D9,$C$5:$AU$503,11,)/VLOOKUP($D9,$C$5:$AU$503,3,))*$E9)</f>
        <v>0</v>
      </c>
      <c r="N9" s="66">
        <f>IF(VLOOKUP($D9,$C$5:$AU$503,3,)=0,0,(VLOOKUP($D9,$C$5:$AU$503,12,)/VLOOKUP($D9,$C$5:$AU$503,3,))*$E9)</f>
        <v>0</v>
      </c>
      <c r="O9" s="66">
        <f>IF(VLOOKUP($D9,$C$5:$AU$503,3,)=0,0,(VLOOKUP($D9,$C$5:$AU$503,13,)/VLOOKUP($D9,$C$5:$AU$503,3,))*$E9)</f>
        <v>0</v>
      </c>
      <c r="P9" s="66">
        <f>IF(VLOOKUP($D9,$C$5:$AU$503,3,)=0,0,(VLOOKUP($D9,$C$5:$AU$503,14,)/VLOOKUP($D9,$C$5:$AU$503,3,))*$E9)</f>
        <v>0</v>
      </c>
      <c r="Q9" s="66">
        <f>IF(VLOOKUP($D9,$C$5:$AU$503,3,)=0,0,(VLOOKUP($D9,$C$5:$AU$503,15,)/VLOOKUP($D9,$C$5:$AU$503,3,))*$E9)</f>
        <v>0</v>
      </c>
      <c r="R9" s="66">
        <f>IF(VLOOKUP($D9,$C$5:$AU$503,3,)=0,0,(VLOOKUP($D9,$C$5:$AU$503,16,)/VLOOKUP($D9,$C$5:$AU$503,3,))*$E9)</f>
        <v>0</v>
      </c>
      <c r="S9" s="66">
        <f>IF(VLOOKUP($D9,$C$5:$AU$503,3,)=0,0,(VLOOKUP($D9,$C$5:$AU$503,17,)/VLOOKUP($D9,$C$5:$AU$503,3,))*$E9)</f>
        <v>0</v>
      </c>
      <c r="T9" s="66">
        <f>IF(VLOOKUP($D9,$C$5:$AU$503,3,)=0,0,(VLOOKUP($D9,$C$5:$AU$503,18,)/VLOOKUP($D9,$C$5:$AU$503,3,))*$E9)</f>
        <v>0</v>
      </c>
      <c r="U9" s="66">
        <f>IF(VLOOKUP($D9,$C$5:$AU$503,3,)=0,0,(VLOOKUP($D9,$C$5:$AU$503,19,)/VLOOKUP($D9,$C$5:$AU$503,3,))*$E9)</f>
        <v>0</v>
      </c>
      <c r="V9" s="66">
        <f>IF(VLOOKUP($D9,$C$5:$AU$503,3,)=0,0,(VLOOKUP($D9,$C$5:$AU$503,20,)/VLOOKUP($D9,$C$5:$AU$503,3,))*$E9)</f>
        <v>0</v>
      </c>
      <c r="W9" s="66">
        <f>IF(VLOOKUP($D9,$C$5:$AU$503,3,)=0,0,(VLOOKUP($D9,$C$5:$AU$503,21,)/VLOOKUP($D9,$C$5:$AU$503,3,))*$E9)</f>
        <v>0</v>
      </c>
      <c r="X9" s="66">
        <f>IF(VLOOKUP($D9,$C$5:$AU$503,3,)=0,0,(VLOOKUP($D9,$C$5:$AU$503,22,)/VLOOKUP($D9,$C$5:$AU$503,3,))*$E9)</f>
        <v>0</v>
      </c>
      <c r="Y9" s="66">
        <f>IF(VLOOKUP($D9,$C$5:$AU$503,3,)=0,0,(VLOOKUP($D9,$C$5:$AU$503,23,)/VLOOKUP($D9,$C$5:$AU$503,3,))*$E9)</f>
        <v>0</v>
      </c>
      <c r="Z9" s="66">
        <f>IF(VLOOKUP($D9,$C$5:$AU$503,3,)=0,0,(VLOOKUP($D9,$C$5:$AU$503,24,)/VLOOKUP($D9,$C$5:$AU$503,3,))*$E9)</f>
        <v>0</v>
      </c>
      <c r="AA9" s="66">
        <f>IF(VLOOKUP($D9,$C$5:$AU$503,3,)=0,0,(VLOOKUP($D9,$C$5:$AU$503,25,)/VLOOKUP($D9,$C$5:$AU$503,3,))*$E9)</f>
        <v>0</v>
      </c>
      <c r="AB9" s="66">
        <f>IF(VLOOKUP($D9,$C$5:$AU$503,3,)=0,0,(VLOOKUP($D9,$C$5:$AU$503,26,)/VLOOKUP($D9,$C$5:$AU$503,3,))*$E9)</f>
        <v>0</v>
      </c>
      <c r="AC9" s="66">
        <f>IF(VLOOKUP($D9,$C$5:$AU$503,3,)=0,0,(VLOOKUP($D9,$C$5:$AU$503,27,)/VLOOKUP($D9,$C$5:$AU$503,3,))*$E9)</f>
        <v>0</v>
      </c>
      <c r="AD9" s="66">
        <f>IF(VLOOKUP($D9,$C$5:$AU$503,3,)=0,0,(VLOOKUP($D9,$C$5:$AU$503,28,)/VLOOKUP($D9,$C$5:$AU$503,3,))*$E9)</f>
        <v>0</v>
      </c>
      <c r="AE9" s="66">
        <f>IF(VLOOKUP($D9,$C$5:$AU$503,3,)=0,0,(VLOOKUP($D9,$C$5:$AU$503,29,)/VLOOKUP($D9,$C$5:$AU$503,3,))*$E9)</f>
        <v>0</v>
      </c>
      <c r="AF9" s="66">
        <f>IF(VLOOKUP($D9,$C$5:$AU$503,3,)=0,0,(VLOOKUP($D9,$C$5:$AU$503,30,)/VLOOKUP($D9,$C$5:$AU$503,3,))*$E9)</f>
        <v>0</v>
      </c>
      <c r="AG9" s="93">
        <f>SUM(F9:AF9)</f>
        <v>0</v>
      </c>
      <c r="AH9" s="30" t="str">
        <f>IF(ABS(E9-AG9)&lt;0.01,"ok","err")</f>
        <v>ok</v>
      </c>
    </row>
    <row r="10" spans="1:37" x14ac:dyDescent="0.2">
      <c r="A10" s="14" t="s">
        <v>215</v>
      </c>
      <c r="C10" s="14" t="s">
        <v>216</v>
      </c>
      <c r="E10" s="233">
        <f t="shared" ref="E10:T10" si="0">E8+E9</f>
        <v>0</v>
      </c>
      <c r="F10" s="66">
        <f t="shared" si="0"/>
        <v>0</v>
      </c>
      <c r="G10" s="66">
        <f t="shared" si="0"/>
        <v>0</v>
      </c>
      <c r="H10" s="66">
        <f t="shared" si="0"/>
        <v>0</v>
      </c>
      <c r="I10" s="66">
        <f t="shared" si="0"/>
        <v>0</v>
      </c>
      <c r="J10" s="66">
        <f t="shared" si="0"/>
        <v>0</v>
      </c>
      <c r="K10" s="66">
        <f t="shared" si="0"/>
        <v>0</v>
      </c>
      <c r="L10" s="66">
        <f t="shared" si="0"/>
        <v>0</v>
      </c>
      <c r="M10" s="66">
        <f t="shared" si="0"/>
        <v>0</v>
      </c>
      <c r="N10" s="66">
        <f t="shared" si="0"/>
        <v>0</v>
      </c>
      <c r="O10" s="66">
        <f t="shared" si="0"/>
        <v>0</v>
      </c>
      <c r="P10" s="66">
        <f t="shared" si="0"/>
        <v>0</v>
      </c>
      <c r="Q10" s="66">
        <f t="shared" si="0"/>
        <v>0</v>
      </c>
      <c r="R10" s="66">
        <f t="shared" si="0"/>
        <v>0</v>
      </c>
      <c r="S10" s="66">
        <f t="shared" si="0"/>
        <v>0</v>
      </c>
      <c r="T10" s="66">
        <f t="shared" si="0"/>
        <v>0</v>
      </c>
      <c r="U10" s="66">
        <f t="shared" ref="U10:AF10" si="1">U8+U9</f>
        <v>0</v>
      </c>
      <c r="V10" s="66">
        <f t="shared" si="1"/>
        <v>0</v>
      </c>
      <c r="W10" s="66">
        <f t="shared" si="1"/>
        <v>0</v>
      </c>
      <c r="X10" s="66">
        <f t="shared" si="1"/>
        <v>0</v>
      </c>
      <c r="Y10" s="66">
        <f t="shared" si="1"/>
        <v>0</v>
      </c>
      <c r="Z10" s="66">
        <f t="shared" si="1"/>
        <v>0</v>
      </c>
      <c r="AA10" s="66">
        <f t="shared" si="1"/>
        <v>0</v>
      </c>
      <c r="AB10" s="66">
        <f t="shared" si="1"/>
        <v>0</v>
      </c>
      <c r="AC10" s="66">
        <f t="shared" si="1"/>
        <v>0</v>
      </c>
      <c r="AD10" s="66">
        <f t="shared" si="1"/>
        <v>0</v>
      </c>
      <c r="AE10" s="66">
        <f t="shared" si="1"/>
        <v>0</v>
      </c>
      <c r="AF10" s="66">
        <f t="shared" si="1"/>
        <v>0</v>
      </c>
      <c r="AG10" s="93">
        <f>SUM(F10:AF10)</f>
        <v>0</v>
      </c>
      <c r="AH10" s="30" t="str">
        <f>IF(ABS(E10-AG10)&lt;0.01,"ok","err")</f>
        <v>ok</v>
      </c>
    </row>
    <row r="11" spans="1:37" x14ac:dyDescent="0.2">
      <c r="E11" s="234"/>
      <c r="F11" s="50"/>
    </row>
    <row r="12" spans="1:37" x14ac:dyDescent="0.2">
      <c r="A12" s="13" t="s">
        <v>350</v>
      </c>
      <c r="E12" s="234"/>
      <c r="F12" s="50"/>
    </row>
    <row r="13" spans="1:37" x14ac:dyDescent="0.2">
      <c r="A13" s="96" t="s">
        <v>209</v>
      </c>
      <c r="C13" s="14" t="s">
        <v>883</v>
      </c>
      <c r="D13" s="14" t="s">
        <v>597</v>
      </c>
      <c r="E13" s="233">
        <f>'Func &amp; Classif'!K82</f>
        <v>0</v>
      </c>
      <c r="F13" s="66">
        <f>IF(VLOOKUP($D13,$C$5:$AU$503,3,)=0,0,(VLOOKUP($D13,$C$5:$AU$503,4,)/VLOOKUP($D13,$C$5:$AU$503,3,))*$E13)</f>
        <v>0</v>
      </c>
      <c r="G13" s="66">
        <f>IF(VLOOKUP($D13,$C$5:$AU$503,3,)=0,0,(VLOOKUP($D13,$C$5:$AU$503,5,)/VLOOKUP($D13,$C$5:$AU$503,3,))*$E13)</f>
        <v>0</v>
      </c>
      <c r="H13" s="66">
        <f>IF(VLOOKUP($D13,$C$5:$AU$503,3,)=0,0,(VLOOKUP($D13,$C$5:$AU$503,6,)/VLOOKUP($D13,$C$5:$AU$503,3,))*$E13)</f>
        <v>0</v>
      </c>
      <c r="I13" s="66">
        <f>IF(VLOOKUP($D13,$C$5:$AU$503,3,)=0,0,(VLOOKUP($D13,$C$5:$AU$503,7,)/VLOOKUP($D13,$C$5:$AU$503,3,))*$E13)</f>
        <v>0</v>
      </c>
      <c r="J13" s="66">
        <f>IF(VLOOKUP($D13,$C$5:$AU$503,3,)=0,0,(VLOOKUP($D13,$C$5:$AU$503,8,)/VLOOKUP($D13,$C$5:$AU$503,3,))*$E13)</f>
        <v>0</v>
      </c>
      <c r="K13" s="66">
        <f>IF(VLOOKUP($D13,$C$5:$AU$503,3,)=0,0,(VLOOKUP($D13,$C$5:$AU$503,9,)/VLOOKUP($D13,$C$5:$AU$503,3,))*$E13)</f>
        <v>0</v>
      </c>
      <c r="L13" s="66">
        <f>IF(VLOOKUP($D13,$C$5:$AU$503,3,)=0,0,(VLOOKUP($D13,$C$5:$AU$503,10,)/VLOOKUP($D13,$C$5:$AU$503,3,))*$E13)</f>
        <v>0</v>
      </c>
      <c r="M13" s="66">
        <f>IF(VLOOKUP($D13,$C$5:$AU$503,3,)=0,0,(VLOOKUP($D13,$C$5:$AU$503,11,)/VLOOKUP($D13,$C$5:$AU$503,3,))*$E13)</f>
        <v>0</v>
      </c>
      <c r="N13" s="66">
        <f>IF(VLOOKUP($D13,$C$5:$AU$503,3,)=0,0,(VLOOKUP($D13,$C$5:$AU$503,12,)/VLOOKUP($D13,$C$5:$AU$503,3,))*$E13)</f>
        <v>0</v>
      </c>
      <c r="O13" s="66">
        <f>IF(VLOOKUP($D13,$C$5:$AU$503,3,)=0,0,(VLOOKUP($D13,$C$5:$AU$503,13,)/VLOOKUP($D13,$C$5:$AU$503,3,))*$E13)</f>
        <v>0</v>
      </c>
      <c r="P13" s="66">
        <f>IF(VLOOKUP($D13,$C$5:$AU$503,3,)=0,0,(VLOOKUP($D13,$C$5:$AU$503,14,)/VLOOKUP($D13,$C$5:$AU$503,3,))*$E13)</f>
        <v>0</v>
      </c>
      <c r="Q13" s="66">
        <f>IF(VLOOKUP($D13,$C$5:$AU$503,3,)=0,0,(VLOOKUP($D13,$C$5:$AU$503,15,)/VLOOKUP($D13,$C$5:$AU$503,3,))*$E13)</f>
        <v>0</v>
      </c>
      <c r="R13" s="66">
        <f>IF(VLOOKUP($D13,$C$5:$AU$503,3,)=0,0,(VLOOKUP($D13,$C$5:$AU$503,16,)/VLOOKUP($D13,$C$5:$AU$503,3,))*$E13)</f>
        <v>0</v>
      </c>
      <c r="S13" s="66">
        <f>IF(VLOOKUP($D13,$C$5:$AU$503,3,)=0,0,(VLOOKUP($D13,$C$5:$AU$503,17,)/VLOOKUP($D13,$C$5:$AU$503,3,))*$E13)</f>
        <v>0</v>
      </c>
      <c r="T13" s="66">
        <f>IF(VLOOKUP($D13,$C$5:$AU$503,3,)=0,0,(VLOOKUP($D13,$C$5:$AU$503,18,)/VLOOKUP($D13,$C$5:$AU$503,3,))*$E13)</f>
        <v>0</v>
      </c>
      <c r="U13" s="66">
        <f>IF(VLOOKUP($D13,$C$5:$AU$503,3,)=0,0,(VLOOKUP($D13,$C$5:$AU$503,19,)/VLOOKUP($D13,$C$5:$AU$503,3,))*$E13)</f>
        <v>0</v>
      </c>
      <c r="V13" s="66">
        <f>IF(VLOOKUP($D13,$C$5:$AU$503,3,)=0,0,(VLOOKUP($D13,$C$5:$AU$503,20,)/VLOOKUP($D13,$C$5:$AU$503,3,))*$E13)</f>
        <v>0</v>
      </c>
      <c r="W13" s="66">
        <f>IF(VLOOKUP($D13,$C$5:$AU$503,3,)=0,0,(VLOOKUP($D13,$C$5:$AU$503,21,)/VLOOKUP($D13,$C$5:$AU$503,3,))*$E13)</f>
        <v>0</v>
      </c>
      <c r="X13" s="66">
        <f>IF(VLOOKUP($D13,$C$5:$AU$503,3,)=0,0,(VLOOKUP($D13,$C$5:$AU$503,22,)/VLOOKUP($D13,$C$5:$AU$503,3,))*$E13)</f>
        <v>0</v>
      </c>
      <c r="Y13" s="66">
        <f>IF(VLOOKUP($D13,$C$5:$AU$503,3,)=0,0,(VLOOKUP($D13,$C$5:$AU$503,23,)/VLOOKUP($D13,$C$5:$AU$503,3,))*$E13)</f>
        <v>0</v>
      </c>
      <c r="Z13" s="66">
        <f>IF(VLOOKUP($D13,$C$5:$AU$503,3,)=0,0,(VLOOKUP($D13,$C$5:$AU$503,24,)/VLOOKUP($D13,$C$5:$AU$503,3,))*$E13)</f>
        <v>0</v>
      </c>
      <c r="AA13" s="66">
        <f>IF(VLOOKUP($D13,$C$5:$AU$503,3,)=0,0,(VLOOKUP($D13,$C$5:$AU$503,25,)/VLOOKUP($D13,$C$5:$AU$503,3,))*$E13)</f>
        <v>0</v>
      </c>
      <c r="AB13" s="66">
        <f>IF(VLOOKUP($D13,$C$5:$AU$503,3,)=0,0,(VLOOKUP($D13,$C$5:$AU$503,26,)/VLOOKUP($D13,$C$5:$AU$503,3,))*$E13)</f>
        <v>0</v>
      </c>
      <c r="AC13" s="66">
        <f>IF(VLOOKUP($D13,$C$5:$AU$503,3,)=0,0,(VLOOKUP($D13,$C$5:$AU$503,27,)/VLOOKUP($D13,$C$5:$AU$503,3,))*$E13)</f>
        <v>0</v>
      </c>
      <c r="AD13" s="66">
        <f>IF(VLOOKUP($D13,$C$5:$AU$503,3,)=0,0,(VLOOKUP($D13,$C$5:$AU$503,28,)/VLOOKUP($D13,$C$5:$AU$503,3,))*$E13)</f>
        <v>0</v>
      </c>
      <c r="AE13" s="66">
        <f>IF(VLOOKUP($D13,$C$5:$AU$503,3,)=0,0,(VLOOKUP($D13,$C$5:$AU$503,29,)/VLOOKUP($D13,$C$5:$AU$503,3,))*$E13)</f>
        <v>0</v>
      </c>
      <c r="AF13" s="66">
        <f>IF(VLOOKUP($D13,$C$5:$AU$503,3,)=0,0,(VLOOKUP($D13,$C$5:$AU$503,30,)/VLOOKUP($D13,$C$5:$AU$503,3,))*$E13)</f>
        <v>0</v>
      </c>
      <c r="AG13" s="93">
        <f>SUM(F13:AF13)</f>
        <v>0</v>
      </c>
      <c r="AH13" s="30" t="str">
        <f>IF(ABS(E13-AG13)&lt;0.01,"ok","err")</f>
        <v>ok</v>
      </c>
    </row>
    <row r="14" spans="1:37" x14ac:dyDescent="0.2">
      <c r="E14" s="234"/>
    </row>
    <row r="15" spans="1:37" x14ac:dyDescent="0.2">
      <c r="A15" s="13" t="s">
        <v>1</v>
      </c>
      <c r="E15" s="234"/>
      <c r="F15" s="50"/>
    </row>
    <row r="16" spans="1:37" x14ac:dyDescent="0.2">
      <c r="A16" s="96" t="s">
        <v>209</v>
      </c>
      <c r="C16" s="14" t="s">
        <v>217</v>
      </c>
      <c r="D16" s="14" t="s">
        <v>613</v>
      </c>
      <c r="E16" s="233">
        <f>'Func &amp; Classif'!M82</f>
        <v>1170649.8894255704</v>
      </c>
      <c r="F16" s="66">
        <f>IF(VLOOKUP($D16,$C$5:$AU$503,3,)=0,0,(VLOOKUP($D16,$C$5:$AU$503,4,)/VLOOKUP($D16,$C$5:$AU$503,3,))*$E16)</f>
        <v>896152.69889387069</v>
      </c>
      <c r="G16" s="66">
        <f>IF(VLOOKUP($D16,$C$5:$AU$503,3,)=0,0,(VLOOKUP($D16,$C$5:$AU$503,5,)/VLOOKUP($D16,$C$5:$AU$503,3,))*$E16)</f>
        <v>0</v>
      </c>
      <c r="H16" s="66">
        <f>IF(VLOOKUP($D16,$C$5:$AU$503,3,)=0,0,(VLOOKUP($D16,$C$5:$AU$503,6,)/VLOOKUP($D16,$C$5:$AU$503,3,))*$E16)</f>
        <v>142115.55305434091</v>
      </c>
      <c r="I16" s="66">
        <f>IF(VLOOKUP($D16,$C$5:$AU$503,3,)=0,0,(VLOOKUP($D16,$C$5:$AU$503,7,)/VLOOKUP($D16,$C$5:$AU$503,3,))*$E16)</f>
        <v>5082.8148111887222</v>
      </c>
      <c r="J16" s="66">
        <f>IF(VLOOKUP($D16,$C$5:$AU$503,3,)=0,0,(VLOOKUP($D16,$C$5:$AU$503,8,)/VLOOKUP($D16,$C$5:$AU$503,3,))*$E16)</f>
        <v>45540.573628235281</v>
      </c>
      <c r="K16" s="66">
        <f>IF(VLOOKUP($D16,$C$5:$AU$503,3,)=0,0,(VLOOKUP($D16,$C$5:$AU$503,9,)/VLOOKUP($D16,$C$5:$AU$503,3,))*$E16)</f>
        <v>58029.488147689779</v>
      </c>
      <c r="L16" s="66">
        <f>IF(VLOOKUP($D16,$C$5:$AU$503,3,)=0,0,(VLOOKUP($D16,$C$5:$AU$503,10,)/VLOOKUP($D16,$C$5:$AU$503,3,))*$E16)</f>
        <v>8959.1838591297055</v>
      </c>
      <c r="M16" s="66">
        <f>IF(VLOOKUP($D16,$C$5:$AU$503,3,)=0,0,(VLOOKUP($D16,$C$5:$AU$503,11,)/VLOOKUP($D16,$C$5:$AU$503,3,))*$E16)</f>
        <v>7923.8941428170056</v>
      </c>
      <c r="N16" s="66">
        <f>IF(VLOOKUP($D16,$C$5:$AU$503,3,)=0,0,(VLOOKUP($D16,$C$5:$AU$503,12,)/VLOOKUP($D16,$C$5:$AU$503,3,))*$E16)</f>
        <v>6845.6828882983036</v>
      </c>
      <c r="O16" s="66">
        <f>IF(VLOOKUP($D16,$C$5:$AU$503,3,)=0,0,(VLOOKUP($D16,$C$5:$AU$503,13,)/VLOOKUP($D16,$C$5:$AU$503,3,))*$E16)</f>
        <v>0</v>
      </c>
      <c r="P16" s="66">
        <f>IF(VLOOKUP($D16,$C$5:$AU$503,3,)=0,0,(VLOOKUP($D16,$C$5:$AU$503,14,)/VLOOKUP($D16,$C$5:$AU$503,3,))*$E16)</f>
        <v>0</v>
      </c>
      <c r="Q16" s="66">
        <f>IF(VLOOKUP($D16,$C$5:$AU$503,3,)=0,0,(VLOOKUP($D16,$C$5:$AU$503,15,)/VLOOKUP($D16,$C$5:$AU$503,3,))*$E16)</f>
        <v>0</v>
      </c>
      <c r="R16" s="66">
        <f>IF(VLOOKUP($D16,$C$5:$AU$503,3,)=0,0,(VLOOKUP($D16,$C$5:$AU$503,16,)/VLOOKUP($D16,$C$5:$AU$503,3,))*$E16)</f>
        <v>0</v>
      </c>
      <c r="S16" s="66">
        <f>IF(VLOOKUP($D16,$C$5:$AU$503,3,)=0,0,(VLOOKUP($D16,$C$5:$AU$503,17,)/VLOOKUP($D16,$C$5:$AU$503,3,))*$E16)</f>
        <v>0</v>
      </c>
      <c r="T16" s="66">
        <f>IF(VLOOKUP($D16,$C$5:$AU$503,3,)=0,0,(VLOOKUP($D16,$C$5:$AU$503,18,)/VLOOKUP($D16,$C$5:$AU$503,3,))*$E16)</f>
        <v>0</v>
      </c>
      <c r="U16" s="66">
        <f>IF(VLOOKUP($D16,$C$5:$AU$503,3,)=0,0,(VLOOKUP($D16,$C$5:$AU$503,19,)/VLOOKUP($D16,$C$5:$AU$503,3,))*$E16)</f>
        <v>0</v>
      </c>
      <c r="V16" s="66">
        <f>IF(VLOOKUP($D16,$C$5:$AU$503,3,)=0,0,(VLOOKUP($D16,$C$5:$AU$503,20,)/VLOOKUP($D16,$C$5:$AU$503,3,))*$E16)</f>
        <v>0</v>
      </c>
      <c r="W16" s="66">
        <f>IF(VLOOKUP($D16,$C$5:$AU$503,3,)=0,0,(VLOOKUP($D16,$C$5:$AU$503,21,)/VLOOKUP($D16,$C$5:$AU$503,3,))*$E16)</f>
        <v>0</v>
      </c>
      <c r="X16" s="66">
        <f>IF(VLOOKUP($D16,$C$5:$AU$503,3,)=0,0,(VLOOKUP($D16,$C$5:$AU$503,22,)/VLOOKUP($D16,$C$5:$AU$503,3,))*$E16)</f>
        <v>0</v>
      </c>
      <c r="Y16" s="66">
        <f>IF(VLOOKUP($D16,$C$5:$AU$503,3,)=0,0,(VLOOKUP($D16,$C$5:$AU$503,23,)/VLOOKUP($D16,$C$5:$AU$503,3,))*$E16)</f>
        <v>0</v>
      </c>
      <c r="Z16" s="66">
        <f>IF(VLOOKUP($D16,$C$5:$AU$503,3,)=0,0,(VLOOKUP($D16,$C$5:$AU$503,24,)/VLOOKUP($D16,$C$5:$AU$503,3,))*$E16)</f>
        <v>0</v>
      </c>
      <c r="AA16" s="66">
        <f>IF(VLOOKUP($D16,$C$5:$AU$503,3,)=0,0,(VLOOKUP($D16,$C$5:$AU$503,25,)/VLOOKUP($D16,$C$5:$AU$503,3,))*$E16)</f>
        <v>0</v>
      </c>
      <c r="AB16" s="66">
        <f>IF(VLOOKUP($D16,$C$5:$AU$503,3,)=0,0,(VLOOKUP($D16,$C$5:$AU$503,26,)/VLOOKUP($D16,$C$5:$AU$503,3,))*$E16)</f>
        <v>0</v>
      </c>
      <c r="AC16" s="66">
        <f>IF(VLOOKUP($D16,$C$5:$AU$503,3,)=0,0,(VLOOKUP($D16,$C$5:$AU$503,27,)/VLOOKUP($D16,$C$5:$AU$503,3,))*$E16)</f>
        <v>0</v>
      </c>
      <c r="AD16" s="66">
        <f>IF(VLOOKUP($D16,$C$5:$AU$503,3,)=0,0,(VLOOKUP($D16,$C$5:$AU$503,28,)/VLOOKUP($D16,$C$5:$AU$503,3,))*$E16)</f>
        <v>0</v>
      </c>
      <c r="AE16" s="66">
        <f>IF(VLOOKUP($D16,$C$5:$AU$503,3,)=0,0,(VLOOKUP($D16,$C$5:$AU$503,29,)/VLOOKUP($D16,$C$5:$AU$503,3,))*$E16)</f>
        <v>0</v>
      </c>
      <c r="AF16" s="66">
        <f>IF(VLOOKUP($D16,$C$5:$AU$503,3,)=0,0,(VLOOKUP($D16,$C$5:$AU$503,30,)/VLOOKUP($D16,$C$5:$AU$503,3,))*$E16)</f>
        <v>0</v>
      </c>
      <c r="AG16" s="93">
        <f>SUM(F16:AF16)</f>
        <v>1170649.8894255704</v>
      </c>
      <c r="AH16" s="30" t="str">
        <f>IF(ABS(E16-AG16)&lt;0.01,"ok","err")</f>
        <v>ok</v>
      </c>
    </row>
    <row r="17" spans="1:35" x14ac:dyDescent="0.2">
      <c r="E17" s="234"/>
    </row>
    <row r="18" spans="1:35" x14ac:dyDescent="0.2">
      <c r="A18" s="13" t="s">
        <v>357</v>
      </c>
      <c r="E18" s="234"/>
    </row>
    <row r="19" spans="1:35" x14ac:dyDescent="0.2">
      <c r="A19" s="96" t="s">
        <v>209</v>
      </c>
      <c r="C19" s="14" t="s">
        <v>219</v>
      </c>
      <c r="D19" s="14" t="s">
        <v>605</v>
      </c>
      <c r="E19" s="233">
        <f>'Func &amp; Classif'!O82</f>
        <v>154682195.89642227</v>
      </c>
      <c r="F19" s="66">
        <f>IF(VLOOKUP($D19,$C$5:$AU$503,3,)=0,0,(VLOOKUP($D19,$C$5:$AU$503,4,)/VLOOKUP($D19,$C$5:$AU$503,3,))*$E19)</f>
        <v>122427424.65004161</v>
      </c>
      <c r="G19" s="66">
        <f>IF(VLOOKUP($D19,$C$5:$AU$503,3,)=0,0,(VLOOKUP($D19,$C$5:$AU$503,5,)/VLOOKUP($D19,$C$5:$AU$503,3,))*$E19)</f>
        <v>8727509.3007110935</v>
      </c>
      <c r="H19" s="66">
        <f>IF(VLOOKUP($D19,$C$5:$AU$503,3,)=0,0,(VLOOKUP($D19,$C$5:$AU$503,6,)/VLOOKUP($D19,$C$5:$AU$503,3,))*$E19)</f>
        <v>12703153.464476235</v>
      </c>
      <c r="I19" s="66">
        <f>IF(VLOOKUP($D19,$C$5:$AU$503,3,)=0,0,(VLOOKUP($D19,$C$5:$AU$503,7,)/VLOOKUP($D19,$C$5:$AU$503,3,))*$E19)</f>
        <v>436306.63800342253</v>
      </c>
      <c r="J19" s="66">
        <f>IF(VLOOKUP($D19,$C$5:$AU$503,3,)=0,0,(VLOOKUP($D19,$C$5:$AU$503,8,)/VLOOKUP($D19,$C$5:$AU$503,3,))*$E19)</f>
        <v>3469979.7912738947</v>
      </c>
      <c r="K19" s="66">
        <f>IF(VLOOKUP($D19,$C$5:$AU$503,3,)=0,0,(VLOOKUP($D19,$C$5:$AU$503,9,)/VLOOKUP($D19,$C$5:$AU$503,3,))*$E19)</f>
        <v>3758032.6017477326</v>
      </c>
      <c r="L19" s="66">
        <f>IF(VLOOKUP($D19,$C$5:$AU$503,3,)=0,0,(VLOOKUP($D19,$C$5:$AU$503,10,)/VLOOKUP($D19,$C$5:$AU$503,3,))*$E19)</f>
        <v>1409613.7957526089</v>
      </c>
      <c r="M19" s="66">
        <f>IF(VLOOKUP($D19,$C$5:$AU$503,3,)=0,0,(VLOOKUP($D19,$C$5:$AU$503,11,)/VLOOKUP($D19,$C$5:$AU$503,3,))*$E19)</f>
        <v>991827.25568109658</v>
      </c>
      <c r="N19" s="66">
        <f>IF(VLOOKUP($D19,$C$5:$AU$503,3,)=0,0,(VLOOKUP($D19,$C$5:$AU$503,12,)/VLOOKUP($D19,$C$5:$AU$503,3,))*$E19)</f>
        <v>758348.3987345529</v>
      </c>
      <c r="O19" s="66">
        <f>IF(VLOOKUP($D19,$C$5:$AU$503,3,)=0,0,(VLOOKUP($D19,$C$5:$AU$503,13,)/VLOOKUP($D19,$C$5:$AU$503,3,))*$E19)</f>
        <v>0</v>
      </c>
      <c r="P19" s="66">
        <f>IF(VLOOKUP($D19,$C$5:$AU$503,3,)=0,0,(VLOOKUP($D19,$C$5:$AU$503,14,)/VLOOKUP($D19,$C$5:$AU$503,3,))*$E19)</f>
        <v>0</v>
      </c>
      <c r="Q19" s="66">
        <f>IF(VLOOKUP($D19,$C$5:$AU$503,3,)=0,0,(VLOOKUP($D19,$C$5:$AU$503,15,)/VLOOKUP($D19,$C$5:$AU$503,3,))*$E19)</f>
        <v>0</v>
      </c>
      <c r="R19" s="66">
        <f>IF(VLOOKUP($D19,$C$5:$AU$503,3,)=0,0,(VLOOKUP($D19,$C$5:$AU$503,16,)/VLOOKUP($D19,$C$5:$AU$503,3,))*$E19)</f>
        <v>0</v>
      </c>
      <c r="S19" s="66">
        <f>IF(VLOOKUP($D19,$C$5:$AU$503,3,)=0,0,(VLOOKUP($D19,$C$5:$AU$503,17,)/VLOOKUP($D19,$C$5:$AU$503,3,))*$E19)</f>
        <v>0</v>
      </c>
      <c r="T19" s="66">
        <f>IF(VLOOKUP($D19,$C$5:$AU$503,3,)=0,0,(VLOOKUP($D19,$C$5:$AU$503,18,)/VLOOKUP($D19,$C$5:$AU$503,3,))*$E19)</f>
        <v>0</v>
      </c>
      <c r="U19" s="66">
        <f>IF(VLOOKUP($D19,$C$5:$AU$503,3,)=0,0,(VLOOKUP($D19,$C$5:$AU$503,19,)/VLOOKUP($D19,$C$5:$AU$503,3,))*$E19)</f>
        <v>0</v>
      </c>
      <c r="V19" s="66">
        <f>IF(VLOOKUP($D19,$C$5:$AU$503,3,)=0,0,(VLOOKUP($D19,$C$5:$AU$503,20,)/VLOOKUP($D19,$C$5:$AU$503,3,))*$E19)</f>
        <v>0</v>
      </c>
      <c r="W19" s="66">
        <f>IF(VLOOKUP($D19,$C$5:$AU$503,3,)=0,0,(VLOOKUP($D19,$C$5:$AU$503,21,)/VLOOKUP($D19,$C$5:$AU$503,3,))*$E19)</f>
        <v>0</v>
      </c>
      <c r="X19" s="66">
        <f>IF(VLOOKUP($D19,$C$5:$AU$503,3,)=0,0,(VLOOKUP($D19,$C$5:$AU$503,22,)/VLOOKUP($D19,$C$5:$AU$503,3,))*$E19)</f>
        <v>0</v>
      </c>
      <c r="Y19" s="66">
        <f>IF(VLOOKUP($D19,$C$5:$AU$503,3,)=0,0,(VLOOKUP($D19,$C$5:$AU$503,23,)/VLOOKUP($D19,$C$5:$AU$503,3,))*$E19)</f>
        <v>0</v>
      </c>
      <c r="Z19" s="66">
        <f>IF(VLOOKUP($D19,$C$5:$AU$503,3,)=0,0,(VLOOKUP($D19,$C$5:$AU$503,24,)/VLOOKUP($D19,$C$5:$AU$503,3,))*$E19)</f>
        <v>0</v>
      </c>
      <c r="AA19" s="66">
        <f>IF(VLOOKUP($D19,$C$5:$AU$503,3,)=0,0,(VLOOKUP($D19,$C$5:$AU$503,25,)/VLOOKUP($D19,$C$5:$AU$503,3,))*$E19)</f>
        <v>0</v>
      </c>
      <c r="AB19" s="66">
        <f>IF(VLOOKUP($D19,$C$5:$AU$503,3,)=0,0,(VLOOKUP($D19,$C$5:$AU$503,26,)/VLOOKUP($D19,$C$5:$AU$503,3,))*$E19)</f>
        <v>0</v>
      </c>
      <c r="AC19" s="66">
        <f>IF(VLOOKUP($D19,$C$5:$AU$503,3,)=0,0,(VLOOKUP($D19,$C$5:$AU$503,27,)/VLOOKUP($D19,$C$5:$AU$503,3,))*$E19)</f>
        <v>0</v>
      </c>
      <c r="AD19" s="66">
        <f>IF(VLOOKUP($D19,$C$5:$AU$503,3,)=0,0,(VLOOKUP($D19,$C$5:$AU$503,28,)/VLOOKUP($D19,$C$5:$AU$503,3,))*$E19)</f>
        <v>0</v>
      </c>
      <c r="AE19" s="66">
        <f>IF(VLOOKUP($D19,$C$5:$AU$503,3,)=0,0,(VLOOKUP($D19,$C$5:$AU$503,29,)/VLOOKUP($D19,$C$5:$AU$503,3,))*$E19)</f>
        <v>0</v>
      </c>
      <c r="AF19" s="66">
        <f>IF(VLOOKUP($D19,$C$5:$AU$503,3,)=0,0,(VLOOKUP($D19,$C$5:$AU$503,30,)/VLOOKUP($D19,$C$5:$AU$503,3,))*$E19)</f>
        <v>0</v>
      </c>
      <c r="AG19" s="93">
        <f>SUM(F19:AF19)</f>
        <v>154682195.89642221</v>
      </c>
      <c r="AH19" s="30" t="str">
        <f>IF(ABS(E19-AG19)&lt;0.01,"ok","err")</f>
        <v>ok</v>
      </c>
      <c r="AI19" s="93"/>
    </row>
    <row r="20" spans="1:35" x14ac:dyDescent="0.2">
      <c r="A20" s="96" t="s">
        <v>221</v>
      </c>
      <c r="C20" s="14" t="s">
        <v>222</v>
      </c>
      <c r="D20" s="14" t="s">
        <v>223</v>
      </c>
      <c r="E20" s="234">
        <f>'Func &amp; Classif'!P82</f>
        <v>87061257.962486327</v>
      </c>
      <c r="F20" s="66">
        <f>IF(VLOOKUP($D20,$C$5:$AU$503,3,)=0,0,(VLOOKUP($D20,$C$5:$AU$503,4,)/VLOOKUP($D20,$C$5:$AU$503,3,))*$E20)</f>
        <v>80264603.785725206</v>
      </c>
      <c r="G20" s="66">
        <f>IF(VLOOKUP($D20,$C$5:$AU$503,3,)=0,0,(VLOOKUP($D20,$C$5:$AU$503,5,)/VLOOKUP($D20,$C$5:$AU$503,3,))*$E20)</f>
        <v>6007921.8697571037</v>
      </c>
      <c r="H20" s="66">
        <f>IF(VLOOKUP($D20,$C$5:$AU$503,3,)=0,0,(VLOOKUP($D20,$C$5:$AU$503,6,)/VLOOKUP($D20,$C$5:$AU$503,3,))*$E20)</f>
        <v>549647.82644341921</v>
      </c>
      <c r="I20" s="66">
        <f>IF(VLOOKUP($D20,$C$5:$AU$503,3,)=0,0,(VLOOKUP($D20,$C$5:$AU$503,7,)/VLOOKUP($D20,$C$5:$AU$503,3,))*$E20)</f>
        <v>1232.3942296937648</v>
      </c>
      <c r="J20" s="66">
        <f>IF(VLOOKUP($D20,$C$5:$AU$503,3,)=0,0,(VLOOKUP($D20,$C$5:$AU$503,8,)/VLOOKUP($D20,$C$5:$AU$503,3,))*$E20)</f>
        <v>2464.7884593875297</v>
      </c>
      <c r="K20" s="66">
        <f>IF(VLOOKUP($D20,$C$5:$AU$503,3,)=0,0,(VLOOKUP($D20,$C$5:$AU$503,9,)/VLOOKUP($D20,$C$5:$AU$503,3,))*$E20)</f>
        <v>11091.548067243884</v>
      </c>
      <c r="L20" s="66">
        <f>IF(VLOOKUP($D20,$C$5:$AU$503,3,)=0,0,(VLOOKUP($D20,$C$5:$AU$503,10,)/VLOOKUP($D20,$C$5:$AU$503,3,))*$E20)</f>
        <v>174999.98061651463</v>
      </c>
      <c r="M20" s="66">
        <f>IF(VLOOKUP($D20,$C$5:$AU$503,3,)=0,0,(VLOOKUP($D20,$C$5:$AU$503,11,)/VLOOKUP($D20,$C$5:$AU$503,3,))*$E20)</f>
        <v>20950.701904794001</v>
      </c>
      <c r="N20" s="66">
        <f>IF(VLOOKUP($D20,$C$5:$AU$503,3,)=0,0,(VLOOKUP($D20,$C$5:$AU$503,12,)/VLOOKUP($D20,$C$5:$AU$503,3,))*$E20)</f>
        <v>28345.067282956596</v>
      </c>
      <c r="O20" s="66">
        <f>IF(VLOOKUP($D20,$C$5:$AU$503,3,)=0,0,(VLOOKUP($D20,$C$5:$AU$503,13,)/VLOOKUP($D20,$C$5:$AU$503,3,))*$E20)</f>
        <v>0</v>
      </c>
      <c r="P20" s="66">
        <f>IF(VLOOKUP($D20,$C$5:$AU$503,3,)=0,0,(VLOOKUP($D20,$C$5:$AU$503,14,)/VLOOKUP($D20,$C$5:$AU$503,3,))*$E20)</f>
        <v>0</v>
      </c>
      <c r="Q20" s="66">
        <f>IF(VLOOKUP($D20,$C$5:$AU$503,3,)=0,0,(VLOOKUP($D20,$C$5:$AU$503,15,)/VLOOKUP($D20,$C$5:$AU$503,3,))*$E20)</f>
        <v>0</v>
      </c>
      <c r="R20" s="66">
        <f>IF(VLOOKUP($D20,$C$5:$AU$503,3,)=0,0,(VLOOKUP($D20,$C$5:$AU$503,16,)/VLOOKUP($D20,$C$5:$AU$503,3,))*$E20)</f>
        <v>0</v>
      </c>
      <c r="S20" s="66">
        <f>IF(VLOOKUP($D20,$C$5:$AU$503,3,)=0,0,(VLOOKUP($D20,$C$5:$AU$503,17,)/VLOOKUP($D20,$C$5:$AU$503,3,))*$E20)</f>
        <v>0</v>
      </c>
      <c r="T20" s="66">
        <f>IF(VLOOKUP($D20,$C$5:$AU$503,3,)=0,0,(VLOOKUP($D20,$C$5:$AU$503,18,)/VLOOKUP($D20,$C$5:$AU$503,3,))*$E20)</f>
        <v>0</v>
      </c>
      <c r="U20" s="66">
        <f>IF(VLOOKUP($D20,$C$5:$AU$503,3,)=0,0,(VLOOKUP($D20,$C$5:$AU$503,19,)/VLOOKUP($D20,$C$5:$AU$503,3,))*$E20)</f>
        <v>0</v>
      </c>
      <c r="V20" s="66">
        <f>IF(VLOOKUP($D20,$C$5:$AU$503,3,)=0,0,(VLOOKUP($D20,$C$5:$AU$503,20,)/VLOOKUP($D20,$C$5:$AU$503,3,))*$E20)</f>
        <v>0</v>
      </c>
      <c r="W20" s="66">
        <f>IF(VLOOKUP($D20,$C$5:$AU$503,3,)=0,0,(VLOOKUP($D20,$C$5:$AU$503,21,)/VLOOKUP($D20,$C$5:$AU$503,3,))*$E20)</f>
        <v>0</v>
      </c>
      <c r="X20" s="66">
        <f>IF(VLOOKUP($D20,$C$5:$AU$503,3,)=0,0,(VLOOKUP($D20,$C$5:$AU$503,22,)/VLOOKUP($D20,$C$5:$AU$503,3,))*$E20)</f>
        <v>0</v>
      </c>
      <c r="Y20" s="66">
        <f>IF(VLOOKUP($D20,$C$5:$AU$503,3,)=0,0,(VLOOKUP($D20,$C$5:$AU$503,23,)/VLOOKUP($D20,$C$5:$AU$503,3,))*$E20)</f>
        <v>0</v>
      </c>
      <c r="Z20" s="66">
        <f>IF(VLOOKUP($D20,$C$5:$AU$503,3,)=0,0,(VLOOKUP($D20,$C$5:$AU$503,24,)/VLOOKUP($D20,$C$5:$AU$503,3,))*$E20)</f>
        <v>0</v>
      </c>
      <c r="AA20" s="66">
        <f>IF(VLOOKUP($D20,$C$5:$AU$503,3,)=0,0,(VLOOKUP($D20,$C$5:$AU$503,25,)/VLOOKUP($D20,$C$5:$AU$503,3,))*$E20)</f>
        <v>0</v>
      </c>
      <c r="AB20" s="66">
        <f>IF(VLOOKUP($D20,$C$5:$AU$503,3,)=0,0,(VLOOKUP($D20,$C$5:$AU$503,26,)/VLOOKUP($D20,$C$5:$AU$503,3,))*$E20)</f>
        <v>0</v>
      </c>
      <c r="AC20" s="66">
        <f>IF(VLOOKUP($D20,$C$5:$AU$503,3,)=0,0,(VLOOKUP($D20,$C$5:$AU$503,27,)/VLOOKUP($D20,$C$5:$AU$503,3,))*$E20)</f>
        <v>0</v>
      </c>
      <c r="AD20" s="66">
        <f>IF(VLOOKUP($D20,$C$5:$AU$503,3,)=0,0,(VLOOKUP($D20,$C$5:$AU$503,28,)/VLOOKUP($D20,$C$5:$AU$503,3,))*$E20)</f>
        <v>0</v>
      </c>
      <c r="AE20" s="66">
        <f>IF(VLOOKUP($D20,$C$5:$AU$503,3,)=0,0,(VLOOKUP($D20,$C$5:$AU$503,29,)/VLOOKUP($D20,$C$5:$AU$503,3,))*$E20)</f>
        <v>0</v>
      </c>
      <c r="AF20" s="66">
        <f>IF(VLOOKUP($D20,$C$5:$AU$503,3,)=0,0,(VLOOKUP($D20,$C$5:$AU$503,30,)/VLOOKUP($D20,$C$5:$AU$503,3,))*$E20)</f>
        <v>0</v>
      </c>
      <c r="AG20" s="93">
        <f>SUM(F20:AF20)</f>
        <v>87061257.962486312</v>
      </c>
      <c r="AH20" s="30" t="str">
        <f>IF(ABS(E20-AG20)&lt;0.01,"ok","err")</f>
        <v>ok</v>
      </c>
    </row>
    <row r="21" spans="1:35" x14ac:dyDescent="0.2">
      <c r="A21" s="14" t="s">
        <v>224</v>
      </c>
      <c r="C21" s="14" t="s">
        <v>472</v>
      </c>
      <c r="E21" s="233">
        <f t="shared" ref="E21:T21" si="2">E19+E20</f>
        <v>241743453.85890859</v>
      </c>
      <c r="F21" s="66">
        <f t="shared" si="2"/>
        <v>202692028.43576682</v>
      </c>
      <c r="G21" s="66">
        <f t="shared" si="2"/>
        <v>14735431.170468196</v>
      </c>
      <c r="H21" s="66">
        <f t="shared" si="2"/>
        <v>13252801.290919654</v>
      </c>
      <c r="I21" s="66">
        <f t="shared" si="2"/>
        <v>437539.03223311628</v>
      </c>
      <c r="J21" s="66">
        <f t="shared" si="2"/>
        <v>3472444.5797332823</v>
      </c>
      <c r="K21" s="66">
        <f t="shared" si="2"/>
        <v>3769124.1498149764</v>
      </c>
      <c r="L21" s="66">
        <f t="shared" si="2"/>
        <v>1584613.7763691235</v>
      </c>
      <c r="M21" s="66">
        <f t="shared" si="2"/>
        <v>1012777.9575858905</v>
      </c>
      <c r="N21" s="66">
        <f t="shared" si="2"/>
        <v>786693.46601750946</v>
      </c>
      <c r="O21" s="66">
        <f t="shared" si="2"/>
        <v>0</v>
      </c>
      <c r="P21" s="66">
        <f t="shared" si="2"/>
        <v>0</v>
      </c>
      <c r="Q21" s="66">
        <f t="shared" si="2"/>
        <v>0</v>
      </c>
      <c r="R21" s="66">
        <f t="shared" si="2"/>
        <v>0</v>
      </c>
      <c r="S21" s="66">
        <f t="shared" si="2"/>
        <v>0</v>
      </c>
      <c r="T21" s="66">
        <f t="shared" si="2"/>
        <v>0</v>
      </c>
      <c r="U21" s="66">
        <f t="shared" ref="U21:AF21" si="3">U19+U20</f>
        <v>0</v>
      </c>
      <c r="V21" s="66">
        <f t="shared" si="3"/>
        <v>0</v>
      </c>
      <c r="W21" s="66">
        <f t="shared" si="3"/>
        <v>0</v>
      </c>
      <c r="X21" s="66">
        <f t="shared" si="3"/>
        <v>0</v>
      </c>
      <c r="Y21" s="66">
        <f t="shared" si="3"/>
        <v>0</v>
      </c>
      <c r="Z21" s="66">
        <f t="shared" si="3"/>
        <v>0</v>
      </c>
      <c r="AA21" s="66">
        <f t="shared" si="3"/>
        <v>0</v>
      </c>
      <c r="AB21" s="66">
        <f t="shared" si="3"/>
        <v>0</v>
      </c>
      <c r="AC21" s="66">
        <f t="shared" si="3"/>
        <v>0</v>
      </c>
      <c r="AD21" s="66">
        <f t="shared" si="3"/>
        <v>0</v>
      </c>
      <c r="AE21" s="66">
        <f t="shared" si="3"/>
        <v>0</v>
      </c>
      <c r="AF21" s="66">
        <f t="shared" si="3"/>
        <v>0</v>
      </c>
      <c r="AG21" s="93">
        <f>SUM(F21:AF21)</f>
        <v>241743453.85890859</v>
      </c>
      <c r="AH21" s="30" t="str">
        <f>IF(ABS(E21-AG21)&lt;0.01,"ok","err")</f>
        <v>ok</v>
      </c>
    </row>
    <row r="22" spans="1:35" x14ac:dyDescent="0.2">
      <c r="E22" s="234"/>
    </row>
    <row r="23" spans="1:35" x14ac:dyDescent="0.2">
      <c r="A23" s="13" t="s">
        <v>3</v>
      </c>
      <c r="E23" s="234"/>
    </row>
    <row r="24" spans="1:35" x14ac:dyDescent="0.2">
      <c r="A24" s="96" t="s">
        <v>209</v>
      </c>
      <c r="C24" s="14" t="s">
        <v>225</v>
      </c>
      <c r="D24" s="14" t="s">
        <v>617</v>
      </c>
      <c r="E24" s="233">
        <f>'Func &amp; Classif'!R82</f>
        <v>0</v>
      </c>
      <c r="F24" s="66">
        <f>IF(VLOOKUP($D24,$C$5:$AU$503,3,)=0,0,(VLOOKUP($D24,$C$5:$AU$503,4,)/VLOOKUP($D24,$C$5:$AU$503,3,))*$E24)</f>
        <v>0</v>
      </c>
      <c r="G24" s="66">
        <f>IF(VLOOKUP($D24,$C$5:$AU$503,3,)=0,0,(VLOOKUP($D24,$C$5:$AU$503,5,)/VLOOKUP($D24,$C$5:$AU$503,3,))*$E24)</f>
        <v>0</v>
      </c>
      <c r="H24" s="66">
        <f>IF(VLOOKUP($D24,$C$5:$AU$503,3,)=0,0,(VLOOKUP($D24,$C$5:$AU$503,6,)/VLOOKUP($D24,$C$5:$AU$503,3,))*$E24)</f>
        <v>0</v>
      </c>
      <c r="I24" s="66">
        <f>IF(VLOOKUP($D24,$C$5:$AU$503,3,)=0,0,(VLOOKUP($D24,$C$5:$AU$503,7,)/VLOOKUP($D24,$C$5:$AU$503,3,))*$E24)</f>
        <v>0</v>
      </c>
      <c r="J24" s="66">
        <f>IF(VLOOKUP($D24,$C$5:$AU$503,3,)=0,0,(VLOOKUP($D24,$C$5:$AU$503,8,)/VLOOKUP($D24,$C$5:$AU$503,3,))*$E24)</f>
        <v>0</v>
      </c>
      <c r="K24" s="66">
        <f>IF(VLOOKUP($D24,$C$5:$AU$503,3,)=0,0,(VLOOKUP($D24,$C$5:$AU$503,9,)/VLOOKUP($D24,$C$5:$AU$503,3,))*$E24)</f>
        <v>0</v>
      </c>
      <c r="L24" s="66">
        <f>IF(VLOOKUP($D24,$C$5:$AU$503,3,)=0,0,(VLOOKUP($D24,$C$5:$AU$503,10,)/VLOOKUP($D24,$C$5:$AU$503,3,))*$E24)</f>
        <v>0</v>
      </c>
      <c r="M24" s="66">
        <f>IF(VLOOKUP($D24,$C$5:$AU$503,3,)=0,0,(VLOOKUP($D24,$C$5:$AU$503,11,)/VLOOKUP($D24,$C$5:$AU$503,3,))*$E24)</f>
        <v>0</v>
      </c>
      <c r="N24" s="66">
        <f>IF(VLOOKUP($D24,$C$5:$AU$503,3,)=0,0,(VLOOKUP($D24,$C$5:$AU$503,12,)/VLOOKUP($D24,$C$5:$AU$503,3,))*$E24)</f>
        <v>0</v>
      </c>
      <c r="O24" s="66">
        <f>IF(VLOOKUP($D24,$C$5:$AU$503,3,)=0,0,(VLOOKUP($D24,$C$5:$AU$503,13,)/VLOOKUP($D24,$C$5:$AU$503,3,))*$E24)</f>
        <v>0</v>
      </c>
      <c r="P24" s="66">
        <f>IF(VLOOKUP($D24,$C$5:$AU$503,3,)=0,0,(VLOOKUP($D24,$C$5:$AU$503,14,)/VLOOKUP($D24,$C$5:$AU$503,3,))*$E24)</f>
        <v>0</v>
      </c>
      <c r="Q24" s="66">
        <f>IF(VLOOKUP($D24,$C$5:$AU$503,3,)=0,0,(VLOOKUP($D24,$C$5:$AU$503,15,)/VLOOKUP($D24,$C$5:$AU$503,3,))*$E24)</f>
        <v>0</v>
      </c>
      <c r="R24" s="66">
        <f>IF(VLOOKUP($D24,$C$5:$AU$503,3,)=0,0,(VLOOKUP($D24,$C$5:$AU$503,16,)/VLOOKUP($D24,$C$5:$AU$503,3,))*$E24)</f>
        <v>0</v>
      </c>
      <c r="S24" s="66">
        <f>IF(VLOOKUP($D24,$C$5:$AU$503,3,)=0,0,(VLOOKUP($D24,$C$5:$AU$503,17,)/VLOOKUP($D24,$C$5:$AU$503,3,))*$E24)</f>
        <v>0</v>
      </c>
      <c r="T24" s="66">
        <f>IF(VLOOKUP($D24,$C$5:$AU$503,3,)=0,0,(VLOOKUP($D24,$C$5:$AU$503,18,)/VLOOKUP($D24,$C$5:$AU$503,3,))*$E24)</f>
        <v>0</v>
      </c>
      <c r="U24" s="66">
        <f>IF(VLOOKUP($D24,$C$5:$AU$503,3,)=0,0,(VLOOKUP($D24,$C$5:$AU$503,19,)/VLOOKUP($D24,$C$5:$AU$503,3,))*$E24)</f>
        <v>0</v>
      </c>
      <c r="V24" s="66">
        <f>IF(VLOOKUP($D24,$C$5:$AU$503,3,)=0,0,(VLOOKUP($D24,$C$5:$AU$503,20,)/VLOOKUP($D24,$C$5:$AU$503,3,))*$E24)</f>
        <v>0</v>
      </c>
      <c r="W24" s="66">
        <f>IF(VLOOKUP($D24,$C$5:$AU$503,3,)=0,0,(VLOOKUP($D24,$C$5:$AU$503,21,)/VLOOKUP($D24,$C$5:$AU$503,3,))*$E24)</f>
        <v>0</v>
      </c>
      <c r="X24" s="66">
        <f>IF(VLOOKUP($D24,$C$5:$AU$503,3,)=0,0,(VLOOKUP($D24,$C$5:$AU$503,22,)/VLOOKUP($D24,$C$5:$AU$503,3,))*$E24)</f>
        <v>0</v>
      </c>
      <c r="Y24" s="66">
        <f>IF(VLOOKUP($D24,$C$5:$AU$503,3,)=0,0,(VLOOKUP($D24,$C$5:$AU$503,23,)/VLOOKUP($D24,$C$5:$AU$503,3,))*$E24)</f>
        <v>0</v>
      </c>
      <c r="Z24" s="66">
        <f>IF(VLOOKUP($D24,$C$5:$AU$503,3,)=0,0,(VLOOKUP($D24,$C$5:$AU$503,24,)/VLOOKUP($D24,$C$5:$AU$503,3,))*$E24)</f>
        <v>0</v>
      </c>
      <c r="AA24" s="66">
        <f>IF(VLOOKUP($D24,$C$5:$AU$503,3,)=0,0,(VLOOKUP($D24,$C$5:$AU$503,25,)/VLOOKUP($D24,$C$5:$AU$503,3,))*$E24)</f>
        <v>0</v>
      </c>
      <c r="AB24" s="66">
        <f>IF(VLOOKUP($D24,$C$5:$AU$503,3,)=0,0,(VLOOKUP($D24,$C$5:$AU$503,26,)/VLOOKUP($D24,$C$5:$AU$503,3,))*$E24)</f>
        <v>0</v>
      </c>
      <c r="AC24" s="66">
        <f>IF(VLOOKUP($D24,$C$5:$AU$503,3,)=0,0,(VLOOKUP($D24,$C$5:$AU$503,27,)/VLOOKUP($D24,$C$5:$AU$503,3,))*$E24)</f>
        <v>0</v>
      </c>
      <c r="AD24" s="66">
        <f>IF(VLOOKUP($D24,$C$5:$AU$503,3,)=0,0,(VLOOKUP($D24,$C$5:$AU$503,28,)/VLOOKUP($D24,$C$5:$AU$503,3,))*$E24)</f>
        <v>0</v>
      </c>
      <c r="AE24" s="66">
        <f>IF(VLOOKUP($D24,$C$5:$AU$503,3,)=0,0,(VLOOKUP($D24,$C$5:$AU$503,29,)/VLOOKUP($D24,$C$5:$AU$503,3,))*$E24)</f>
        <v>0</v>
      </c>
      <c r="AF24" s="66">
        <f>IF(VLOOKUP($D24,$C$5:$AU$503,3,)=0,0,(VLOOKUP($D24,$C$5:$AU$503,30,)/VLOOKUP($D24,$C$5:$AU$503,3,))*$E24)</f>
        <v>0</v>
      </c>
      <c r="AG24" s="93">
        <f>SUM(F24:AF24)</f>
        <v>0</v>
      </c>
      <c r="AH24" s="30" t="str">
        <f>IF(ABS(E24-AG24)&lt;0.01,"ok","err")</f>
        <v>ok</v>
      </c>
    </row>
    <row r="25" spans="1:35" x14ac:dyDescent="0.2">
      <c r="A25" s="96" t="s">
        <v>221</v>
      </c>
      <c r="C25" s="14" t="s">
        <v>226</v>
      </c>
      <c r="D25" s="14" t="s">
        <v>699</v>
      </c>
      <c r="E25" s="234">
        <f>'Func &amp; Classif'!S82</f>
        <v>40011312.223516315</v>
      </c>
      <c r="F25" s="66">
        <f>IF(VLOOKUP($D25,$C$5:$AU$503,3,)=0,0,(VLOOKUP($D25,$C$5:$AU$503,4,)/VLOOKUP($D25,$C$5:$AU$503,3,))*$E25)</f>
        <v>36776374.478888378</v>
      </c>
      <c r="G25" s="66">
        <f>IF(VLOOKUP($D25,$C$5:$AU$503,3,)=0,0,(VLOOKUP($D25,$C$5:$AU$503,5,)/VLOOKUP($D25,$C$5:$AU$503,3,))*$E25)</f>
        <v>2752764.90633329</v>
      </c>
      <c r="H25" s="66">
        <f>IF(VLOOKUP($D25,$C$5:$AU$503,3,)=0,0,(VLOOKUP($D25,$C$5:$AU$503,6,)/VLOOKUP($D25,$C$5:$AU$503,3,))*$E25)</f>
        <v>399610.64101621514</v>
      </c>
      <c r="I25" s="66">
        <f>IF(VLOOKUP($D25,$C$5:$AU$503,3,)=0,0,(VLOOKUP($D25,$C$5:$AU$503,7,)/VLOOKUP($D25,$C$5:$AU$503,3,))*$E25)</f>
        <v>895.98798434128958</v>
      </c>
      <c r="J25" s="66">
        <f>IF(VLOOKUP($D25,$C$5:$AU$503,3,)=0,0,(VLOOKUP($D25,$C$5:$AU$503,8,)/VLOOKUP($D25,$C$5:$AU$503,3,))*$E25)</f>
        <v>2361.4079678425328</v>
      </c>
      <c r="K25" s="66">
        <f>IF(VLOOKUP($D25,$C$5:$AU$503,3,)=0,0,(VLOOKUP($D25,$C$5:$AU$503,9,)/VLOOKUP($D25,$C$5:$AU$503,3,))*$E25)</f>
        <v>3052.277973991796</v>
      </c>
      <c r="L25" s="66">
        <f>IF(VLOOKUP($D25,$C$5:$AU$503,3,)=0,0,(VLOOKUP($D25,$C$5:$AU$503,10,)/VLOOKUP($D25,$C$5:$AU$503,3,))*$E25)</f>
        <v>48158.163589648335</v>
      </c>
      <c r="M25" s="66">
        <f>IF(VLOOKUP($D25,$C$5:$AU$503,3,)=0,0,(VLOOKUP($D25,$C$5:$AU$503,11,)/VLOOKUP($D25,$C$5:$AU$503,3,))*$E25)</f>
        <v>5765.4139508733924</v>
      </c>
      <c r="N25" s="66">
        <f>IF(VLOOKUP($D25,$C$5:$AU$503,3,)=0,0,(VLOOKUP($D25,$C$5:$AU$503,12,)/VLOOKUP($D25,$C$5:$AU$503,3,))*$E25)</f>
        <v>22328.945811742949</v>
      </c>
      <c r="O25" s="66">
        <f>IF(VLOOKUP($D25,$C$5:$AU$503,3,)=0,0,(VLOOKUP($D25,$C$5:$AU$503,13,)/VLOOKUP($D25,$C$5:$AU$503,3,))*$E25)</f>
        <v>0</v>
      </c>
      <c r="P25" s="66">
        <f>IF(VLOOKUP($D25,$C$5:$AU$503,3,)=0,0,(VLOOKUP($D25,$C$5:$AU$503,14,)/VLOOKUP($D25,$C$5:$AU$503,3,))*$E25)</f>
        <v>0</v>
      </c>
      <c r="Q25" s="66">
        <f>IF(VLOOKUP($D25,$C$5:$AU$503,3,)=0,0,(VLOOKUP($D25,$C$5:$AU$503,15,)/VLOOKUP($D25,$C$5:$AU$503,3,))*$E25)</f>
        <v>0</v>
      </c>
      <c r="R25" s="66">
        <f>IF(VLOOKUP($D25,$C$5:$AU$503,3,)=0,0,(VLOOKUP($D25,$C$5:$AU$503,16,)/VLOOKUP($D25,$C$5:$AU$503,3,))*$E25)</f>
        <v>0</v>
      </c>
      <c r="S25" s="66">
        <f>IF(VLOOKUP($D25,$C$5:$AU$503,3,)=0,0,(VLOOKUP($D25,$C$5:$AU$503,17,)/VLOOKUP($D25,$C$5:$AU$503,3,))*$E25)</f>
        <v>0</v>
      </c>
      <c r="T25" s="66">
        <f>IF(VLOOKUP($D25,$C$5:$AU$503,3,)=0,0,(VLOOKUP($D25,$C$5:$AU$503,18,)/VLOOKUP($D25,$C$5:$AU$503,3,))*$E25)</f>
        <v>0</v>
      </c>
      <c r="U25" s="66">
        <f>IF(VLOOKUP($D25,$C$5:$AU$503,3,)=0,0,(VLOOKUP($D25,$C$5:$AU$503,19,)/VLOOKUP($D25,$C$5:$AU$503,3,))*$E25)</f>
        <v>0</v>
      </c>
      <c r="V25" s="66">
        <f>IF(VLOOKUP($D25,$C$5:$AU$503,3,)=0,0,(VLOOKUP($D25,$C$5:$AU$503,20,)/VLOOKUP($D25,$C$5:$AU$503,3,))*$E25)</f>
        <v>0</v>
      </c>
      <c r="W25" s="66">
        <f>IF(VLOOKUP($D25,$C$5:$AU$503,3,)=0,0,(VLOOKUP($D25,$C$5:$AU$503,21,)/VLOOKUP($D25,$C$5:$AU$503,3,))*$E25)</f>
        <v>0</v>
      </c>
      <c r="X25" s="66">
        <f>IF(VLOOKUP($D25,$C$5:$AU$503,3,)=0,0,(VLOOKUP($D25,$C$5:$AU$503,22,)/VLOOKUP($D25,$C$5:$AU$503,3,))*$E25)</f>
        <v>0</v>
      </c>
      <c r="Y25" s="66">
        <f>IF(VLOOKUP($D25,$C$5:$AU$503,3,)=0,0,(VLOOKUP($D25,$C$5:$AU$503,23,)/VLOOKUP($D25,$C$5:$AU$503,3,))*$E25)</f>
        <v>0</v>
      </c>
      <c r="Z25" s="66">
        <f>IF(VLOOKUP($D25,$C$5:$AU$503,3,)=0,0,(VLOOKUP($D25,$C$5:$AU$503,24,)/VLOOKUP($D25,$C$5:$AU$503,3,))*$E25)</f>
        <v>0</v>
      </c>
      <c r="AA25" s="66">
        <f>IF(VLOOKUP($D25,$C$5:$AU$503,3,)=0,0,(VLOOKUP($D25,$C$5:$AU$503,25,)/VLOOKUP($D25,$C$5:$AU$503,3,))*$E25)</f>
        <v>0</v>
      </c>
      <c r="AB25" s="66">
        <f>IF(VLOOKUP($D25,$C$5:$AU$503,3,)=0,0,(VLOOKUP($D25,$C$5:$AU$503,26,)/VLOOKUP($D25,$C$5:$AU$503,3,))*$E25)</f>
        <v>0</v>
      </c>
      <c r="AC25" s="66">
        <f>IF(VLOOKUP($D25,$C$5:$AU$503,3,)=0,0,(VLOOKUP($D25,$C$5:$AU$503,27,)/VLOOKUP($D25,$C$5:$AU$503,3,))*$E25)</f>
        <v>0</v>
      </c>
      <c r="AD25" s="66">
        <f>IF(VLOOKUP($D25,$C$5:$AU$503,3,)=0,0,(VLOOKUP($D25,$C$5:$AU$503,28,)/VLOOKUP($D25,$C$5:$AU$503,3,))*$E25)</f>
        <v>0</v>
      </c>
      <c r="AE25" s="66">
        <f>IF(VLOOKUP($D25,$C$5:$AU$503,3,)=0,0,(VLOOKUP($D25,$C$5:$AU$503,29,)/VLOOKUP($D25,$C$5:$AU$503,3,))*$E25)</f>
        <v>0</v>
      </c>
      <c r="AF25" s="66">
        <f>IF(VLOOKUP($D25,$C$5:$AU$503,3,)=0,0,(VLOOKUP($D25,$C$5:$AU$503,30,)/VLOOKUP($D25,$C$5:$AU$503,3,))*$E25)</f>
        <v>0</v>
      </c>
      <c r="AG25" s="93">
        <f>SUM(F25:AF25)</f>
        <v>40011312.22351633</v>
      </c>
      <c r="AH25" s="30" t="str">
        <f>IF(ABS(E25-AG25)&lt;0.01,"ok","err")</f>
        <v>ok</v>
      </c>
    </row>
    <row r="26" spans="1:35" x14ac:dyDescent="0.2">
      <c r="A26" s="14" t="s">
        <v>228</v>
      </c>
      <c r="E26" s="233">
        <f t="shared" ref="E26:T26" si="4">E24+E25</f>
        <v>40011312.223516315</v>
      </c>
      <c r="F26" s="66">
        <f t="shared" si="4"/>
        <v>36776374.478888378</v>
      </c>
      <c r="G26" s="66">
        <f t="shared" si="4"/>
        <v>2752764.90633329</v>
      </c>
      <c r="H26" s="66">
        <f t="shared" si="4"/>
        <v>399610.64101621514</v>
      </c>
      <c r="I26" s="66">
        <f t="shared" si="4"/>
        <v>895.98798434128958</v>
      </c>
      <c r="J26" s="66">
        <f t="shared" si="4"/>
        <v>2361.4079678425328</v>
      </c>
      <c r="K26" s="66">
        <f t="shared" si="4"/>
        <v>3052.277973991796</v>
      </c>
      <c r="L26" s="66">
        <f t="shared" si="4"/>
        <v>48158.163589648335</v>
      </c>
      <c r="M26" s="66">
        <f t="shared" si="4"/>
        <v>5765.4139508733924</v>
      </c>
      <c r="N26" s="66">
        <f t="shared" si="4"/>
        <v>22328.945811742949</v>
      </c>
      <c r="O26" s="66">
        <f t="shared" si="4"/>
        <v>0</v>
      </c>
      <c r="P26" s="66">
        <f t="shared" si="4"/>
        <v>0</v>
      </c>
      <c r="Q26" s="66">
        <f t="shared" si="4"/>
        <v>0</v>
      </c>
      <c r="R26" s="66">
        <f t="shared" si="4"/>
        <v>0</v>
      </c>
      <c r="S26" s="66">
        <f t="shared" si="4"/>
        <v>0</v>
      </c>
      <c r="T26" s="66">
        <f t="shared" si="4"/>
        <v>0</v>
      </c>
      <c r="U26" s="66">
        <f t="shared" ref="U26:AF26" si="5">U24+U25</f>
        <v>0</v>
      </c>
      <c r="V26" s="66">
        <f t="shared" si="5"/>
        <v>0</v>
      </c>
      <c r="W26" s="66">
        <f t="shared" si="5"/>
        <v>0</v>
      </c>
      <c r="X26" s="66">
        <f t="shared" si="5"/>
        <v>0</v>
      </c>
      <c r="Y26" s="66">
        <f t="shared" si="5"/>
        <v>0</v>
      </c>
      <c r="Z26" s="66">
        <f t="shared" si="5"/>
        <v>0</v>
      </c>
      <c r="AA26" s="66">
        <f t="shared" si="5"/>
        <v>0</v>
      </c>
      <c r="AB26" s="66">
        <f t="shared" si="5"/>
        <v>0</v>
      </c>
      <c r="AC26" s="66">
        <f t="shared" si="5"/>
        <v>0</v>
      </c>
      <c r="AD26" s="66">
        <f t="shared" si="5"/>
        <v>0</v>
      </c>
      <c r="AE26" s="66">
        <f t="shared" si="5"/>
        <v>0</v>
      </c>
      <c r="AF26" s="66">
        <f t="shared" si="5"/>
        <v>0</v>
      </c>
      <c r="AG26" s="93">
        <f>SUM(F26:AF26)</f>
        <v>40011312.22351633</v>
      </c>
      <c r="AH26" s="30" t="str">
        <f>IF(ABS(E26-AG26)&lt;0.01,"ok","err")</f>
        <v>ok</v>
      </c>
    </row>
    <row r="27" spans="1:35" x14ac:dyDescent="0.2">
      <c r="E27" s="234"/>
    </row>
    <row r="28" spans="1:35" x14ac:dyDescent="0.2">
      <c r="A28" s="13" t="s">
        <v>4</v>
      </c>
      <c r="E28" s="234"/>
    </row>
    <row r="29" spans="1:35" x14ac:dyDescent="0.2">
      <c r="A29" s="96" t="s">
        <v>221</v>
      </c>
      <c r="C29" s="14" t="s">
        <v>229</v>
      </c>
      <c r="D29" s="14" t="s">
        <v>230</v>
      </c>
      <c r="E29" s="233">
        <f>'Func &amp; Classif'!U82</f>
        <v>17408910.961529508</v>
      </c>
      <c r="F29" s="66">
        <f>IF(VLOOKUP($D29,$C$5:$AU$503,3,)=0,0,(VLOOKUP($D29,$C$5:$AU$503,4,)/VLOOKUP($D29,$C$5:$AU$503,3,))*$E29)</f>
        <v>11391727.970851596</v>
      </c>
      <c r="G29" s="66">
        <f>IF(VLOOKUP($D29,$C$5:$AU$503,3,)=0,0,(VLOOKUP($D29,$C$5:$AU$503,5,)/VLOOKUP($D29,$C$5:$AU$503,3,))*$E29)</f>
        <v>4663677.703971995</v>
      </c>
      <c r="H29" s="66">
        <f>IF(VLOOKUP($D29,$C$5:$AU$503,3,)=0,0,(VLOOKUP($D29,$C$5:$AU$503,6,)/VLOOKUP($D29,$C$5:$AU$503,3,))*$E29)</f>
        <v>1072238.9379233154</v>
      </c>
      <c r="I29" s="66">
        <f>IF(VLOOKUP($D29,$C$5:$AU$503,3,)=0,0,(VLOOKUP($D29,$C$5:$AU$503,7,)/VLOOKUP($D29,$C$5:$AU$503,3,))*$E29)</f>
        <v>10851.573073153359</v>
      </c>
      <c r="J29" s="66">
        <f>IF(VLOOKUP($D29,$C$5:$AU$503,3,)=0,0,(VLOOKUP($D29,$C$5:$AU$503,8,)/VLOOKUP($D29,$C$5:$AU$503,3,))*$E29)</f>
        <v>21703.146146306717</v>
      </c>
      <c r="K29" s="66">
        <f>IF(VLOOKUP($D29,$C$5:$AU$503,3,)=0,0,(VLOOKUP($D29,$C$5:$AU$503,9,)/VLOOKUP($D29,$C$5:$AU$503,3,))*$E29)</f>
        <v>97664.157658380238</v>
      </c>
      <c r="L29" s="66">
        <f>IF(VLOOKUP($D29,$C$5:$AU$503,3,)=0,0,(VLOOKUP($D29,$C$5:$AU$503,10,)/VLOOKUP($D29,$C$5:$AU$503,3,))*$E29)</f>
        <v>103404.06867865345</v>
      </c>
      <c r="M29" s="66">
        <f>IF(VLOOKUP($D29,$C$5:$AU$503,3,)=0,0,(VLOOKUP($D29,$C$5:$AU$503,11,)/VLOOKUP($D29,$C$5:$AU$503,3,))*$E29)</f>
        <v>40870.094046404403</v>
      </c>
      <c r="N29" s="66">
        <f>IF(VLOOKUP($D29,$C$5:$AU$503,3,)=0,0,(VLOOKUP($D29,$C$5:$AU$503,12,)/VLOOKUP($D29,$C$5:$AU$503,3,))*$E29)</f>
        <v>6773.3091797067436</v>
      </c>
      <c r="O29" s="66">
        <f>IF(VLOOKUP($D29,$C$5:$AU$503,3,)=0,0,(VLOOKUP($D29,$C$5:$AU$503,13,)/VLOOKUP($D29,$C$5:$AU$503,3,))*$E29)</f>
        <v>0</v>
      </c>
      <c r="P29" s="66">
        <f>IF(VLOOKUP($D29,$C$5:$AU$503,3,)=0,0,(VLOOKUP($D29,$C$5:$AU$503,14,)/VLOOKUP($D29,$C$5:$AU$503,3,))*$E29)</f>
        <v>0</v>
      </c>
      <c r="Q29" s="66">
        <f>IF(VLOOKUP($D29,$C$5:$AU$503,3,)=0,0,(VLOOKUP($D29,$C$5:$AU$503,15,)/VLOOKUP($D29,$C$5:$AU$503,3,))*$E29)</f>
        <v>0</v>
      </c>
      <c r="R29" s="66">
        <f>IF(VLOOKUP($D29,$C$5:$AU$503,3,)=0,0,(VLOOKUP($D29,$C$5:$AU$503,16,)/VLOOKUP($D29,$C$5:$AU$503,3,))*$E29)</f>
        <v>0</v>
      </c>
      <c r="S29" s="66">
        <f>IF(VLOOKUP($D29,$C$5:$AU$503,3,)=0,0,(VLOOKUP($D29,$C$5:$AU$503,17,)/VLOOKUP($D29,$C$5:$AU$503,3,))*$E29)</f>
        <v>0</v>
      </c>
      <c r="T29" s="66">
        <f>IF(VLOOKUP($D29,$C$5:$AU$503,3,)=0,0,(VLOOKUP($D29,$C$5:$AU$503,18,)/VLOOKUP($D29,$C$5:$AU$503,3,))*$E29)</f>
        <v>0</v>
      </c>
      <c r="U29" s="66">
        <f>IF(VLOOKUP($D29,$C$5:$AU$503,3,)=0,0,(VLOOKUP($D29,$C$5:$AU$503,19,)/VLOOKUP($D29,$C$5:$AU$503,3,))*$E29)</f>
        <v>0</v>
      </c>
      <c r="V29" s="66">
        <f>IF(VLOOKUP($D29,$C$5:$AU$503,3,)=0,0,(VLOOKUP($D29,$C$5:$AU$503,20,)/VLOOKUP($D29,$C$5:$AU$503,3,))*$E29)</f>
        <v>0</v>
      </c>
      <c r="W29" s="66">
        <f>IF(VLOOKUP($D29,$C$5:$AU$503,3,)=0,0,(VLOOKUP($D29,$C$5:$AU$503,21,)/VLOOKUP($D29,$C$5:$AU$503,3,))*$E29)</f>
        <v>0</v>
      </c>
      <c r="X29" s="66">
        <f>IF(VLOOKUP($D29,$C$5:$AU$503,3,)=0,0,(VLOOKUP($D29,$C$5:$AU$503,22,)/VLOOKUP($D29,$C$5:$AU$503,3,))*$E29)</f>
        <v>0</v>
      </c>
      <c r="Y29" s="66">
        <f>IF(VLOOKUP($D29,$C$5:$AU$503,3,)=0,0,(VLOOKUP($D29,$C$5:$AU$503,23,)/VLOOKUP($D29,$C$5:$AU$503,3,))*$E29)</f>
        <v>0</v>
      </c>
      <c r="Z29" s="66">
        <f>IF(VLOOKUP($D29,$C$5:$AU$503,3,)=0,0,(VLOOKUP($D29,$C$5:$AU$503,24,)/VLOOKUP($D29,$C$5:$AU$503,3,))*$E29)</f>
        <v>0</v>
      </c>
      <c r="AA29" s="66">
        <f>IF(VLOOKUP($D29,$C$5:$AU$503,3,)=0,0,(VLOOKUP($D29,$C$5:$AU$503,25,)/VLOOKUP($D29,$C$5:$AU$503,3,))*$E29)</f>
        <v>0</v>
      </c>
      <c r="AB29" s="66">
        <f>IF(VLOOKUP($D29,$C$5:$AU$503,3,)=0,0,(VLOOKUP($D29,$C$5:$AU$503,26,)/VLOOKUP($D29,$C$5:$AU$503,3,))*$E29)</f>
        <v>0</v>
      </c>
      <c r="AC29" s="66">
        <f>IF(VLOOKUP($D29,$C$5:$AU$503,3,)=0,0,(VLOOKUP($D29,$C$5:$AU$503,27,)/VLOOKUP($D29,$C$5:$AU$503,3,))*$E29)</f>
        <v>0</v>
      </c>
      <c r="AD29" s="66">
        <f>IF(VLOOKUP($D29,$C$5:$AU$503,3,)=0,0,(VLOOKUP($D29,$C$5:$AU$503,28,)/VLOOKUP($D29,$C$5:$AU$503,3,))*$E29)</f>
        <v>0</v>
      </c>
      <c r="AE29" s="66">
        <f>IF(VLOOKUP($D29,$C$5:$AU$503,3,)=0,0,(VLOOKUP($D29,$C$5:$AU$503,29,)/VLOOKUP($D29,$C$5:$AU$503,3,))*$E29)</f>
        <v>0</v>
      </c>
      <c r="AF29" s="66">
        <f>IF(VLOOKUP($D29,$C$5:$AU$503,3,)=0,0,(VLOOKUP($D29,$C$5:$AU$503,30,)/VLOOKUP($D29,$C$5:$AU$503,3,))*$E29)</f>
        <v>0</v>
      </c>
      <c r="AG29" s="93">
        <f>SUM(F29:AF29)</f>
        <v>17408910.961529508</v>
      </c>
      <c r="AH29" s="30" t="str">
        <f>IF(ABS(E29-AG29)&lt;0.01,"ok","err")</f>
        <v>ok</v>
      </c>
    </row>
    <row r="30" spans="1:35" x14ac:dyDescent="0.2">
      <c r="E30" s="234"/>
    </row>
    <row r="31" spans="1:35" x14ac:dyDescent="0.2">
      <c r="A31" s="13" t="s">
        <v>5</v>
      </c>
      <c r="E31" s="234"/>
    </row>
    <row r="32" spans="1:35" x14ac:dyDescent="0.2">
      <c r="A32" s="96" t="s">
        <v>221</v>
      </c>
      <c r="C32" s="14" t="s">
        <v>231</v>
      </c>
      <c r="D32" s="14" t="s">
        <v>232</v>
      </c>
      <c r="E32" s="233">
        <f>'Func &amp; Classif'!W82</f>
        <v>17281174.136620026</v>
      </c>
      <c r="F32" s="66">
        <f>IF(VLOOKUP($D32,$C$5:$AU$503,3,)=0,0,(VLOOKUP($D32,$C$5:$AU$503,4,)/VLOOKUP($D32,$C$5:$AU$503,3,))*$E32)</f>
        <v>0</v>
      </c>
      <c r="G32" s="66">
        <f>IF(VLOOKUP($D32,$C$5:$AU$503,3,)=0,0,(VLOOKUP($D32,$C$5:$AU$503,5,)/VLOOKUP($D32,$C$5:$AU$503,3,))*$E32)</f>
        <v>0</v>
      </c>
      <c r="H32" s="66">
        <f>IF(VLOOKUP($D32,$C$5:$AU$503,3,)=0,0,(VLOOKUP($D32,$C$5:$AU$503,6,)/VLOOKUP($D32,$C$5:$AU$503,3,))*$E32)</f>
        <v>0</v>
      </c>
      <c r="I32" s="66">
        <f>IF(VLOOKUP($D32,$C$5:$AU$503,3,)=0,0,(VLOOKUP($D32,$C$5:$AU$503,7,)/VLOOKUP($D32,$C$5:$AU$503,3,))*$E32)</f>
        <v>0</v>
      </c>
      <c r="J32" s="66">
        <f>IF(VLOOKUP($D32,$C$5:$AU$503,3,)=0,0,(VLOOKUP($D32,$C$5:$AU$503,8,)/VLOOKUP($D32,$C$5:$AU$503,3,))*$E32)</f>
        <v>0</v>
      </c>
      <c r="K32" s="66">
        <f>IF(VLOOKUP($D32,$C$5:$AU$503,3,)=0,0,(VLOOKUP($D32,$C$5:$AU$503,9,)/VLOOKUP($D32,$C$5:$AU$503,3,))*$E32)</f>
        <v>0</v>
      </c>
      <c r="L32" s="66">
        <f>IF(VLOOKUP($D32,$C$5:$AU$503,3,)=0,0,(VLOOKUP($D32,$C$5:$AU$503,10,)/VLOOKUP($D32,$C$5:$AU$503,3,))*$E32)</f>
        <v>0</v>
      </c>
      <c r="M32" s="66">
        <f>IF(VLOOKUP($D32,$C$5:$AU$503,3,)=0,0,(VLOOKUP($D32,$C$5:$AU$503,11,)/VLOOKUP($D32,$C$5:$AU$503,3,))*$E32)</f>
        <v>0</v>
      </c>
      <c r="N32" s="66">
        <f>IF(VLOOKUP($D32,$C$5:$AU$503,3,)=0,0,(VLOOKUP($D32,$C$5:$AU$503,12,)/VLOOKUP($D32,$C$5:$AU$503,3,))*$E32)</f>
        <v>17281174.136620026</v>
      </c>
      <c r="O32" s="66">
        <f>IF(VLOOKUP($D32,$C$5:$AU$503,3,)=0,0,(VLOOKUP($D32,$C$5:$AU$503,13,)/VLOOKUP($D32,$C$5:$AU$503,3,))*$E32)</f>
        <v>0</v>
      </c>
      <c r="P32" s="66">
        <f>IF(VLOOKUP($D32,$C$5:$AU$503,3,)=0,0,(VLOOKUP($D32,$C$5:$AU$503,14,)/VLOOKUP($D32,$C$5:$AU$503,3,))*$E32)</f>
        <v>0</v>
      </c>
      <c r="Q32" s="66">
        <f>IF(VLOOKUP($D32,$C$5:$AU$503,3,)=0,0,(VLOOKUP($D32,$C$5:$AU$503,15,)/VLOOKUP($D32,$C$5:$AU$503,3,))*$E32)</f>
        <v>0</v>
      </c>
      <c r="R32" s="66">
        <f>IF(VLOOKUP($D32,$C$5:$AU$503,3,)=0,0,(VLOOKUP($D32,$C$5:$AU$503,16,)/VLOOKUP($D32,$C$5:$AU$503,3,))*$E32)</f>
        <v>0</v>
      </c>
      <c r="S32" s="66">
        <f>IF(VLOOKUP($D32,$C$5:$AU$503,3,)=0,0,(VLOOKUP($D32,$C$5:$AU$503,17,)/VLOOKUP($D32,$C$5:$AU$503,3,))*$E32)</f>
        <v>0</v>
      </c>
      <c r="T32" s="66">
        <f>IF(VLOOKUP($D32,$C$5:$AU$503,3,)=0,0,(VLOOKUP($D32,$C$5:$AU$503,18,)/VLOOKUP($D32,$C$5:$AU$503,3,))*$E32)</f>
        <v>0</v>
      </c>
      <c r="U32" s="66">
        <f>IF(VLOOKUP($D32,$C$5:$AU$503,3,)=0,0,(VLOOKUP($D32,$C$5:$AU$503,19,)/VLOOKUP($D32,$C$5:$AU$503,3,))*$E32)</f>
        <v>0</v>
      </c>
      <c r="V32" s="66">
        <f>IF(VLOOKUP($D32,$C$5:$AU$503,3,)=0,0,(VLOOKUP($D32,$C$5:$AU$503,20,)/VLOOKUP($D32,$C$5:$AU$503,3,))*$E32)</f>
        <v>0</v>
      </c>
      <c r="W32" s="66">
        <f>IF(VLOOKUP($D32,$C$5:$AU$503,3,)=0,0,(VLOOKUP($D32,$C$5:$AU$503,21,)/VLOOKUP($D32,$C$5:$AU$503,3,))*$E32)</f>
        <v>0</v>
      </c>
      <c r="X32" s="66">
        <f>IF(VLOOKUP($D32,$C$5:$AU$503,3,)=0,0,(VLOOKUP($D32,$C$5:$AU$503,22,)/VLOOKUP($D32,$C$5:$AU$503,3,))*$E32)</f>
        <v>0</v>
      </c>
      <c r="Y32" s="66">
        <f>IF(VLOOKUP($D32,$C$5:$AU$503,3,)=0,0,(VLOOKUP($D32,$C$5:$AU$503,23,)/VLOOKUP($D32,$C$5:$AU$503,3,))*$E32)</f>
        <v>0</v>
      </c>
      <c r="Z32" s="66">
        <f>IF(VLOOKUP($D32,$C$5:$AU$503,3,)=0,0,(VLOOKUP($D32,$C$5:$AU$503,24,)/VLOOKUP($D32,$C$5:$AU$503,3,))*$E32)</f>
        <v>0</v>
      </c>
      <c r="AA32" s="66">
        <f>IF(VLOOKUP($D32,$C$5:$AU$503,3,)=0,0,(VLOOKUP($D32,$C$5:$AU$503,25,)/VLOOKUP($D32,$C$5:$AU$503,3,))*$E32)</f>
        <v>0</v>
      </c>
      <c r="AB32" s="66">
        <f>IF(VLOOKUP($D32,$C$5:$AU$503,3,)=0,0,(VLOOKUP($D32,$C$5:$AU$503,26,)/VLOOKUP($D32,$C$5:$AU$503,3,))*$E32)</f>
        <v>0</v>
      </c>
      <c r="AC32" s="66">
        <f>IF(VLOOKUP($D32,$C$5:$AU$503,3,)=0,0,(VLOOKUP($D32,$C$5:$AU$503,27,)/VLOOKUP($D32,$C$5:$AU$503,3,))*$E32)</f>
        <v>0</v>
      </c>
      <c r="AD32" s="66">
        <f>IF(VLOOKUP($D32,$C$5:$AU$503,3,)=0,0,(VLOOKUP($D32,$C$5:$AU$503,28,)/VLOOKUP($D32,$C$5:$AU$503,3,))*$E32)</f>
        <v>0</v>
      </c>
      <c r="AE32" s="66">
        <f>IF(VLOOKUP($D32,$C$5:$AU$503,3,)=0,0,(VLOOKUP($D32,$C$5:$AU$503,29,)/VLOOKUP($D32,$C$5:$AU$503,3,))*$E32)</f>
        <v>0</v>
      </c>
      <c r="AF32" s="66">
        <f>IF(VLOOKUP($D32,$C$5:$AU$503,3,)=0,0,(VLOOKUP($D32,$C$5:$AU$503,30,)/VLOOKUP($D32,$C$5:$AU$503,3,))*$E32)</f>
        <v>0</v>
      </c>
      <c r="AG32" s="93">
        <f>SUM(F32:AF32)</f>
        <v>17281174.136620026</v>
      </c>
      <c r="AH32" s="30" t="str">
        <f>IF(ABS(E32-AG32)&lt;0.01,"ok","err")</f>
        <v>ok</v>
      </c>
    </row>
    <row r="33" spans="1:35" x14ac:dyDescent="0.2">
      <c r="E33" s="234"/>
    </row>
    <row r="34" spans="1:35" x14ac:dyDescent="0.2">
      <c r="A34" s="13" t="s">
        <v>545</v>
      </c>
      <c r="E34" s="234"/>
    </row>
    <row r="35" spans="1:35" x14ac:dyDescent="0.2">
      <c r="A35" s="96" t="s">
        <v>221</v>
      </c>
      <c r="C35" s="14" t="s">
        <v>233</v>
      </c>
      <c r="D35" s="14" t="s">
        <v>234</v>
      </c>
      <c r="E35" s="233">
        <f>'Func &amp; Classif'!Y82</f>
        <v>0</v>
      </c>
      <c r="F35" s="66">
        <f>IF(VLOOKUP($D35,$C$5:$AU$503,3,)=0,0,(VLOOKUP($D35,$C$5:$AU$503,4,)/VLOOKUP($D35,$C$5:$AU$503,3,))*$E35)</f>
        <v>0</v>
      </c>
      <c r="G35" s="66">
        <f>IF(VLOOKUP($D35,$C$5:$AU$503,3,)=0,0,(VLOOKUP($D35,$C$5:$AU$503,5,)/VLOOKUP($D35,$C$5:$AU$503,3,))*$E35)</f>
        <v>0</v>
      </c>
      <c r="H35" s="66">
        <f>IF(VLOOKUP($D35,$C$5:$AU$503,3,)=0,0,(VLOOKUP($D35,$C$5:$AU$503,6,)/VLOOKUP($D35,$C$5:$AU$503,3,))*$E35)</f>
        <v>0</v>
      </c>
      <c r="I35" s="66">
        <f>IF(VLOOKUP($D35,$C$5:$AU$503,3,)=0,0,(VLOOKUP($D35,$C$5:$AU$503,7,)/VLOOKUP($D35,$C$5:$AU$503,3,))*$E35)</f>
        <v>0</v>
      </c>
      <c r="J35" s="66">
        <f>IF(VLOOKUP($D35,$C$5:$AU$503,3,)=0,0,(VLOOKUP($D35,$C$5:$AU$503,8,)/VLOOKUP($D35,$C$5:$AU$503,3,))*$E35)</f>
        <v>0</v>
      </c>
      <c r="K35" s="66">
        <f>IF(VLOOKUP($D35,$C$5:$AU$503,3,)=0,0,(VLOOKUP($D35,$C$5:$AU$503,9,)/VLOOKUP($D35,$C$5:$AU$503,3,))*$E35)</f>
        <v>0</v>
      </c>
      <c r="L35" s="66">
        <f>IF(VLOOKUP($D35,$C$5:$AU$503,3,)=0,0,(VLOOKUP($D35,$C$5:$AU$503,10,)/VLOOKUP($D35,$C$5:$AU$503,3,))*$E35)</f>
        <v>0</v>
      </c>
      <c r="M35" s="66">
        <f>IF(VLOOKUP($D35,$C$5:$AU$503,3,)=0,0,(VLOOKUP($D35,$C$5:$AU$503,11,)/VLOOKUP($D35,$C$5:$AU$503,3,))*$E35)</f>
        <v>0</v>
      </c>
      <c r="N35" s="66">
        <f>IF(VLOOKUP($D35,$C$5:$AU$503,3,)=0,0,(VLOOKUP($D35,$C$5:$AU$503,12,)/VLOOKUP($D35,$C$5:$AU$503,3,))*$E35)</f>
        <v>0</v>
      </c>
      <c r="O35" s="66">
        <f>IF(VLOOKUP($D35,$C$5:$AU$503,3,)=0,0,(VLOOKUP($D35,$C$5:$AU$503,13,)/VLOOKUP($D35,$C$5:$AU$503,3,))*$E35)</f>
        <v>0</v>
      </c>
      <c r="P35" s="66">
        <f>IF(VLOOKUP($D35,$C$5:$AU$503,3,)=0,0,(VLOOKUP($D35,$C$5:$AU$503,14,)/VLOOKUP($D35,$C$5:$AU$503,3,))*$E35)</f>
        <v>0</v>
      </c>
      <c r="Q35" s="66">
        <f>IF(VLOOKUP($D35,$C$5:$AU$503,3,)=0,0,(VLOOKUP($D35,$C$5:$AU$503,15,)/VLOOKUP($D35,$C$5:$AU$503,3,))*$E35)</f>
        <v>0</v>
      </c>
      <c r="R35" s="66">
        <f>IF(VLOOKUP($D35,$C$5:$AU$503,3,)=0,0,(VLOOKUP($D35,$C$5:$AU$503,16,)/VLOOKUP($D35,$C$5:$AU$503,3,))*$E35)</f>
        <v>0</v>
      </c>
      <c r="S35" s="66">
        <f>IF(VLOOKUP($D35,$C$5:$AU$503,3,)=0,0,(VLOOKUP($D35,$C$5:$AU$503,17,)/VLOOKUP($D35,$C$5:$AU$503,3,))*$E35)</f>
        <v>0</v>
      </c>
      <c r="T35" s="66">
        <f>IF(VLOOKUP($D35,$C$5:$AU$503,3,)=0,0,(VLOOKUP($D35,$C$5:$AU$503,18,)/VLOOKUP($D35,$C$5:$AU$503,3,))*$E35)</f>
        <v>0</v>
      </c>
      <c r="U35" s="66">
        <f>IF(VLOOKUP($D35,$C$5:$AU$503,3,)=0,0,(VLOOKUP($D35,$C$5:$AU$503,19,)/VLOOKUP($D35,$C$5:$AU$503,3,))*$E35)</f>
        <v>0</v>
      </c>
      <c r="V35" s="66">
        <f>IF(VLOOKUP($D35,$C$5:$AU$503,3,)=0,0,(VLOOKUP($D35,$C$5:$AU$503,20,)/VLOOKUP($D35,$C$5:$AU$503,3,))*$E35)</f>
        <v>0</v>
      </c>
      <c r="W35" s="66">
        <f>IF(VLOOKUP($D35,$C$5:$AU$503,3,)=0,0,(VLOOKUP($D35,$C$5:$AU$503,21,)/VLOOKUP($D35,$C$5:$AU$503,3,))*$E35)</f>
        <v>0</v>
      </c>
      <c r="X35" s="66">
        <f>IF(VLOOKUP($D35,$C$5:$AU$503,3,)=0,0,(VLOOKUP($D35,$C$5:$AU$503,22,)/VLOOKUP($D35,$C$5:$AU$503,3,))*$E35)</f>
        <v>0</v>
      </c>
      <c r="Y35" s="66">
        <f>IF(VLOOKUP($D35,$C$5:$AU$503,3,)=0,0,(VLOOKUP($D35,$C$5:$AU$503,23,)/VLOOKUP($D35,$C$5:$AU$503,3,))*$E35)</f>
        <v>0</v>
      </c>
      <c r="Z35" s="66">
        <f>IF(VLOOKUP($D35,$C$5:$AU$503,3,)=0,0,(VLOOKUP($D35,$C$5:$AU$503,24,)/VLOOKUP($D35,$C$5:$AU$503,3,))*$E35)</f>
        <v>0</v>
      </c>
      <c r="AA35" s="66">
        <f>IF(VLOOKUP($D35,$C$5:$AU$503,3,)=0,0,(VLOOKUP($D35,$C$5:$AU$503,25,)/VLOOKUP($D35,$C$5:$AU$503,3,))*$E35)</f>
        <v>0</v>
      </c>
      <c r="AB35" s="66">
        <f>IF(VLOOKUP($D35,$C$5:$AU$503,3,)=0,0,(VLOOKUP($D35,$C$5:$AU$503,26,)/VLOOKUP($D35,$C$5:$AU$503,3,))*$E35)</f>
        <v>0</v>
      </c>
      <c r="AC35" s="66">
        <f>IF(VLOOKUP($D35,$C$5:$AU$503,3,)=0,0,(VLOOKUP($D35,$C$5:$AU$503,27,)/VLOOKUP($D35,$C$5:$AU$503,3,))*$E35)</f>
        <v>0</v>
      </c>
      <c r="AD35" s="66">
        <f>IF(VLOOKUP($D35,$C$5:$AU$503,3,)=0,0,(VLOOKUP($D35,$C$5:$AU$503,28,)/VLOOKUP($D35,$C$5:$AU$503,3,))*$E35)</f>
        <v>0</v>
      </c>
      <c r="AE35" s="66">
        <f>IF(VLOOKUP($D35,$C$5:$AU$503,3,)=0,0,(VLOOKUP($D35,$C$5:$AU$503,29,)/VLOOKUP($D35,$C$5:$AU$503,3,))*$E35)</f>
        <v>0</v>
      </c>
      <c r="AF35" s="66">
        <f>IF(VLOOKUP($D35,$C$5:$AU$503,3,)=0,0,(VLOOKUP($D35,$C$5:$AU$503,30,)/VLOOKUP($D35,$C$5:$AU$503,3,))*$E35)</f>
        <v>0</v>
      </c>
      <c r="AG35" s="93">
        <f>SUM(F35:AF35)</f>
        <v>0</v>
      </c>
      <c r="AH35" s="30" t="str">
        <f>IF(ABS(E35-AG35)&lt;0.01,"ok","err")</f>
        <v>ok</v>
      </c>
    </row>
    <row r="36" spans="1:35" x14ac:dyDescent="0.2">
      <c r="E36" s="234"/>
    </row>
    <row r="37" spans="1:35" x14ac:dyDescent="0.2">
      <c r="A37" s="13" t="s">
        <v>470</v>
      </c>
      <c r="E37" s="234"/>
    </row>
    <row r="38" spans="1:35" x14ac:dyDescent="0.2">
      <c r="A38" s="96" t="s">
        <v>221</v>
      </c>
      <c r="C38" s="14" t="s">
        <v>226</v>
      </c>
      <c r="D38" s="14" t="s">
        <v>235</v>
      </c>
      <c r="E38" s="233">
        <f>'Func &amp; Classif'!AA82</f>
        <v>0</v>
      </c>
      <c r="F38" s="66">
        <f>IF(VLOOKUP($D38,$C$5:$AU$503,3,)=0,0,(VLOOKUP($D38,$C$5:$AU$503,4,)/VLOOKUP($D38,$C$5:$AU$503,3,))*$E38)</f>
        <v>0</v>
      </c>
      <c r="G38" s="66">
        <f>IF(VLOOKUP($D38,$C$5:$AU$503,3,)=0,0,(VLOOKUP($D38,$C$5:$AU$503,5,)/VLOOKUP($D38,$C$5:$AU$503,3,))*$E38)</f>
        <v>0</v>
      </c>
      <c r="H38" s="66">
        <f>IF(VLOOKUP($D38,$C$5:$AU$503,3,)=0,0,(VLOOKUP($D38,$C$5:$AU$503,6,)/VLOOKUP($D38,$C$5:$AU$503,3,))*$E38)</f>
        <v>0</v>
      </c>
      <c r="I38" s="66">
        <f>IF(VLOOKUP($D38,$C$5:$AU$503,3,)=0,0,(VLOOKUP($D38,$C$5:$AU$503,7,)/VLOOKUP($D38,$C$5:$AU$503,3,))*$E38)</f>
        <v>0</v>
      </c>
      <c r="J38" s="66">
        <f>IF(VLOOKUP($D38,$C$5:$AU$503,3,)=0,0,(VLOOKUP($D38,$C$5:$AU$503,8,)/VLOOKUP($D38,$C$5:$AU$503,3,))*$E38)</f>
        <v>0</v>
      </c>
      <c r="K38" s="66">
        <f>IF(VLOOKUP($D38,$C$5:$AU$503,3,)=0,0,(VLOOKUP($D38,$C$5:$AU$503,9,)/VLOOKUP($D38,$C$5:$AU$503,3,))*$E38)</f>
        <v>0</v>
      </c>
      <c r="L38" s="66">
        <f>IF(VLOOKUP($D38,$C$5:$AU$503,3,)=0,0,(VLOOKUP($D38,$C$5:$AU$503,10,)/VLOOKUP($D38,$C$5:$AU$503,3,))*$E38)</f>
        <v>0</v>
      </c>
      <c r="M38" s="66">
        <f>IF(VLOOKUP($D38,$C$5:$AU$503,3,)=0,0,(VLOOKUP($D38,$C$5:$AU$503,11,)/VLOOKUP($D38,$C$5:$AU$503,3,))*$E38)</f>
        <v>0</v>
      </c>
      <c r="N38" s="66">
        <f>IF(VLOOKUP($D38,$C$5:$AU$503,3,)=0,0,(VLOOKUP($D38,$C$5:$AU$503,12,)/VLOOKUP($D38,$C$5:$AU$503,3,))*$E38)</f>
        <v>0</v>
      </c>
      <c r="O38" s="66">
        <f>IF(VLOOKUP($D38,$C$5:$AU$503,3,)=0,0,(VLOOKUP($D38,$C$5:$AU$503,13,)/VLOOKUP($D38,$C$5:$AU$503,3,))*$E38)</f>
        <v>0</v>
      </c>
      <c r="P38" s="66">
        <f>IF(VLOOKUP($D38,$C$5:$AU$503,3,)=0,0,(VLOOKUP($D38,$C$5:$AU$503,14,)/VLOOKUP($D38,$C$5:$AU$503,3,))*$E38)</f>
        <v>0</v>
      </c>
      <c r="Q38" s="66">
        <f>IF(VLOOKUP($D38,$C$5:$AU$503,3,)=0,0,(VLOOKUP($D38,$C$5:$AU$503,15,)/VLOOKUP($D38,$C$5:$AU$503,3,))*$E38)</f>
        <v>0</v>
      </c>
      <c r="R38" s="66">
        <f>IF(VLOOKUP($D38,$C$5:$AU$503,3,)=0,0,(VLOOKUP($D38,$C$5:$AU$503,16,)/VLOOKUP($D38,$C$5:$AU$503,3,))*$E38)</f>
        <v>0</v>
      </c>
      <c r="S38" s="66">
        <f>IF(VLOOKUP($D38,$C$5:$AU$503,3,)=0,0,(VLOOKUP($D38,$C$5:$AU$503,17,)/VLOOKUP($D38,$C$5:$AU$503,3,))*$E38)</f>
        <v>0</v>
      </c>
      <c r="T38" s="66">
        <f>IF(VLOOKUP($D38,$C$5:$AU$503,3,)=0,0,(VLOOKUP($D38,$C$5:$AU$503,18,)/VLOOKUP($D38,$C$5:$AU$503,3,))*$E38)</f>
        <v>0</v>
      </c>
      <c r="U38" s="66">
        <f>IF(VLOOKUP($D38,$C$5:$AU$503,3,)=0,0,(VLOOKUP($D38,$C$5:$AU$503,19,)/VLOOKUP($D38,$C$5:$AU$503,3,))*$E38)</f>
        <v>0</v>
      </c>
      <c r="V38" s="66">
        <f>IF(VLOOKUP($D38,$C$5:$AU$503,3,)=0,0,(VLOOKUP($D38,$C$5:$AU$503,20,)/VLOOKUP($D38,$C$5:$AU$503,3,))*$E38)</f>
        <v>0</v>
      </c>
      <c r="W38" s="66">
        <f>IF(VLOOKUP($D38,$C$5:$AU$503,3,)=0,0,(VLOOKUP($D38,$C$5:$AU$503,21,)/VLOOKUP($D38,$C$5:$AU$503,3,))*$E38)</f>
        <v>0</v>
      </c>
      <c r="X38" s="66">
        <f>IF(VLOOKUP($D38,$C$5:$AU$503,3,)=0,0,(VLOOKUP($D38,$C$5:$AU$503,22,)/VLOOKUP($D38,$C$5:$AU$503,3,))*$E38)</f>
        <v>0</v>
      </c>
      <c r="Y38" s="66">
        <f>IF(VLOOKUP($D38,$C$5:$AU$503,3,)=0,0,(VLOOKUP($D38,$C$5:$AU$503,23,)/VLOOKUP($D38,$C$5:$AU$503,3,))*$E38)</f>
        <v>0</v>
      </c>
      <c r="Z38" s="66">
        <f>IF(VLOOKUP($D38,$C$5:$AU$503,3,)=0,0,(VLOOKUP($D38,$C$5:$AU$503,24,)/VLOOKUP($D38,$C$5:$AU$503,3,))*$E38)</f>
        <v>0</v>
      </c>
      <c r="AA38" s="66">
        <f>IF(VLOOKUP($D38,$C$5:$AU$503,3,)=0,0,(VLOOKUP($D38,$C$5:$AU$503,25,)/VLOOKUP($D38,$C$5:$AU$503,3,))*$E38)</f>
        <v>0</v>
      </c>
      <c r="AB38" s="66">
        <f>IF(VLOOKUP($D38,$C$5:$AU$503,3,)=0,0,(VLOOKUP($D38,$C$5:$AU$503,26,)/VLOOKUP($D38,$C$5:$AU$503,3,))*$E38)</f>
        <v>0</v>
      </c>
      <c r="AC38" s="66">
        <f>IF(VLOOKUP($D38,$C$5:$AU$503,3,)=0,0,(VLOOKUP($D38,$C$5:$AU$503,27,)/VLOOKUP($D38,$C$5:$AU$503,3,))*$E38)</f>
        <v>0</v>
      </c>
      <c r="AD38" s="66">
        <f>IF(VLOOKUP($D38,$C$5:$AU$503,3,)=0,0,(VLOOKUP($D38,$C$5:$AU$503,28,)/VLOOKUP($D38,$C$5:$AU$503,3,))*$E38)</f>
        <v>0</v>
      </c>
      <c r="AE38" s="66">
        <f>IF(VLOOKUP($D38,$C$5:$AU$503,3,)=0,0,(VLOOKUP($D38,$C$5:$AU$503,29,)/VLOOKUP($D38,$C$5:$AU$503,3,))*$E38)</f>
        <v>0</v>
      </c>
      <c r="AF38" s="66">
        <f>IF(VLOOKUP($D38,$C$5:$AU$503,3,)=0,0,(VLOOKUP($D38,$C$5:$AU$503,30,)/VLOOKUP($D38,$C$5:$AU$503,3,))*$E38)</f>
        <v>0</v>
      </c>
      <c r="AG38" s="93">
        <f>SUM(F38:AF38)</f>
        <v>0</v>
      </c>
      <c r="AH38" s="30" t="str">
        <f>IF(ABS(E38-AG38)&lt;0.01,"ok","err")</f>
        <v>ok</v>
      </c>
    </row>
    <row r="39" spans="1:35" x14ac:dyDescent="0.2">
      <c r="E39" s="234"/>
    </row>
    <row r="40" spans="1:35" x14ac:dyDescent="0.2">
      <c r="A40" s="14" t="s">
        <v>0</v>
      </c>
      <c r="C40" s="14" t="s">
        <v>236</v>
      </c>
      <c r="E40" s="233">
        <f>E10+E13+E16+E21+E26+E29+E32+E35+E38</f>
        <v>317615501.07000005</v>
      </c>
      <c r="F40" s="66">
        <f t="shared" ref="F40:R40" si="6">F10+F13+F16+F21+F26+F29+F32+F35+F38</f>
        <v>251756283.58440065</v>
      </c>
      <c r="G40" s="66">
        <f t="shared" si="6"/>
        <v>22151873.780773483</v>
      </c>
      <c r="H40" s="66">
        <f t="shared" si="6"/>
        <v>14866766.422913525</v>
      </c>
      <c r="I40" s="66">
        <f t="shared" si="6"/>
        <v>454369.40810179967</v>
      </c>
      <c r="J40" s="66">
        <f t="shared" si="6"/>
        <v>3542049.7074756669</v>
      </c>
      <c r="K40" s="66">
        <f t="shared" si="6"/>
        <v>3927870.0735950386</v>
      </c>
      <c r="L40" s="66">
        <f t="shared" si="6"/>
        <v>1745135.1924965549</v>
      </c>
      <c r="M40" s="66">
        <f t="shared" si="6"/>
        <v>1067337.3597259854</v>
      </c>
      <c r="N40" s="66">
        <f t="shared" si="6"/>
        <v>18103815.540517282</v>
      </c>
      <c r="O40" s="66">
        <f t="shared" si="6"/>
        <v>0</v>
      </c>
      <c r="P40" s="66">
        <f t="shared" si="6"/>
        <v>0</v>
      </c>
      <c r="Q40" s="66">
        <f t="shared" si="6"/>
        <v>0</v>
      </c>
      <c r="R40" s="66">
        <f t="shared" si="6"/>
        <v>0</v>
      </c>
      <c r="S40" s="66">
        <f t="shared" ref="S40:AF40" si="7">S10+S16+S21+S26+S29+S32+S35+S38</f>
        <v>0</v>
      </c>
      <c r="T40" s="66">
        <f t="shared" si="7"/>
        <v>0</v>
      </c>
      <c r="U40" s="66">
        <f t="shared" si="7"/>
        <v>0</v>
      </c>
      <c r="V40" s="66">
        <f t="shared" si="7"/>
        <v>0</v>
      </c>
      <c r="W40" s="66">
        <f t="shared" si="7"/>
        <v>0</v>
      </c>
      <c r="X40" s="66">
        <f t="shared" si="7"/>
        <v>0</v>
      </c>
      <c r="Y40" s="66">
        <f t="shared" si="7"/>
        <v>0</v>
      </c>
      <c r="Z40" s="66">
        <f t="shared" si="7"/>
        <v>0</v>
      </c>
      <c r="AA40" s="66">
        <f t="shared" si="7"/>
        <v>0</v>
      </c>
      <c r="AB40" s="66">
        <f t="shared" si="7"/>
        <v>0</v>
      </c>
      <c r="AC40" s="66">
        <f t="shared" si="7"/>
        <v>0</v>
      </c>
      <c r="AD40" s="66">
        <f t="shared" si="7"/>
        <v>0</v>
      </c>
      <c r="AE40" s="66">
        <f t="shared" si="7"/>
        <v>0</v>
      </c>
      <c r="AF40" s="66">
        <f t="shared" si="7"/>
        <v>0</v>
      </c>
      <c r="AG40" s="93">
        <f>SUM(F40:AF40)</f>
        <v>317615501.06999999</v>
      </c>
      <c r="AH40" s="30" t="str">
        <f>IF(ABS(E40-AG40)&lt;0.01,"ok","err")</f>
        <v>ok</v>
      </c>
      <c r="AI40" s="93"/>
    </row>
    <row r="44" spans="1:35" x14ac:dyDescent="0.2">
      <c r="A44" s="28" t="s">
        <v>83</v>
      </c>
    </row>
    <row r="46" spans="1:35" x14ac:dyDescent="0.2">
      <c r="A46" s="13" t="s">
        <v>893</v>
      </c>
    </row>
    <row r="47" spans="1:35" x14ac:dyDescent="0.2">
      <c r="A47" s="96" t="s">
        <v>209</v>
      </c>
      <c r="C47" s="14" t="s">
        <v>237</v>
      </c>
      <c r="D47" s="14" t="s">
        <v>655</v>
      </c>
      <c r="E47" s="233">
        <f>'Func &amp; Classif'!H126</f>
        <v>0</v>
      </c>
      <c r="F47" s="66">
        <f>IF(VLOOKUP($D47,$C$5:$AU$503,3,)=0,0,(VLOOKUP($D47,$C$5:$AU$503,4,)/VLOOKUP($D47,$C$5:$AU$503,3,))*$E47)</f>
        <v>0</v>
      </c>
      <c r="G47" s="66">
        <f>IF(VLOOKUP($D47,$C$5:$AU$503,3,)=0,0,(VLOOKUP($D47,$C$5:$AU$503,5,)/VLOOKUP($D47,$C$5:$AU$503,3,))*$E47)</f>
        <v>0</v>
      </c>
      <c r="H47" s="66">
        <f>IF(VLOOKUP($D47,$C$5:$AU$503,3,)=0,0,(VLOOKUP($D47,$C$5:$AU$503,6,)/VLOOKUP($D47,$C$5:$AU$503,3,))*$E47)</f>
        <v>0</v>
      </c>
      <c r="I47" s="66">
        <f>IF(VLOOKUP($D47,$C$5:$AU$503,3,)=0,0,(VLOOKUP($D47,$C$5:$AU$503,7,)/VLOOKUP($D47,$C$5:$AU$503,3,))*$E47)</f>
        <v>0</v>
      </c>
      <c r="J47" s="66">
        <f>IF(VLOOKUP($D47,$C$5:$AU$503,3,)=0,0,(VLOOKUP($D47,$C$5:$AU$503,8,)/VLOOKUP($D47,$C$5:$AU$503,3,))*$E47)</f>
        <v>0</v>
      </c>
      <c r="K47" s="66">
        <f>IF(VLOOKUP($D47,$C$5:$AU$503,3,)=0,0,(VLOOKUP($D47,$C$5:$AU$503,9,)/VLOOKUP($D47,$C$5:$AU$503,3,))*$E47)</f>
        <v>0</v>
      </c>
      <c r="L47" s="66">
        <f>IF(VLOOKUP($D47,$C$5:$AU$503,3,)=0,0,(VLOOKUP($D47,$C$5:$AU$503,10,)/VLOOKUP($D47,$C$5:$AU$503,3,))*$E47)</f>
        <v>0</v>
      </c>
      <c r="M47" s="66">
        <f>IF(VLOOKUP($D47,$C$5:$AU$503,3,)=0,0,(VLOOKUP($D47,$C$5:$AU$503,11,)/VLOOKUP($D47,$C$5:$AU$503,3,))*$E47)</f>
        <v>0</v>
      </c>
      <c r="N47" s="66">
        <f>IF(VLOOKUP($D47,$C$5:$AU$503,3,)=0,0,(VLOOKUP($D47,$C$5:$AU$503,12,)/VLOOKUP($D47,$C$5:$AU$503,3,))*$E47)</f>
        <v>0</v>
      </c>
      <c r="O47" s="66">
        <f>IF(VLOOKUP($D47,$C$5:$AU$503,3,)=0,0,(VLOOKUP($D47,$C$5:$AU$503,13,)/VLOOKUP($D47,$C$5:$AU$503,3,))*$E47)</f>
        <v>0</v>
      </c>
      <c r="P47" s="66">
        <f>IF(VLOOKUP($D47,$C$5:$AU$503,3,)=0,0,(VLOOKUP($D47,$C$5:$AU$503,14,)/VLOOKUP($D47,$C$5:$AU$503,3,))*$E47)</f>
        <v>0</v>
      </c>
      <c r="Q47" s="66">
        <f>IF(VLOOKUP($D47,$C$5:$AU$503,3,)=0,0,(VLOOKUP($D47,$C$5:$AU$503,15,)/VLOOKUP($D47,$C$5:$AU$503,3,))*$E47)</f>
        <v>0</v>
      </c>
      <c r="R47" s="66">
        <f>IF(VLOOKUP($D47,$C$5:$AU$503,3,)=0,0,(VLOOKUP($D47,$C$5:$AU$503,16,)/VLOOKUP($D47,$C$5:$AU$503,3,))*$E47)</f>
        <v>0</v>
      </c>
      <c r="S47" s="66">
        <f>IF(VLOOKUP($D47,$C$5:$AU$503,3,)=0,0,(VLOOKUP($D47,$C$5:$AU$503,17,)/VLOOKUP($D47,$C$5:$AU$503,3,))*$E47)</f>
        <v>0</v>
      </c>
      <c r="T47" s="66">
        <f>IF(VLOOKUP($D47,$C$5:$AU$503,3,)=0,0,(VLOOKUP($D47,$C$5:$AU$503,18,)/VLOOKUP($D47,$C$5:$AU$503,3,))*$E47)</f>
        <v>0</v>
      </c>
      <c r="U47" s="66">
        <f>IF(VLOOKUP($D47,$C$5:$AU$503,3,)=0,0,(VLOOKUP($D47,$C$5:$AU$503,19,)/VLOOKUP($D47,$C$5:$AU$503,3,))*$E47)</f>
        <v>0</v>
      </c>
      <c r="V47" s="66">
        <f>IF(VLOOKUP($D47,$C$5:$AU$503,3,)=0,0,(VLOOKUP($D47,$C$5:$AU$503,20,)/VLOOKUP($D47,$C$5:$AU$503,3,))*$E47)</f>
        <v>0</v>
      </c>
      <c r="W47" s="66">
        <f>IF(VLOOKUP($D47,$C$5:$AU$503,3,)=0,0,(VLOOKUP($D47,$C$5:$AU$503,21,)/VLOOKUP($D47,$C$5:$AU$503,3,))*$E47)</f>
        <v>0</v>
      </c>
      <c r="X47" s="66">
        <f>IF(VLOOKUP($D47,$C$5:$AU$503,3,)=0,0,(VLOOKUP($D47,$C$5:$AU$503,22,)/VLOOKUP($D47,$C$5:$AU$503,3,))*$E47)</f>
        <v>0</v>
      </c>
      <c r="Y47" s="66">
        <f>IF(VLOOKUP($D47,$C$5:$AU$503,3,)=0,0,(VLOOKUP($D47,$C$5:$AU$503,23,)/VLOOKUP($D47,$C$5:$AU$503,3,))*$E47)</f>
        <v>0</v>
      </c>
      <c r="Z47" s="66">
        <f>IF(VLOOKUP($D47,$C$5:$AU$503,3,)=0,0,(VLOOKUP($D47,$C$5:$AU$503,24,)/VLOOKUP($D47,$C$5:$AU$503,3,))*$E47)</f>
        <v>0</v>
      </c>
      <c r="AA47" s="66">
        <f>IF(VLOOKUP($D47,$C$5:$AU$503,3,)=0,0,(VLOOKUP($D47,$C$5:$AU$503,25,)/VLOOKUP($D47,$C$5:$AU$503,3,))*$E47)</f>
        <v>0</v>
      </c>
      <c r="AB47" s="66">
        <f>IF(VLOOKUP($D47,$C$5:$AU$503,3,)=0,0,(VLOOKUP($D47,$C$5:$AU$503,26,)/VLOOKUP($D47,$C$5:$AU$503,3,))*$E47)</f>
        <v>0</v>
      </c>
      <c r="AC47" s="66">
        <f>IF(VLOOKUP($D47,$C$5:$AU$503,3,)=0,0,(VLOOKUP($D47,$C$5:$AU$503,27,)/VLOOKUP($D47,$C$5:$AU$503,3,))*$E47)</f>
        <v>0</v>
      </c>
      <c r="AD47" s="66">
        <f>IF(VLOOKUP($D47,$C$5:$AU$503,3,)=0,0,(VLOOKUP($D47,$C$5:$AU$503,28,)/VLOOKUP($D47,$C$5:$AU$503,3,))*$E47)</f>
        <v>0</v>
      </c>
      <c r="AE47" s="66">
        <f>IF(VLOOKUP($D47,$C$5:$AU$503,3,)=0,0,(VLOOKUP($D47,$C$5:$AU$503,29,)/VLOOKUP($D47,$C$5:$AU$503,3,))*$E47)</f>
        <v>0</v>
      </c>
      <c r="AF47" s="66">
        <f>IF(VLOOKUP($D47,$C$5:$AU$503,3,)=0,0,(VLOOKUP($D47,$C$5:$AU$503,30,)/VLOOKUP($D47,$C$5:$AU$503,3,))*$E47)</f>
        <v>0</v>
      </c>
      <c r="AG47" s="93">
        <f>SUM(F47:AF47)</f>
        <v>0</v>
      </c>
      <c r="AH47" s="30" t="str">
        <f>IF(ABS(E47-AG47)&lt;0.01,"ok","err")</f>
        <v>ok</v>
      </c>
    </row>
    <row r="48" spans="1:35" x14ac:dyDescent="0.2">
      <c r="A48" s="96" t="s">
        <v>212</v>
      </c>
      <c r="C48" s="14" t="s">
        <v>238</v>
      </c>
      <c r="D48" s="14" t="s">
        <v>664</v>
      </c>
      <c r="E48" s="234">
        <f>'Func &amp; Classif'!I126</f>
        <v>0</v>
      </c>
      <c r="F48" s="66">
        <f>IF(VLOOKUP($D48,$C$5:$AU$503,3,)=0,0,(VLOOKUP($D48,$C$5:$AU$503,4,)/VLOOKUP($D48,$C$5:$AU$503,3,))*$E48)</f>
        <v>0</v>
      </c>
      <c r="G48" s="66">
        <f>IF(VLOOKUP($D48,$C$5:$AU$503,3,)=0,0,(VLOOKUP($D48,$C$5:$AU$503,5,)/VLOOKUP($D48,$C$5:$AU$503,3,))*$E48)</f>
        <v>0</v>
      </c>
      <c r="H48" s="66">
        <f>IF(VLOOKUP($D48,$C$5:$AU$503,3,)=0,0,(VLOOKUP($D48,$C$5:$AU$503,6,)/VLOOKUP($D48,$C$5:$AU$503,3,))*$E48)</f>
        <v>0</v>
      </c>
      <c r="I48" s="66">
        <f>IF(VLOOKUP($D48,$C$5:$AU$503,3,)=0,0,(VLOOKUP($D48,$C$5:$AU$503,7,)/VLOOKUP($D48,$C$5:$AU$503,3,))*$E48)</f>
        <v>0</v>
      </c>
      <c r="J48" s="66">
        <f>IF(VLOOKUP($D48,$C$5:$AU$503,3,)=0,0,(VLOOKUP($D48,$C$5:$AU$503,8,)/VLOOKUP($D48,$C$5:$AU$503,3,))*$E48)</f>
        <v>0</v>
      </c>
      <c r="K48" s="66">
        <f>IF(VLOOKUP($D48,$C$5:$AU$503,3,)=0,0,(VLOOKUP($D48,$C$5:$AU$503,9,)/VLOOKUP($D48,$C$5:$AU$503,3,))*$E48)</f>
        <v>0</v>
      </c>
      <c r="L48" s="66">
        <f>IF(VLOOKUP($D48,$C$5:$AU$503,3,)=0,0,(VLOOKUP($D48,$C$5:$AU$503,10,)/VLOOKUP($D48,$C$5:$AU$503,3,))*$E48)</f>
        <v>0</v>
      </c>
      <c r="M48" s="66">
        <f>IF(VLOOKUP($D48,$C$5:$AU$503,3,)=0,0,(VLOOKUP($D48,$C$5:$AU$503,11,)/VLOOKUP($D48,$C$5:$AU$503,3,))*$E48)</f>
        <v>0</v>
      </c>
      <c r="N48" s="66">
        <f>IF(VLOOKUP($D48,$C$5:$AU$503,3,)=0,0,(VLOOKUP($D48,$C$5:$AU$503,12,)/VLOOKUP($D48,$C$5:$AU$503,3,))*$E48)</f>
        <v>0</v>
      </c>
      <c r="O48" s="66">
        <f>IF(VLOOKUP($D48,$C$5:$AU$503,3,)=0,0,(VLOOKUP($D48,$C$5:$AU$503,13,)/VLOOKUP($D48,$C$5:$AU$503,3,))*$E48)</f>
        <v>0</v>
      </c>
      <c r="P48" s="66">
        <f>IF(VLOOKUP($D48,$C$5:$AU$503,3,)=0,0,(VLOOKUP($D48,$C$5:$AU$503,14,)/VLOOKUP($D48,$C$5:$AU$503,3,))*$E48)</f>
        <v>0</v>
      </c>
      <c r="Q48" s="66">
        <f>IF(VLOOKUP($D48,$C$5:$AU$503,3,)=0,0,(VLOOKUP($D48,$C$5:$AU$503,15,)/VLOOKUP($D48,$C$5:$AU$503,3,))*$E48)</f>
        <v>0</v>
      </c>
      <c r="R48" s="66">
        <f>IF(VLOOKUP($D48,$C$5:$AU$503,3,)=0,0,(VLOOKUP($D48,$C$5:$AU$503,16,)/VLOOKUP($D48,$C$5:$AU$503,3,))*$E48)</f>
        <v>0</v>
      </c>
      <c r="S48" s="66">
        <f>IF(VLOOKUP($D48,$C$5:$AU$503,3,)=0,0,(VLOOKUP($D48,$C$5:$AU$503,17,)/VLOOKUP($D48,$C$5:$AU$503,3,))*$E48)</f>
        <v>0</v>
      </c>
      <c r="T48" s="66">
        <f>IF(VLOOKUP($D48,$C$5:$AU$503,3,)=0,0,(VLOOKUP($D48,$C$5:$AU$503,18,)/VLOOKUP($D48,$C$5:$AU$503,3,))*$E48)</f>
        <v>0</v>
      </c>
      <c r="U48" s="66">
        <f>IF(VLOOKUP($D48,$C$5:$AU$503,3,)=0,0,(VLOOKUP($D48,$C$5:$AU$503,19,)/VLOOKUP($D48,$C$5:$AU$503,3,))*$E48)</f>
        <v>0</v>
      </c>
      <c r="V48" s="66">
        <f>IF(VLOOKUP($D48,$C$5:$AU$503,3,)=0,0,(VLOOKUP($D48,$C$5:$AU$503,20,)/VLOOKUP($D48,$C$5:$AU$503,3,))*$E48)</f>
        <v>0</v>
      </c>
      <c r="W48" s="66">
        <f>IF(VLOOKUP($D48,$C$5:$AU$503,3,)=0,0,(VLOOKUP($D48,$C$5:$AU$503,21,)/VLOOKUP($D48,$C$5:$AU$503,3,))*$E48)</f>
        <v>0</v>
      </c>
      <c r="X48" s="66">
        <f>IF(VLOOKUP($D48,$C$5:$AU$503,3,)=0,0,(VLOOKUP($D48,$C$5:$AU$503,22,)/VLOOKUP($D48,$C$5:$AU$503,3,))*$E48)</f>
        <v>0</v>
      </c>
      <c r="Y48" s="66">
        <f>IF(VLOOKUP($D48,$C$5:$AU$503,3,)=0,0,(VLOOKUP($D48,$C$5:$AU$503,23,)/VLOOKUP($D48,$C$5:$AU$503,3,))*$E48)</f>
        <v>0</v>
      </c>
      <c r="Z48" s="66">
        <f>IF(VLOOKUP($D48,$C$5:$AU$503,3,)=0,0,(VLOOKUP($D48,$C$5:$AU$503,24,)/VLOOKUP($D48,$C$5:$AU$503,3,))*$E48)</f>
        <v>0</v>
      </c>
      <c r="AA48" s="66">
        <f>IF(VLOOKUP($D48,$C$5:$AU$503,3,)=0,0,(VLOOKUP($D48,$C$5:$AU$503,25,)/VLOOKUP($D48,$C$5:$AU$503,3,))*$E48)</f>
        <v>0</v>
      </c>
      <c r="AB48" s="66">
        <f>IF(VLOOKUP($D48,$C$5:$AU$503,3,)=0,0,(VLOOKUP($D48,$C$5:$AU$503,26,)/VLOOKUP($D48,$C$5:$AU$503,3,))*$E48)</f>
        <v>0</v>
      </c>
      <c r="AC48" s="66">
        <f>IF(VLOOKUP($D48,$C$5:$AU$503,3,)=0,0,(VLOOKUP($D48,$C$5:$AU$503,27,)/VLOOKUP($D48,$C$5:$AU$503,3,))*$E48)</f>
        <v>0</v>
      </c>
      <c r="AD48" s="66">
        <f>IF(VLOOKUP($D48,$C$5:$AU$503,3,)=0,0,(VLOOKUP($D48,$C$5:$AU$503,28,)/VLOOKUP($D48,$C$5:$AU$503,3,))*$E48)</f>
        <v>0</v>
      </c>
      <c r="AE48" s="66">
        <f>IF(VLOOKUP($D48,$C$5:$AU$503,3,)=0,0,(VLOOKUP($D48,$C$5:$AU$503,29,)/VLOOKUP($D48,$C$5:$AU$503,3,))*$E48)</f>
        <v>0</v>
      </c>
      <c r="AF48" s="66">
        <f>IF(VLOOKUP($D48,$C$5:$AU$503,3,)=0,0,(VLOOKUP($D48,$C$5:$AU$503,30,)/VLOOKUP($D48,$C$5:$AU$503,3,))*$E48)</f>
        <v>0</v>
      </c>
      <c r="AG48" s="93">
        <f>SUM(F48:AF48)</f>
        <v>0</v>
      </c>
      <c r="AH48" s="30" t="str">
        <f>IF(ABS(E48-AG48)&lt;0.01,"ok","err")</f>
        <v>ok</v>
      </c>
    </row>
    <row r="49" spans="1:34" x14ac:dyDescent="0.2">
      <c r="A49" s="14" t="s">
        <v>215</v>
      </c>
      <c r="C49" s="14" t="s">
        <v>239</v>
      </c>
      <c r="E49" s="234">
        <f t="shared" ref="E49:T49" si="8">E47+E48</f>
        <v>0</v>
      </c>
      <c r="F49" s="66">
        <f t="shared" si="8"/>
        <v>0</v>
      </c>
      <c r="G49" s="66">
        <f t="shared" si="8"/>
        <v>0</v>
      </c>
      <c r="H49" s="66">
        <f t="shared" si="8"/>
        <v>0</v>
      </c>
      <c r="I49" s="66">
        <f t="shared" si="8"/>
        <v>0</v>
      </c>
      <c r="J49" s="66">
        <f t="shared" si="8"/>
        <v>0</v>
      </c>
      <c r="K49" s="66">
        <f t="shared" si="8"/>
        <v>0</v>
      </c>
      <c r="L49" s="66">
        <f t="shared" si="8"/>
        <v>0</v>
      </c>
      <c r="M49" s="66">
        <f t="shared" si="8"/>
        <v>0</v>
      </c>
      <c r="N49" s="66">
        <f t="shared" si="8"/>
        <v>0</v>
      </c>
      <c r="O49" s="66">
        <f t="shared" si="8"/>
        <v>0</v>
      </c>
      <c r="P49" s="66">
        <f t="shared" si="8"/>
        <v>0</v>
      </c>
      <c r="Q49" s="66">
        <f t="shared" si="8"/>
        <v>0</v>
      </c>
      <c r="R49" s="66">
        <f t="shared" si="8"/>
        <v>0</v>
      </c>
      <c r="S49" s="66">
        <f t="shared" si="8"/>
        <v>0</v>
      </c>
      <c r="T49" s="66">
        <f t="shared" si="8"/>
        <v>0</v>
      </c>
      <c r="U49" s="66">
        <f t="shared" ref="U49:AF49" si="9">U47+U48</f>
        <v>0</v>
      </c>
      <c r="V49" s="66">
        <f t="shared" si="9"/>
        <v>0</v>
      </c>
      <c r="W49" s="66">
        <f t="shared" si="9"/>
        <v>0</v>
      </c>
      <c r="X49" s="66">
        <f t="shared" si="9"/>
        <v>0</v>
      </c>
      <c r="Y49" s="66">
        <f t="shared" si="9"/>
        <v>0</v>
      </c>
      <c r="Z49" s="66">
        <f t="shared" si="9"/>
        <v>0</v>
      </c>
      <c r="AA49" s="66">
        <f t="shared" si="9"/>
        <v>0</v>
      </c>
      <c r="AB49" s="66">
        <f t="shared" si="9"/>
        <v>0</v>
      </c>
      <c r="AC49" s="66">
        <f t="shared" si="9"/>
        <v>0</v>
      </c>
      <c r="AD49" s="66">
        <f t="shared" si="9"/>
        <v>0</v>
      </c>
      <c r="AE49" s="66">
        <f t="shared" si="9"/>
        <v>0</v>
      </c>
      <c r="AF49" s="66">
        <f t="shared" si="9"/>
        <v>0</v>
      </c>
      <c r="AG49" s="93">
        <f>SUM(F49:AF49)</f>
        <v>0</v>
      </c>
      <c r="AH49" s="30" t="str">
        <f>IF(ABS(E49-AG49)&lt;0.01,"ok","err")</f>
        <v>ok</v>
      </c>
    </row>
    <row r="50" spans="1:34" x14ac:dyDescent="0.2">
      <c r="E50" s="234"/>
      <c r="F50" s="50"/>
    </row>
    <row r="51" spans="1:34" x14ac:dyDescent="0.2">
      <c r="A51" s="13" t="s">
        <v>350</v>
      </c>
      <c r="E51" s="234"/>
      <c r="F51" s="50"/>
    </row>
    <row r="52" spans="1:34" x14ac:dyDescent="0.2">
      <c r="A52" s="96" t="s">
        <v>209</v>
      </c>
      <c r="C52" s="14" t="s">
        <v>882</v>
      </c>
      <c r="D52" s="14" t="s">
        <v>597</v>
      </c>
      <c r="E52" s="233">
        <f>'Func &amp; Classif'!K126</f>
        <v>0</v>
      </c>
      <c r="F52" s="66">
        <f>IF(VLOOKUP($D52,$C$5:$AU$503,3,)=0,0,(VLOOKUP($D52,$C$5:$AU$503,4,)/VLOOKUP($D52,$C$5:$AU$503,3,))*$E52)</f>
        <v>0</v>
      </c>
      <c r="G52" s="66">
        <f>IF(VLOOKUP($D52,$C$5:$AU$503,3,)=0,0,(VLOOKUP($D52,$C$5:$AU$503,5,)/VLOOKUP($D52,$C$5:$AU$503,3,))*$E52)</f>
        <v>0</v>
      </c>
      <c r="H52" s="66">
        <f>IF(VLOOKUP($D52,$C$5:$AU$503,3,)=0,0,(VLOOKUP($D52,$C$5:$AU$503,6,)/VLOOKUP($D52,$C$5:$AU$503,3,))*$E52)</f>
        <v>0</v>
      </c>
      <c r="I52" s="66">
        <f>IF(VLOOKUP($D52,$C$5:$AU$503,3,)=0,0,(VLOOKUP($D52,$C$5:$AU$503,7,)/VLOOKUP($D52,$C$5:$AU$503,3,))*$E52)</f>
        <v>0</v>
      </c>
      <c r="J52" s="66">
        <f>IF(VLOOKUP($D52,$C$5:$AU$503,3,)=0,0,(VLOOKUP($D52,$C$5:$AU$503,8,)/VLOOKUP($D52,$C$5:$AU$503,3,))*$E52)</f>
        <v>0</v>
      </c>
      <c r="K52" s="66">
        <f>IF(VLOOKUP($D52,$C$5:$AU$503,3,)=0,0,(VLOOKUP($D52,$C$5:$AU$503,9,)/VLOOKUP($D52,$C$5:$AU$503,3,))*$E52)</f>
        <v>0</v>
      </c>
      <c r="L52" s="66">
        <f>IF(VLOOKUP($D52,$C$5:$AU$503,3,)=0,0,(VLOOKUP($D52,$C$5:$AU$503,10,)/VLOOKUP($D52,$C$5:$AU$503,3,))*$E52)</f>
        <v>0</v>
      </c>
      <c r="M52" s="66">
        <f>IF(VLOOKUP($D52,$C$5:$AU$503,3,)=0,0,(VLOOKUP($D52,$C$5:$AU$503,11,)/VLOOKUP($D52,$C$5:$AU$503,3,))*$E52)</f>
        <v>0</v>
      </c>
      <c r="N52" s="66">
        <f>IF(VLOOKUP($D52,$C$5:$AU$503,3,)=0,0,(VLOOKUP($D52,$C$5:$AU$503,12,)/VLOOKUP($D52,$C$5:$AU$503,3,))*$E52)</f>
        <v>0</v>
      </c>
      <c r="O52" s="66">
        <f>IF(VLOOKUP($D52,$C$5:$AU$503,3,)=0,0,(VLOOKUP($D52,$C$5:$AU$503,13,)/VLOOKUP($D52,$C$5:$AU$503,3,))*$E52)</f>
        <v>0</v>
      </c>
      <c r="P52" s="66">
        <f>IF(VLOOKUP($D52,$C$5:$AU$503,3,)=0,0,(VLOOKUP($D52,$C$5:$AU$503,14,)/VLOOKUP($D52,$C$5:$AU$503,3,))*$E52)</f>
        <v>0</v>
      </c>
      <c r="Q52" s="66">
        <f>IF(VLOOKUP($D52,$C$5:$AU$503,3,)=0,0,(VLOOKUP($D52,$C$5:$AU$503,15,)/VLOOKUP($D52,$C$5:$AU$503,3,))*$E52)</f>
        <v>0</v>
      </c>
      <c r="R52" s="66">
        <f>IF(VLOOKUP($D52,$C$5:$AU$503,3,)=0,0,(VLOOKUP($D52,$C$5:$AU$503,16,)/VLOOKUP($D52,$C$5:$AU$503,3,))*$E52)</f>
        <v>0</v>
      </c>
      <c r="S52" s="66">
        <f>IF(VLOOKUP($D52,$C$5:$AU$503,3,)=0,0,(VLOOKUP($D52,$C$5:$AU$503,17,)/VLOOKUP($D52,$C$5:$AU$503,3,))*$E52)</f>
        <v>0</v>
      </c>
      <c r="T52" s="66">
        <f>IF(VLOOKUP($D52,$C$5:$AU$503,3,)=0,0,(VLOOKUP($D52,$C$5:$AU$503,18,)/VLOOKUP($D52,$C$5:$AU$503,3,))*$E52)</f>
        <v>0</v>
      </c>
      <c r="U52" s="66">
        <f>IF(VLOOKUP($D52,$C$5:$AU$503,3,)=0,0,(VLOOKUP($D52,$C$5:$AU$503,19,)/VLOOKUP($D52,$C$5:$AU$503,3,))*$E52)</f>
        <v>0</v>
      </c>
      <c r="V52" s="66">
        <f>IF(VLOOKUP($D52,$C$5:$AU$503,3,)=0,0,(VLOOKUP($D52,$C$5:$AU$503,20,)/VLOOKUP($D52,$C$5:$AU$503,3,))*$E52)</f>
        <v>0</v>
      </c>
      <c r="W52" s="66">
        <f>IF(VLOOKUP($D52,$C$5:$AU$503,3,)=0,0,(VLOOKUP($D52,$C$5:$AU$503,21,)/VLOOKUP($D52,$C$5:$AU$503,3,))*$E52)</f>
        <v>0</v>
      </c>
      <c r="X52" s="66">
        <f>IF(VLOOKUP($D52,$C$5:$AU$503,3,)=0,0,(VLOOKUP($D52,$C$5:$AU$503,22,)/VLOOKUP($D52,$C$5:$AU$503,3,))*$E52)</f>
        <v>0</v>
      </c>
      <c r="Y52" s="66">
        <f>IF(VLOOKUP($D52,$C$5:$AU$503,3,)=0,0,(VLOOKUP($D52,$C$5:$AU$503,23,)/VLOOKUP($D52,$C$5:$AU$503,3,))*$E52)</f>
        <v>0</v>
      </c>
      <c r="Z52" s="66">
        <f>IF(VLOOKUP($D52,$C$5:$AU$503,3,)=0,0,(VLOOKUP($D52,$C$5:$AU$503,24,)/VLOOKUP($D52,$C$5:$AU$503,3,))*$E52)</f>
        <v>0</v>
      </c>
      <c r="AA52" s="66">
        <f>IF(VLOOKUP($D52,$C$5:$AU$503,3,)=0,0,(VLOOKUP($D52,$C$5:$AU$503,25,)/VLOOKUP($D52,$C$5:$AU$503,3,))*$E52)</f>
        <v>0</v>
      </c>
      <c r="AB52" s="66">
        <f>IF(VLOOKUP($D52,$C$5:$AU$503,3,)=0,0,(VLOOKUP($D52,$C$5:$AU$503,26,)/VLOOKUP($D52,$C$5:$AU$503,3,))*$E52)</f>
        <v>0</v>
      </c>
      <c r="AC52" s="66">
        <f>IF(VLOOKUP($D52,$C$5:$AU$503,3,)=0,0,(VLOOKUP($D52,$C$5:$AU$503,27,)/VLOOKUP($D52,$C$5:$AU$503,3,))*$E52)</f>
        <v>0</v>
      </c>
      <c r="AD52" s="66">
        <f>IF(VLOOKUP($D52,$C$5:$AU$503,3,)=0,0,(VLOOKUP($D52,$C$5:$AU$503,28,)/VLOOKUP($D52,$C$5:$AU$503,3,))*$E52)</f>
        <v>0</v>
      </c>
      <c r="AE52" s="66">
        <f>IF(VLOOKUP($D52,$C$5:$AU$503,3,)=0,0,(VLOOKUP($D52,$C$5:$AU$503,29,)/VLOOKUP($D52,$C$5:$AU$503,3,))*$E52)</f>
        <v>0</v>
      </c>
      <c r="AF52" s="66">
        <f>IF(VLOOKUP($D52,$C$5:$AU$503,3,)=0,0,(VLOOKUP($D52,$C$5:$AU$503,30,)/VLOOKUP($D52,$C$5:$AU$503,3,))*$E52)</f>
        <v>0</v>
      </c>
      <c r="AG52" s="93">
        <f>SUM(F52:AF52)</f>
        <v>0</v>
      </c>
      <c r="AH52" s="30" t="str">
        <f>IF(ABS(E52-AG52)&lt;0.01,"ok","err")</f>
        <v>ok</v>
      </c>
    </row>
    <row r="53" spans="1:34" x14ac:dyDescent="0.2">
      <c r="E53" s="234"/>
    </row>
    <row r="54" spans="1:34" x14ac:dyDescent="0.2">
      <c r="A54" s="13" t="s">
        <v>1</v>
      </c>
      <c r="E54" s="234"/>
      <c r="F54" s="50"/>
    </row>
    <row r="55" spans="1:34" x14ac:dyDescent="0.2">
      <c r="A55" s="96" t="s">
        <v>209</v>
      </c>
      <c r="C55" s="14" t="s">
        <v>240</v>
      </c>
      <c r="D55" s="14" t="s">
        <v>613</v>
      </c>
      <c r="E55" s="233">
        <f>'Func &amp; Classif'!M126</f>
        <v>806074.03403676604</v>
      </c>
      <c r="F55" s="66">
        <f>IF(VLOOKUP($D55,$C$5:$AU$503,3,)=0,0,(VLOOKUP($D55,$C$5:$AU$503,4,)/VLOOKUP($D55,$C$5:$AU$503,3,))*$E55)</f>
        <v>617063.5880423456</v>
      </c>
      <c r="G55" s="66">
        <f>IF(VLOOKUP($D55,$C$5:$AU$503,3,)=0,0,(VLOOKUP($D55,$C$5:$AU$503,5,)/VLOOKUP($D55,$C$5:$AU$503,3,))*$E55)</f>
        <v>0</v>
      </c>
      <c r="H55" s="66">
        <f>IF(VLOOKUP($D55,$C$5:$AU$503,3,)=0,0,(VLOOKUP($D55,$C$5:$AU$503,6,)/VLOOKUP($D55,$C$5:$AU$503,3,))*$E55)</f>
        <v>97856.46262358618</v>
      </c>
      <c r="I55" s="66">
        <f>IF(VLOOKUP($D55,$C$5:$AU$503,3,)=0,0,(VLOOKUP($D55,$C$5:$AU$503,7,)/VLOOKUP($D55,$C$5:$AU$503,3,))*$E55)</f>
        <v>3499.8722300543218</v>
      </c>
      <c r="J55" s="66">
        <f>IF(VLOOKUP($D55,$C$5:$AU$503,3,)=0,0,(VLOOKUP($D55,$C$5:$AU$503,8,)/VLOOKUP($D55,$C$5:$AU$503,3,))*$E55)</f>
        <v>31357.858765845747</v>
      </c>
      <c r="K55" s="66">
        <f>IF(VLOOKUP($D55,$C$5:$AU$503,3,)=0,0,(VLOOKUP($D55,$C$5:$AU$503,9,)/VLOOKUP($D55,$C$5:$AU$503,3,))*$E55)</f>
        <v>39957.346792429707</v>
      </c>
      <c r="L55" s="66">
        <f>IF(VLOOKUP($D55,$C$5:$AU$503,3,)=0,0,(VLOOKUP($D55,$C$5:$AU$503,10,)/VLOOKUP($D55,$C$5:$AU$503,3,))*$E55)</f>
        <v>6169.0224722520861</v>
      </c>
      <c r="M55" s="66">
        <f>IF(VLOOKUP($D55,$C$5:$AU$503,3,)=0,0,(VLOOKUP($D55,$C$5:$AU$503,11,)/VLOOKUP($D55,$C$5:$AU$503,3,))*$E55)</f>
        <v>5456.1533509519077</v>
      </c>
      <c r="N55" s="66">
        <f>IF(VLOOKUP($D55,$C$5:$AU$503,3,)=0,0,(VLOOKUP($D55,$C$5:$AU$503,12,)/VLOOKUP($D55,$C$5:$AU$503,3,))*$E55)</f>
        <v>4713.7297593004341</v>
      </c>
      <c r="O55" s="66">
        <f>IF(VLOOKUP($D55,$C$5:$AU$503,3,)=0,0,(VLOOKUP($D55,$C$5:$AU$503,13,)/VLOOKUP($D55,$C$5:$AU$503,3,))*$E55)</f>
        <v>0</v>
      </c>
      <c r="P55" s="66">
        <f>IF(VLOOKUP($D55,$C$5:$AU$503,3,)=0,0,(VLOOKUP($D55,$C$5:$AU$503,14,)/VLOOKUP($D55,$C$5:$AU$503,3,))*$E55)</f>
        <v>0</v>
      </c>
      <c r="Q55" s="66">
        <f>IF(VLOOKUP($D55,$C$5:$AU$503,3,)=0,0,(VLOOKUP($D55,$C$5:$AU$503,15,)/VLOOKUP($D55,$C$5:$AU$503,3,))*$E55)</f>
        <v>0</v>
      </c>
      <c r="R55" s="66">
        <f>IF(VLOOKUP($D55,$C$5:$AU$503,3,)=0,0,(VLOOKUP($D55,$C$5:$AU$503,16,)/VLOOKUP($D55,$C$5:$AU$503,3,))*$E55)</f>
        <v>0</v>
      </c>
      <c r="S55" s="66">
        <f>IF(VLOOKUP($D55,$C$5:$AU$503,3,)=0,0,(VLOOKUP($D55,$C$5:$AU$503,17,)/VLOOKUP($D55,$C$5:$AU$503,3,))*$E55)</f>
        <v>0</v>
      </c>
      <c r="T55" s="66">
        <f>IF(VLOOKUP($D55,$C$5:$AU$503,3,)=0,0,(VLOOKUP($D55,$C$5:$AU$503,18,)/VLOOKUP($D55,$C$5:$AU$503,3,))*$E55)</f>
        <v>0</v>
      </c>
      <c r="U55" s="66">
        <f>IF(VLOOKUP($D55,$C$5:$AU$503,3,)=0,0,(VLOOKUP($D55,$C$5:$AU$503,19,)/VLOOKUP($D55,$C$5:$AU$503,3,))*$E55)</f>
        <v>0</v>
      </c>
      <c r="V55" s="66">
        <f>IF(VLOOKUP($D55,$C$5:$AU$503,3,)=0,0,(VLOOKUP($D55,$C$5:$AU$503,20,)/VLOOKUP($D55,$C$5:$AU$503,3,))*$E55)</f>
        <v>0</v>
      </c>
      <c r="W55" s="66">
        <f>IF(VLOOKUP($D55,$C$5:$AU$503,3,)=0,0,(VLOOKUP($D55,$C$5:$AU$503,21,)/VLOOKUP($D55,$C$5:$AU$503,3,))*$E55)</f>
        <v>0</v>
      </c>
      <c r="X55" s="66">
        <f>IF(VLOOKUP($D55,$C$5:$AU$503,3,)=0,0,(VLOOKUP($D55,$C$5:$AU$503,22,)/VLOOKUP($D55,$C$5:$AU$503,3,))*$E55)</f>
        <v>0</v>
      </c>
      <c r="Y55" s="66">
        <f>IF(VLOOKUP($D55,$C$5:$AU$503,3,)=0,0,(VLOOKUP($D55,$C$5:$AU$503,23,)/VLOOKUP($D55,$C$5:$AU$503,3,))*$E55)</f>
        <v>0</v>
      </c>
      <c r="Z55" s="66">
        <f>IF(VLOOKUP($D55,$C$5:$AU$503,3,)=0,0,(VLOOKUP($D55,$C$5:$AU$503,24,)/VLOOKUP($D55,$C$5:$AU$503,3,))*$E55)</f>
        <v>0</v>
      </c>
      <c r="AA55" s="66">
        <f>IF(VLOOKUP($D55,$C$5:$AU$503,3,)=0,0,(VLOOKUP($D55,$C$5:$AU$503,25,)/VLOOKUP($D55,$C$5:$AU$503,3,))*$E55)</f>
        <v>0</v>
      </c>
      <c r="AB55" s="66">
        <f>IF(VLOOKUP($D55,$C$5:$AU$503,3,)=0,0,(VLOOKUP($D55,$C$5:$AU$503,26,)/VLOOKUP($D55,$C$5:$AU$503,3,))*$E55)</f>
        <v>0</v>
      </c>
      <c r="AC55" s="66">
        <f>IF(VLOOKUP($D55,$C$5:$AU$503,3,)=0,0,(VLOOKUP($D55,$C$5:$AU$503,27,)/VLOOKUP($D55,$C$5:$AU$503,3,))*$E55)</f>
        <v>0</v>
      </c>
      <c r="AD55" s="66">
        <f>IF(VLOOKUP($D55,$C$5:$AU$503,3,)=0,0,(VLOOKUP($D55,$C$5:$AU$503,28,)/VLOOKUP($D55,$C$5:$AU$503,3,))*$E55)</f>
        <v>0</v>
      </c>
      <c r="AE55" s="66">
        <f>IF(VLOOKUP($D55,$C$5:$AU$503,3,)=0,0,(VLOOKUP($D55,$C$5:$AU$503,29,)/VLOOKUP($D55,$C$5:$AU$503,3,))*$E55)</f>
        <v>0</v>
      </c>
      <c r="AF55" s="66">
        <f>IF(VLOOKUP($D55,$C$5:$AU$503,3,)=0,0,(VLOOKUP($D55,$C$5:$AU$503,30,)/VLOOKUP($D55,$C$5:$AU$503,3,))*$E55)</f>
        <v>0</v>
      </c>
      <c r="AG55" s="93">
        <f>SUM(F55:AF55)</f>
        <v>806074.03403676616</v>
      </c>
      <c r="AH55" s="30" t="str">
        <f>IF(ABS(E55-AG55)&lt;0.01,"ok","err")</f>
        <v>ok</v>
      </c>
    </row>
    <row r="56" spans="1:34" x14ac:dyDescent="0.2">
      <c r="E56" s="234"/>
    </row>
    <row r="57" spans="1:34" x14ac:dyDescent="0.2">
      <c r="A57" s="13" t="s">
        <v>2</v>
      </c>
      <c r="E57" s="234"/>
    </row>
    <row r="58" spans="1:34" x14ac:dyDescent="0.2">
      <c r="A58" s="96" t="s">
        <v>209</v>
      </c>
      <c r="C58" s="14" t="s">
        <v>241</v>
      </c>
      <c r="D58" s="14" t="s">
        <v>605</v>
      </c>
      <c r="E58" s="233">
        <f>'Func &amp; Classif'!O126</f>
        <v>106509472.0173566</v>
      </c>
      <c r="F58" s="66">
        <f>IF(VLOOKUP($D58,$C$5:$AU$503,3,)=0,0,(VLOOKUP($D58,$C$5:$AU$503,4,)/VLOOKUP($D58,$C$5:$AU$503,3,))*$E58)</f>
        <v>84299814.108226284</v>
      </c>
      <c r="G58" s="66">
        <f>IF(VLOOKUP($D58,$C$5:$AU$503,3,)=0,0,(VLOOKUP($D58,$C$5:$AU$503,5,)/VLOOKUP($D58,$C$5:$AU$503,3,))*$E58)</f>
        <v>6009498.3928710064</v>
      </c>
      <c r="H58" s="66">
        <f>IF(VLOOKUP($D58,$C$5:$AU$503,3,)=0,0,(VLOOKUP($D58,$C$5:$AU$503,6,)/VLOOKUP($D58,$C$5:$AU$503,3,))*$E58)</f>
        <v>8747006.4710150175</v>
      </c>
      <c r="I58" s="66">
        <f>IF(VLOOKUP($D58,$C$5:$AU$503,3,)=0,0,(VLOOKUP($D58,$C$5:$AU$503,7,)/VLOOKUP($D58,$C$5:$AU$503,3,))*$E58)</f>
        <v>300427.52743521996</v>
      </c>
      <c r="J58" s="66">
        <f>IF(VLOOKUP($D58,$C$5:$AU$503,3,)=0,0,(VLOOKUP($D58,$C$5:$AU$503,8,)/VLOOKUP($D58,$C$5:$AU$503,3,))*$E58)</f>
        <v>2389322.9168207594</v>
      </c>
      <c r="K58" s="66">
        <f>IF(VLOOKUP($D58,$C$5:$AU$503,3,)=0,0,(VLOOKUP($D58,$C$5:$AU$503,9,)/VLOOKUP($D58,$C$5:$AU$503,3,))*$E58)</f>
        <v>2587667.3518663305</v>
      </c>
      <c r="L58" s="66">
        <f>IF(VLOOKUP($D58,$C$5:$AU$503,3,)=0,0,(VLOOKUP($D58,$C$5:$AU$503,10,)/VLOOKUP($D58,$C$5:$AU$503,3,))*$E58)</f>
        <v>970617.33746349625</v>
      </c>
      <c r="M58" s="66">
        <f>IF(VLOOKUP($D58,$C$5:$AU$503,3,)=0,0,(VLOOKUP($D58,$C$5:$AU$503,11,)/VLOOKUP($D58,$C$5:$AU$503,3,))*$E58)</f>
        <v>682942.18816078198</v>
      </c>
      <c r="N58" s="66">
        <f>IF(VLOOKUP($D58,$C$5:$AU$503,3,)=0,0,(VLOOKUP($D58,$C$5:$AU$503,12,)/VLOOKUP($D58,$C$5:$AU$503,3,))*$E58)</f>
        <v>522175.72349768569</v>
      </c>
      <c r="O58" s="66">
        <f>IF(VLOOKUP($D58,$C$5:$AU$503,3,)=0,0,(VLOOKUP($D58,$C$5:$AU$503,13,)/VLOOKUP($D58,$C$5:$AU$503,3,))*$E58)</f>
        <v>0</v>
      </c>
      <c r="P58" s="66">
        <f>IF(VLOOKUP($D58,$C$5:$AU$503,3,)=0,0,(VLOOKUP($D58,$C$5:$AU$503,14,)/VLOOKUP($D58,$C$5:$AU$503,3,))*$E58)</f>
        <v>0</v>
      </c>
      <c r="Q58" s="66">
        <f>IF(VLOOKUP($D58,$C$5:$AU$503,3,)=0,0,(VLOOKUP($D58,$C$5:$AU$503,15,)/VLOOKUP($D58,$C$5:$AU$503,3,))*$E58)</f>
        <v>0</v>
      </c>
      <c r="R58" s="66">
        <f>IF(VLOOKUP($D58,$C$5:$AU$503,3,)=0,0,(VLOOKUP($D58,$C$5:$AU$503,16,)/VLOOKUP($D58,$C$5:$AU$503,3,))*$E58)</f>
        <v>0</v>
      </c>
      <c r="S58" s="66">
        <f>IF(VLOOKUP($D58,$C$5:$AU$503,3,)=0,0,(VLOOKUP($D58,$C$5:$AU$503,17,)/VLOOKUP($D58,$C$5:$AU$503,3,))*$E58)</f>
        <v>0</v>
      </c>
      <c r="T58" s="66">
        <f>IF(VLOOKUP($D58,$C$5:$AU$503,3,)=0,0,(VLOOKUP($D58,$C$5:$AU$503,18,)/VLOOKUP($D58,$C$5:$AU$503,3,))*$E58)</f>
        <v>0</v>
      </c>
      <c r="U58" s="66">
        <f>IF(VLOOKUP($D58,$C$5:$AU$503,3,)=0,0,(VLOOKUP($D58,$C$5:$AU$503,19,)/VLOOKUP($D58,$C$5:$AU$503,3,))*$E58)</f>
        <v>0</v>
      </c>
      <c r="V58" s="66">
        <f>IF(VLOOKUP($D58,$C$5:$AU$503,3,)=0,0,(VLOOKUP($D58,$C$5:$AU$503,20,)/VLOOKUP($D58,$C$5:$AU$503,3,))*$E58)</f>
        <v>0</v>
      </c>
      <c r="W58" s="66">
        <f>IF(VLOOKUP($D58,$C$5:$AU$503,3,)=0,0,(VLOOKUP($D58,$C$5:$AU$503,21,)/VLOOKUP($D58,$C$5:$AU$503,3,))*$E58)</f>
        <v>0</v>
      </c>
      <c r="X58" s="66">
        <f>IF(VLOOKUP($D58,$C$5:$AU$503,3,)=0,0,(VLOOKUP($D58,$C$5:$AU$503,22,)/VLOOKUP($D58,$C$5:$AU$503,3,))*$E58)</f>
        <v>0</v>
      </c>
      <c r="Y58" s="66">
        <f>IF(VLOOKUP($D58,$C$5:$AU$503,3,)=0,0,(VLOOKUP($D58,$C$5:$AU$503,23,)/VLOOKUP($D58,$C$5:$AU$503,3,))*$E58)</f>
        <v>0</v>
      </c>
      <c r="Z58" s="66">
        <f>IF(VLOOKUP($D58,$C$5:$AU$503,3,)=0,0,(VLOOKUP($D58,$C$5:$AU$503,24,)/VLOOKUP($D58,$C$5:$AU$503,3,))*$E58)</f>
        <v>0</v>
      </c>
      <c r="AA58" s="66">
        <f>IF(VLOOKUP($D58,$C$5:$AU$503,3,)=0,0,(VLOOKUP($D58,$C$5:$AU$503,25,)/VLOOKUP($D58,$C$5:$AU$503,3,))*$E58)</f>
        <v>0</v>
      </c>
      <c r="AB58" s="66">
        <f>IF(VLOOKUP($D58,$C$5:$AU$503,3,)=0,0,(VLOOKUP($D58,$C$5:$AU$503,26,)/VLOOKUP($D58,$C$5:$AU$503,3,))*$E58)</f>
        <v>0</v>
      </c>
      <c r="AC58" s="66">
        <f>IF(VLOOKUP($D58,$C$5:$AU$503,3,)=0,0,(VLOOKUP($D58,$C$5:$AU$503,27,)/VLOOKUP($D58,$C$5:$AU$503,3,))*$E58)</f>
        <v>0</v>
      </c>
      <c r="AD58" s="66">
        <f>IF(VLOOKUP($D58,$C$5:$AU$503,3,)=0,0,(VLOOKUP($D58,$C$5:$AU$503,28,)/VLOOKUP($D58,$C$5:$AU$503,3,))*$E58)</f>
        <v>0</v>
      </c>
      <c r="AE58" s="66">
        <f>IF(VLOOKUP($D58,$C$5:$AU$503,3,)=0,0,(VLOOKUP($D58,$C$5:$AU$503,29,)/VLOOKUP($D58,$C$5:$AU$503,3,))*$E58)</f>
        <v>0</v>
      </c>
      <c r="AF58" s="66">
        <f>IF(VLOOKUP($D58,$C$5:$AU$503,3,)=0,0,(VLOOKUP($D58,$C$5:$AU$503,30,)/VLOOKUP($D58,$C$5:$AU$503,3,))*$E58)</f>
        <v>0</v>
      </c>
      <c r="AG58" s="93">
        <f>SUM(F58:AF58)</f>
        <v>106509472.01735659</v>
      </c>
      <c r="AH58" s="30" t="str">
        <f>IF(ABS(E58-AG58)&lt;0.01,"ok","err")</f>
        <v>ok</v>
      </c>
    </row>
    <row r="59" spans="1:34" x14ac:dyDescent="0.2">
      <c r="A59" s="96" t="s">
        <v>221</v>
      </c>
      <c r="C59" s="14" t="s">
        <v>242</v>
      </c>
      <c r="D59" s="14" t="s">
        <v>223</v>
      </c>
      <c r="E59" s="234">
        <f>'Func &amp; Classif'!P126</f>
        <v>59947743.597851135</v>
      </c>
      <c r="F59" s="66">
        <f>IF(VLOOKUP($D59,$C$5:$AU$503,3,)=0,0,(VLOOKUP($D59,$C$5:$AU$503,4,)/VLOOKUP($D59,$C$5:$AU$503,3,))*$E59)</f>
        <v>55267773.523362868</v>
      </c>
      <c r="G59" s="66">
        <f>IF(VLOOKUP($D59,$C$5:$AU$503,3,)=0,0,(VLOOKUP($D59,$C$5:$AU$503,5,)/VLOOKUP($D59,$C$5:$AU$503,3,))*$E59)</f>
        <v>4136872.9126256197</v>
      </c>
      <c r="H59" s="66">
        <f>IF(VLOOKUP($D59,$C$5:$AU$503,3,)=0,0,(VLOOKUP($D59,$C$5:$AU$503,6,)/VLOOKUP($D59,$C$5:$AU$503,3,))*$E59)</f>
        <v>378470.83467303106</v>
      </c>
      <c r="I59" s="66">
        <f>IF(VLOOKUP($D59,$C$5:$AU$503,3,)=0,0,(VLOOKUP($D59,$C$5:$AU$503,7,)/VLOOKUP($D59,$C$5:$AU$503,3,))*$E59)</f>
        <v>848.58931541038351</v>
      </c>
      <c r="J59" s="66">
        <f>IF(VLOOKUP($D59,$C$5:$AU$503,3,)=0,0,(VLOOKUP($D59,$C$5:$AU$503,8,)/VLOOKUP($D59,$C$5:$AU$503,3,))*$E59)</f>
        <v>1697.178630820767</v>
      </c>
      <c r="K59" s="66">
        <f>IF(VLOOKUP($D59,$C$5:$AU$503,3,)=0,0,(VLOOKUP($D59,$C$5:$AU$503,9,)/VLOOKUP($D59,$C$5:$AU$503,3,))*$E59)</f>
        <v>7637.3038386934522</v>
      </c>
      <c r="L59" s="66">
        <f>IF(VLOOKUP($D59,$C$5:$AU$503,3,)=0,0,(VLOOKUP($D59,$C$5:$AU$503,10,)/VLOOKUP($D59,$C$5:$AU$503,3,))*$E59)</f>
        <v>120499.68278827447</v>
      </c>
      <c r="M59" s="66">
        <f>IF(VLOOKUP($D59,$C$5:$AU$503,3,)=0,0,(VLOOKUP($D59,$C$5:$AU$503,11,)/VLOOKUP($D59,$C$5:$AU$503,3,))*$E59)</f>
        <v>14426.018361976519</v>
      </c>
      <c r="N59" s="66">
        <f>IF(VLOOKUP($D59,$C$5:$AU$503,3,)=0,0,(VLOOKUP($D59,$C$5:$AU$503,12,)/VLOOKUP($D59,$C$5:$AU$503,3,))*$E59)</f>
        <v>19517.554254438823</v>
      </c>
      <c r="O59" s="66">
        <f>IF(VLOOKUP($D59,$C$5:$AU$503,3,)=0,0,(VLOOKUP($D59,$C$5:$AU$503,13,)/VLOOKUP($D59,$C$5:$AU$503,3,))*$E59)</f>
        <v>0</v>
      </c>
      <c r="P59" s="66">
        <f>IF(VLOOKUP($D59,$C$5:$AU$503,3,)=0,0,(VLOOKUP($D59,$C$5:$AU$503,14,)/VLOOKUP($D59,$C$5:$AU$503,3,))*$E59)</f>
        <v>0</v>
      </c>
      <c r="Q59" s="66">
        <f>IF(VLOOKUP($D59,$C$5:$AU$503,3,)=0,0,(VLOOKUP($D59,$C$5:$AU$503,15,)/VLOOKUP($D59,$C$5:$AU$503,3,))*$E59)</f>
        <v>0</v>
      </c>
      <c r="R59" s="66">
        <f>IF(VLOOKUP($D59,$C$5:$AU$503,3,)=0,0,(VLOOKUP($D59,$C$5:$AU$503,16,)/VLOOKUP($D59,$C$5:$AU$503,3,))*$E59)</f>
        <v>0</v>
      </c>
      <c r="S59" s="66">
        <f>IF(VLOOKUP($D59,$C$5:$AU$503,3,)=0,0,(VLOOKUP($D59,$C$5:$AU$503,17,)/VLOOKUP($D59,$C$5:$AU$503,3,))*$E59)</f>
        <v>0</v>
      </c>
      <c r="T59" s="66">
        <f>IF(VLOOKUP($D59,$C$5:$AU$503,3,)=0,0,(VLOOKUP($D59,$C$5:$AU$503,18,)/VLOOKUP($D59,$C$5:$AU$503,3,))*$E59)</f>
        <v>0</v>
      </c>
      <c r="U59" s="66">
        <f>IF(VLOOKUP($D59,$C$5:$AU$503,3,)=0,0,(VLOOKUP($D59,$C$5:$AU$503,19,)/VLOOKUP($D59,$C$5:$AU$503,3,))*$E59)</f>
        <v>0</v>
      </c>
      <c r="V59" s="66">
        <f>IF(VLOOKUP($D59,$C$5:$AU$503,3,)=0,0,(VLOOKUP($D59,$C$5:$AU$503,20,)/VLOOKUP($D59,$C$5:$AU$503,3,))*$E59)</f>
        <v>0</v>
      </c>
      <c r="W59" s="66">
        <f>IF(VLOOKUP($D59,$C$5:$AU$503,3,)=0,0,(VLOOKUP($D59,$C$5:$AU$503,21,)/VLOOKUP($D59,$C$5:$AU$503,3,))*$E59)</f>
        <v>0</v>
      </c>
      <c r="X59" s="66">
        <f>IF(VLOOKUP($D59,$C$5:$AU$503,3,)=0,0,(VLOOKUP($D59,$C$5:$AU$503,22,)/VLOOKUP($D59,$C$5:$AU$503,3,))*$E59)</f>
        <v>0</v>
      </c>
      <c r="Y59" s="66">
        <f>IF(VLOOKUP($D59,$C$5:$AU$503,3,)=0,0,(VLOOKUP($D59,$C$5:$AU$503,23,)/VLOOKUP($D59,$C$5:$AU$503,3,))*$E59)</f>
        <v>0</v>
      </c>
      <c r="Z59" s="66">
        <f>IF(VLOOKUP($D59,$C$5:$AU$503,3,)=0,0,(VLOOKUP($D59,$C$5:$AU$503,24,)/VLOOKUP($D59,$C$5:$AU$503,3,))*$E59)</f>
        <v>0</v>
      </c>
      <c r="AA59" s="66">
        <f>IF(VLOOKUP($D59,$C$5:$AU$503,3,)=0,0,(VLOOKUP($D59,$C$5:$AU$503,25,)/VLOOKUP($D59,$C$5:$AU$503,3,))*$E59)</f>
        <v>0</v>
      </c>
      <c r="AB59" s="66">
        <f>IF(VLOOKUP($D59,$C$5:$AU$503,3,)=0,0,(VLOOKUP($D59,$C$5:$AU$503,26,)/VLOOKUP($D59,$C$5:$AU$503,3,))*$E59)</f>
        <v>0</v>
      </c>
      <c r="AC59" s="66">
        <f>IF(VLOOKUP($D59,$C$5:$AU$503,3,)=0,0,(VLOOKUP($D59,$C$5:$AU$503,27,)/VLOOKUP($D59,$C$5:$AU$503,3,))*$E59)</f>
        <v>0</v>
      </c>
      <c r="AD59" s="66">
        <f>IF(VLOOKUP($D59,$C$5:$AU$503,3,)=0,0,(VLOOKUP($D59,$C$5:$AU$503,28,)/VLOOKUP($D59,$C$5:$AU$503,3,))*$E59)</f>
        <v>0</v>
      </c>
      <c r="AE59" s="66">
        <f>IF(VLOOKUP($D59,$C$5:$AU$503,3,)=0,0,(VLOOKUP($D59,$C$5:$AU$503,29,)/VLOOKUP($D59,$C$5:$AU$503,3,))*$E59)</f>
        <v>0</v>
      </c>
      <c r="AF59" s="66">
        <f>IF(VLOOKUP($D59,$C$5:$AU$503,3,)=0,0,(VLOOKUP($D59,$C$5:$AU$503,30,)/VLOOKUP($D59,$C$5:$AU$503,3,))*$E59)</f>
        <v>0</v>
      </c>
      <c r="AG59" s="93">
        <f>SUM(F59:AF59)</f>
        <v>59947743.597851135</v>
      </c>
      <c r="AH59" s="30" t="str">
        <f>IF(ABS(E59-AG59)&lt;0.01,"ok","err")</f>
        <v>ok</v>
      </c>
    </row>
    <row r="60" spans="1:34" x14ac:dyDescent="0.2">
      <c r="A60" s="14" t="s">
        <v>224</v>
      </c>
      <c r="E60" s="233">
        <f t="shared" ref="E60:T60" si="10">E58+E59</f>
        <v>166457215.61520773</v>
      </c>
      <c r="F60" s="66">
        <f t="shared" si="10"/>
        <v>139567587.63158914</v>
      </c>
      <c r="G60" s="66">
        <f t="shared" si="10"/>
        <v>10146371.305496626</v>
      </c>
      <c r="H60" s="66">
        <f t="shared" si="10"/>
        <v>9125477.3056880478</v>
      </c>
      <c r="I60" s="66">
        <f t="shared" si="10"/>
        <v>301276.11675063038</v>
      </c>
      <c r="J60" s="66">
        <f t="shared" si="10"/>
        <v>2391020.0954515804</v>
      </c>
      <c r="K60" s="66">
        <f t="shared" si="10"/>
        <v>2595304.655705024</v>
      </c>
      <c r="L60" s="66">
        <f t="shared" si="10"/>
        <v>1091117.0202517707</v>
      </c>
      <c r="M60" s="66">
        <f t="shared" si="10"/>
        <v>697368.20652275847</v>
      </c>
      <c r="N60" s="66">
        <f t="shared" si="10"/>
        <v>541693.27775212447</v>
      </c>
      <c r="O60" s="66">
        <f t="shared" si="10"/>
        <v>0</v>
      </c>
      <c r="P60" s="66">
        <f t="shared" si="10"/>
        <v>0</v>
      </c>
      <c r="Q60" s="66">
        <f t="shared" si="10"/>
        <v>0</v>
      </c>
      <c r="R60" s="66">
        <f t="shared" si="10"/>
        <v>0</v>
      </c>
      <c r="S60" s="66">
        <f t="shared" si="10"/>
        <v>0</v>
      </c>
      <c r="T60" s="66">
        <f t="shared" si="10"/>
        <v>0</v>
      </c>
      <c r="U60" s="66">
        <f t="shared" ref="U60:AF60" si="11">U58+U59</f>
        <v>0</v>
      </c>
      <c r="V60" s="66">
        <f t="shared" si="11"/>
        <v>0</v>
      </c>
      <c r="W60" s="66">
        <f t="shared" si="11"/>
        <v>0</v>
      </c>
      <c r="X60" s="66">
        <f t="shared" si="11"/>
        <v>0</v>
      </c>
      <c r="Y60" s="66">
        <f t="shared" si="11"/>
        <v>0</v>
      </c>
      <c r="Z60" s="66">
        <f t="shared" si="11"/>
        <v>0</v>
      </c>
      <c r="AA60" s="66">
        <f t="shared" si="11"/>
        <v>0</v>
      </c>
      <c r="AB60" s="66">
        <f t="shared" si="11"/>
        <v>0</v>
      </c>
      <c r="AC60" s="66">
        <f t="shared" si="11"/>
        <v>0</v>
      </c>
      <c r="AD60" s="66">
        <f t="shared" si="11"/>
        <v>0</v>
      </c>
      <c r="AE60" s="66">
        <f t="shared" si="11"/>
        <v>0</v>
      </c>
      <c r="AF60" s="66">
        <f t="shared" si="11"/>
        <v>0</v>
      </c>
      <c r="AG60" s="93">
        <f>SUM(F60:AF60)</f>
        <v>166457215.61520776</v>
      </c>
      <c r="AH60" s="30" t="str">
        <f>IF(ABS(E60-AG60)&lt;0.01,"ok","err")</f>
        <v>ok</v>
      </c>
    </row>
    <row r="61" spans="1:34" x14ac:dyDescent="0.2">
      <c r="E61" s="234"/>
    </row>
    <row r="62" spans="1:34" x14ac:dyDescent="0.2">
      <c r="A62" s="13" t="s">
        <v>3</v>
      </c>
      <c r="E62" s="234"/>
    </row>
    <row r="63" spans="1:34" x14ac:dyDescent="0.2">
      <c r="A63" s="96" t="s">
        <v>209</v>
      </c>
      <c r="C63" s="14" t="s">
        <v>243</v>
      </c>
      <c r="D63" s="14" t="s">
        <v>617</v>
      </c>
      <c r="E63" s="233">
        <f>'Func &amp; Classif'!R126</f>
        <v>0</v>
      </c>
      <c r="F63" s="66">
        <f>IF(VLOOKUP($D63,$C$5:$AU$503,3,)=0,0,(VLOOKUP($D63,$C$5:$AU$503,4,)/VLOOKUP($D63,$C$5:$AU$503,3,))*$E63)</f>
        <v>0</v>
      </c>
      <c r="G63" s="66">
        <f>IF(VLOOKUP($D63,$C$5:$AU$503,3,)=0,0,(VLOOKUP($D63,$C$5:$AU$503,5,)/VLOOKUP($D63,$C$5:$AU$503,3,))*$E63)</f>
        <v>0</v>
      </c>
      <c r="H63" s="66">
        <f>IF(VLOOKUP($D63,$C$5:$AU$503,3,)=0,0,(VLOOKUP($D63,$C$5:$AU$503,6,)/VLOOKUP($D63,$C$5:$AU$503,3,))*$E63)</f>
        <v>0</v>
      </c>
      <c r="I63" s="66">
        <f>IF(VLOOKUP($D63,$C$5:$AU$503,3,)=0,0,(VLOOKUP($D63,$C$5:$AU$503,7,)/VLOOKUP($D63,$C$5:$AU$503,3,))*$E63)</f>
        <v>0</v>
      </c>
      <c r="J63" s="66">
        <f>IF(VLOOKUP($D63,$C$5:$AU$503,3,)=0,0,(VLOOKUP($D63,$C$5:$AU$503,8,)/VLOOKUP($D63,$C$5:$AU$503,3,))*$E63)</f>
        <v>0</v>
      </c>
      <c r="K63" s="66">
        <f>IF(VLOOKUP($D63,$C$5:$AU$503,3,)=0,0,(VLOOKUP($D63,$C$5:$AU$503,9,)/VLOOKUP($D63,$C$5:$AU$503,3,))*$E63)</f>
        <v>0</v>
      </c>
      <c r="L63" s="66">
        <f>IF(VLOOKUP($D63,$C$5:$AU$503,3,)=0,0,(VLOOKUP($D63,$C$5:$AU$503,10,)/VLOOKUP($D63,$C$5:$AU$503,3,))*$E63)</f>
        <v>0</v>
      </c>
      <c r="M63" s="66">
        <f>IF(VLOOKUP($D63,$C$5:$AU$503,3,)=0,0,(VLOOKUP($D63,$C$5:$AU$503,11,)/VLOOKUP($D63,$C$5:$AU$503,3,))*$E63)</f>
        <v>0</v>
      </c>
      <c r="N63" s="66">
        <f>IF(VLOOKUP($D63,$C$5:$AU$503,3,)=0,0,(VLOOKUP($D63,$C$5:$AU$503,12,)/VLOOKUP($D63,$C$5:$AU$503,3,))*$E63)</f>
        <v>0</v>
      </c>
      <c r="O63" s="66">
        <f>IF(VLOOKUP($D63,$C$5:$AU$503,3,)=0,0,(VLOOKUP($D63,$C$5:$AU$503,13,)/VLOOKUP($D63,$C$5:$AU$503,3,))*$E63)</f>
        <v>0</v>
      </c>
      <c r="P63" s="66">
        <f>IF(VLOOKUP($D63,$C$5:$AU$503,3,)=0,0,(VLOOKUP($D63,$C$5:$AU$503,14,)/VLOOKUP($D63,$C$5:$AU$503,3,))*$E63)</f>
        <v>0</v>
      </c>
      <c r="Q63" s="66">
        <f>IF(VLOOKUP($D63,$C$5:$AU$503,3,)=0,0,(VLOOKUP($D63,$C$5:$AU$503,15,)/VLOOKUP($D63,$C$5:$AU$503,3,))*$E63)</f>
        <v>0</v>
      </c>
      <c r="R63" s="66">
        <f>IF(VLOOKUP($D63,$C$5:$AU$503,3,)=0,0,(VLOOKUP($D63,$C$5:$AU$503,16,)/VLOOKUP($D63,$C$5:$AU$503,3,))*$E63)</f>
        <v>0</v>
      </c>
      <c r="S63" s="66">
        <f>IF(VLOOKUP($D63,$C$5:$AU$503,3,)=0,0,(VLOOKUP($D63,$C$5:$AU$503,17,)/VLOOKUP($D63,$C$5:$AU$503,3,))*$E63)</f>
        <v>0</v>
      </c>
      <c r="T63" s="66">
        <f>IF(VLOOKUP($D63,$C$5:$AU$503,3,)=0,0,(VLOOKUP($D63,$C$5:$AU$503,18,)/VLOOKUP($D63,$C$5:$AU$503,3,))*$E63)</f>
        <v>0</v>
      </c>
      <c r="U63" s="66">
        <f>IF(VLOOKUP($D63,$C$5:$AU$503,3,)=0,0,(VLOOKUP($D63,$C$5:$AU$503,19,)/VLOOKUP($D63,$C$5:$AU$503,3,))*$E63)</f>
        <v>0</v>
      </c>
      <c r="V63" s="66">
        <f>IF(VLOOKUP($D63,$C$5:$AU$503,3,)=0,0,(VLOOKUP($D63,$C$5:$AU$503,20,)/VLOOKUP($D63,$C$5:$AU$503,3,))*$E63)</f>
        <v>0</v>
      </c>
      <c r="W63" s="66">
        <f>IF(VLOOKUP($D63,$C$5:$AU$503,3,)=0,0,(VLOOKUP($D63,$C$5:$AU$503,21,)/VLOOKUP($D63,$C$5:$AU$503,3,))*$E63)</f>
        <v>0</v>
      </c>
      <c r="X63" s="66">
        <f>IF(VLOOKUP($D63,$C$5:$AU$503,3,)=0,0,(VLOOKUP($D63,$C$5:$AU$503,22,)/VLOOKUP($D63,$C$5:$AU$503,3,))*$E63)</f>
        <v>0</v>
      </c>
      <c r="Y63" s="66">
        <f>IF(VLOOKUP($D63,$C$5:$AU$503,3,)=0,0,(VLOOKUP($D63,$C$5:$AU$503,23,)/VLOOKUP($D63,$C$5:$AU$503,3,))*$E63)</f>
        <v>0</v>
      </c>
      <c r="Z63" s="66">
        <f>IF(VLOOKUP($D63,$C$5:$AU$503,3,)=0,0,(VLOOKUP($D63,$C$5:$AU$503,24,)/VLOOKUP($D63,$C$5:$AU$503,3,))*$E63)</f>
        <v>0</v>
      </c>
      <c r="AA63" s="66">
        <f>IF(VLOOKUP($D63,$C$5:$AU$503,3,)=0,0,(VLOOKUP($D63,$C$5:$AU$503,25,)/VLOOKUP($D63,$C$5:$AU$503,3,))*$E63)</f>
        <v>0</v>
      </c>
      <c r="AB63" s="66">
        <f>IF(VLOOKUP($D63,$C$5:$AU$503,3,)=0,0,(VLOOKUP($D63,$C$5:$AU$503,26,)/VLOOKUP($D63,$C$5:$AU$503,3,))*$E63)</f>
        <v>0</v>
      </c>
      <c r="AC63" s="66">
        <f>IF(VLOOKUP($D63,$C$5:$AU$503,3,)=0,0,(VLOOKUP($D63,$C$5:$AU$503,27,)/VLOOKUP($D63,$C$5:$AU$503,3,))*$E63)</f>
        <v>0</v>
      </c>
      <c r="AD63" s="66">
        <f>IF(VLOOKUP($D63,$C$5:$AU$503,3,)=0,0,(VLOOKUP($D63,$C$5:$AU$503,28,)/VLOOKUP($D63,$C$5:$AU$503,3,))*$E63)</f>
        <v>0</v>
      </c>
      <c r="AE63" s="66">
        <f>IF(VLOOKUP($D63,$C$5:$AU$503,3,)=0,0,(VLOOKUP($D63,$C$5:$AU$503,29,)/VLOOKUP($D63,$C$5:$AU$503,3,))*$E63)</f>
        <v>0</v>
      </c>
      <c r="AF63" s="66">
        <f>IF(VLOOKUP($D63,$C$5:$AU$503,3,)=0,0,(VLOOKUP($D63,$C$5:$AU$503,30,)/VLOOKUP($D63,$C$5:$AU$503,3,))*$E63)</f>
        <v>0</v>
      </c>
      <c r="AG63" s="93">
        <f>SUM(F63:AF63)</f>
        <v>0</v>
      </c>
      <c r="AH63" s="30" t="str">
        <f>IF(ABS(E63-AG63)&lt;0.01,"ok","err")</f>
        <v>ok</v>
      </c>
    </row>
    <row r="64" spans="1:34" x14ac:dyDescent="0.2">
      <c r="A64" s="96" t="s">
        <v>221</v>
      </c>
      <c r="C64" s="14" t="s">
        <v>244</v>
      </c>
      <c r="D64" s="14" t="s">
        <v>699</v>
      </c>
      <c r="E64" s="234">
        <f>'Func &amp; Classif'!S126</f>
        <v>27550576.942300171</v>
      </c>
      <c r="F64" s="66">
        <f>IF(VLOOKUP($D64,$C$5:$AU$503,3,)=0,0,(VLOOKUP($D64,$C$5:$AU$503,4,)/VLOOKUP($D64,$C$5:$AU$503,3,))*$E64)</f>
        <v>25323096.855192684</v>
      </c>
      <c r="G64" s="66">
        <f>IF(VLOOKUP($D64,$C$5:$AU$503,3,)=0,0,(VLOOKUP($D64,$C$5:$AU$503,5,)/VLOOKUP($D64,$C$5:$AU$503,3,))*$E64)</f>
        <v>1895470.4842553139</v>
      </c>
      <c r="H64" s="66">
        <f>IF(VLOOKUP($D64,$C$5:$AU$503,3,)=0,0,(VLOOKUP($D64,$C$5:$AU$503,6,)/VLOOKUP($D64,$C$5:$AU$503,3,))*$E64)</f>
        <v>275159.77608473395</v>
      </c>
      <c r="I64" s="66">
        <f>IF(VLOOKUP($D64,$C$5:$AU$503,3,)=0,0,(VLOOKUP($D64,$C$5:$AU$503,7,)/VLOOKUP($D64,$C$5:$AU$503,3,))*$E64)</f>
        <v>616.95017059357394</v>
      </c>
      <c r="J64" s="66">
        <f>IF(VLOOKUP($D64,$C$5:$AU$503,3,)=0,0,(VLOOKUP($D64,$C$5:$AU$503,8,)/VLOOKUP($D64,$C$5:$AU$503,3,))*$E64)</f>
        <v>1625.9939575780522</v>
      </c>
      <c r="K64" s="66">
        <f>IF(VLOOKUP($D64,$C$5:$AU$503,3,)=0,0,(VLOOKUP($D64,$C$5:$AU$503,9,)/VLOOKUP($D64,$C$5:$AU$503,3,))*$E64)</f>
        <v>2101.7061050630746</v>
      </c>
      <c r="L64" s="66">
        <f>IF(VLOOKUP($D64,$C$5:$AU$503,3,)=0,0,(VLOOKUP($D64,$C$5:$AU$503,10,)/VLOOKUP($D64,$C$5:$AU$503,3,))*$E64)</f>
        <v>33160.251879884061</v>
      </c>
      <c r="M64" s="66">
        <f>IF(VLOOKUP($D64,$C$5:$AU$503,3,)=0,0,(VLOOKUP($D64,$C$5:$AU$503,11,)/VLOOKUP($D64,$C$5:$AU$503,3,))*$E64)</f>
        <v>3969.8893095635849</v>
      </c>
      <c r="N64" s="66">
        <f>IF(VLOOKUP($D64,$C$5:$AU$503,3,)=0,0,(VLOOKUP($D64,$C$5:$AU$503,12,)/VLOOKUP($D64,$C$5:$AU$503,3,))*$E64)</f>
        <v>15375.035344762102</v>
      </c>
      <c r="O64" s="66">
        <f>IF(VLOOKUP($D64,$C$5:$AU$503,3,)=0,0,(VLOOKUP($D64,$C$5:$AU$503,13,)/VLOOKUP($D64,$C$5:$AU$503,3,))*$E64)</f>
        <v>0</v>
      </c>
      <c r="P64" s="66">
        <f>IF(VLOOKUP($D64,$C$5:$AU$503,3,)=0,0,(VLOOKUP($D64,$C$5:$AU$503,14,)/VLOOKUP($D64,$C$5:$AU$503,3,))*$E64)</f>
        <v>0</v>
      </c>
      <c r="Q64" s="66">
        <f>IF(VLOOKUP($D64,$C$5:$AU$503,3,)=0,0,(VLOOKUP($D64,$C$5:$AU$503,15,)/VLOOKUP($D64,$C$5:$AU$503,3,))*$E64)</f>
        <v>0</v>
      </c>
      <c r="R64" s="66">
        <f>IF(VLOOKUP($D64,$C$5:$AU$503,3,)=0,0,(VLOOKUP($D64,$C$5:$AU$503,16,)/VLOOKUP($D64,$C$5:$AU$503,3,))*$E64)</f>
        <v>0</v>
      </c>
      <c r="S64" s="66">
        <f>IF(VLOOKUP($D64,$C$5:$AU$503,3,)=0,0,(VLOOKUP($D64,$C$5:$AU$503,17,)/VLOOKUP($D64,$C$5:$AU$503,3,))*$E64)</f>
        <v>0</v>
      </c>
      <c r="T64" s="66">
        <f>IF(VLOOKUP($D64,$C$5:$AU$503,3,)=0,0,(VLOOKUP($D64,$C$5:$AU$503,18,)/VLOOKUP($D64,$C$5:$AU$503,3,))*$E64)</f>
        <v>0</v>
      </c>
      <c r="U64" s="66">
        <f>IF(VLOOKUP($D64,$C$5:$AU$503,3,)=0,0,(VLOOKUP($D64,$C$5:$AU$503,19,)/VLOOKUP($D64,$C$5:$AU$503,3,))*$E64)</f>
        <v>0</v>
      </c>
      <c r="V64" s="66">
        <f>IF(VLOOKUP($D64,$C$5:$AU$503,3,)=0,0,(VLOOKUP($D64,$C$5:$AU$503,20,)/VLOOKUP($D64,$C$5:$AU$503,3,))*$E64)</f>
        <v>0</v>
      </c>
      <c r="W64" s="66">
        <f>IF(VLOOKUP($D64,$C$5:$AU$503,3,)=0,0,(VLOOKUP($D64,$C$5:$AU$503,21,)/VLOOKUP($D64,$C$5:$AU$503,3,))*$E64)</f>
        <v>0</v>
      </c>
      <c r="X64" s="66">
        <f>IF(VLOOKUP($D64,$C$5:$AU$503,3,)=0,0,(VLOOKUP($D64,$C$5:$AU$503,22,)/VLOOKUP($D64,$C$5:$AU$503,3,))*$E64)</f>
        <v>0</v>
      </c>
      <c r="Y64" s="66">
        <f>IF(VLOOKUP($D64,$C$5:$AU$503,3,)=0,0,(VLOOKUP($D64,$C$5:$AU$503,23,)/VLOOKUP($D64,$C$5:$AU$503,3,))*$E64)</f>
        <v>0</v>
      </c>
      <c r="Z64" s="66">
        <f>IF(VLOOKUP($D64,$C$5:$AU$503,3,)=0,0,(VLOOKUP($D64,$C$5:$AU$503,24,)/VLOOKUP($D64,$C$5:$AU$503,3,))*$E64)</f>
        <v>0</v>
      </c>
      <c r="AA64" s="66">
        <f>IF(VLOOKUP($D64,$C$5:$AU$503,3,)=0,0,(VLOOKUP($D64,$C$5:$AU$503,25,)/VLOOKUP($D64,$C$5:$AU$503,3,))*$E64)</f>
        <v>0</v>
      </c>
      <c r="AB64" s="66">
        <f>IF(VLOOKUP($D64,$C$5:$AU$503,3,)=0,0,(VLOOKUP($D64,$C$5:$AU$503,26,)/VLOOKUP($D64,$C$5:$AU$503,3,))*$E64)</f>
        <v>0</v>
      </c>
      <c r="AC64" s="66">
        <f>IF(VLOOKUP($D64,$C$5:$AU$503,3,)=0,0,(VLOOKUP($D64,$C$5:$AU$503,27,)/VLOOKUP($D64,$C$5:$AU$503,3,))*$E64)</f>
        <v>0</v>
      </c>
      <c r="AD64" s="66">
        <f>IF(VLOOKUP($D64,$C$5:$AU$503,3,)=0,0,(VLOOKUP($D64,$C$5:$AU$503,28,)/VLOOKUP($D64,$C$5:$AU$503,3,))*$E64)</f>
        <v>0</v>
      </c>
      <c r="AE64" s="66">
        <f>IF(VLOOKUP($D64,$C$5:$AU$503,3,)=0,0,(VLOOKUP($D64,$C$5:$AU$503,29,)/VLOOKUP($D64,$C$5:$AU$503,3,))*$E64)</f>
        <v>0</v>
      </c>
      <c r="AF64" s="66">
        <f>IF(VLOOKUP($D64,$C$5:$AU$503,3,)=0,0,(VLOOKUP($D64,$C$5:$AU$503,30,)/VLOOKUP($D64,$C$5:$AU$503,3,))*$E64)</f>
        <v>0</v>
      </c>
      <c r="AG64" s="93">
        <f>SUM(F64:AF64)</f>
        <v>27550576.942300178</v>
      </c>
      <c r="AH64" s="30" t="str">
        <f>IF(ABS(E64-AG64)&lt;0.01,"ok","err")</f>
        <v>ok</v>
      </c>
    </row>
    <row r="65" spans="1:34" x14ac:dyDescent="0.2">
      <c r="A65" s="14" t="s">
        <v>228</v>
      </c>
      <c r="E65" s="233">
        <f t="shared" ref="E65:T65" si="12">E63+E64</f>
        <v>27550576.942300171</v>
      </c>
      <c r="F65" s="66">
        <f t="shared" si="12"/>
        <v>25323096.855192684</v>
      </c>
      <c r="G65" s="66">
        <f t="shared" si="12"/>
        <v>1895470.4842553139</v>
      </c>
      <c r="H65" s="66">
        <f t="shared" si="12"/>
        <v>275159.77608473395</v>
      </c>
      <c r="I65" s="66">
        <f t="shared" si="12"/>
        <v>616.95017059357394</v>
      </c>
      <c r="J65" s="66">
        <f t="shared" si="12"/>
        <v>1625.9939575780522</v>
      </c>
      <c r="K65" s="66">
        <f t="shared" si="12"/>
        <v>2101.7061050630746</v>
      </c>
      <c r="L65" s="66">
        <f t="shared" si="12"/>
        <v>33160.251879884061</v>
      </c>
      <c r="M65" s="66">
        <f t="shared" si="12"/>
        <v>3969.8893095635849</v>
      </c>
      <c r="N65" s="66">
        <f t="shared" si="12"/>
        <v>15375.035344762102</v>
      </c>
      <c r="O65" s="66">
        <f t="shared" si="12"/>
        <v>0</v>
      </c>
      <c r="P65" s="66">
        <f t="shared" si="12"/>
        <v>0</v>
      </c>
      <c r="Q65" s="66">
        <f t="shared" si="12"/>
        <v>0</v>
      </c>
      <c r="R65" s="66">
        <f t="shared" si="12"/>
        <v>0</v>
      </c>
      <c r="S65" s="66">
        <f t="shared" si="12"/>
        <v>0</v>
      </c>
      <c r="T65" s="66">
        <f t="shared" si="12"/>
        <v>0</v>
      </c>
      <c r="U65" s="66">
        <f t="shared" ref="U65:AF65" si="13">U63+U64</f>
        <v>0</v>
      </c>
      <c r="V65" s="66">
        <f t="shared" si="13"/>
        <v>0</v>
      </c>
      <c r="W65" s="66">
        <f t="shared" si="13"/>
        <v>0</v>
      </c>
      <c r="X65" s="66">
        <f t="shared" si="13"/>
        <v>0</v>
      </c>
      <c r="Y65" s="66">
        <f t="shared" si="13"/>
        <v>0</v>
      </c>
      <c r="Z65" s="66">
        <f t="shared" si="13"/>
        <v>0</v>
      </c>
      <c r="AA65" s="66">
        <f t="shared" si="13"/>
        <v>0</v>
      </c>
      <c r="AB65" s="66">
        <f t="shared" si="13"/>
        <v>0</v>
      </c>
      <c r="AC65" s="66">
        <f t="shared" si="13"/>
        <v>0</v>
      </c>
      <c r="AD65" s="66">
        <f t="shared" si="13"/>
        <v>0</v>
      </c>
      <c r="AE65" s="66">
        <f t="shared" si="13"/>
        <v>0</v>
      </c>
      <c r="AF65" s="66">
        <f t="shared" si="13"/>
        <v>0</v>
      </c>
      <c r="AG65" s="93">
        <f>SUM(F65:AF65)</f>
        <v>27550576.942300178</v>
      </c>
      <c r="AH65" s="30" t="str">
        <f>IF(ABS(E65-AG65)&lt;0.01,"ok","err")</f>
        <v>ok</v>
      </c>
    </row>
    <row r="66" spans="1:34" x14ac:dyDescent="0.2">
      <c r="E66" s="234"/>
    </row>
    <row r="67" spans="1:34" x14ac:dyDescent="0.2">
      <c r="A67" s="13" t="s">
        <v>4</v>
      </c>
      <c r="E67" s="234"/>
    </row>
    <row r="68" spans="1:34" x14ac:dyDescent="0.2">
      <c r="A68" s="96" t="s">
        <v>221</v>
      </c>
      <c r="C68" s="14" t="s">
        <v>245</v>
      </c>
      <c r="D68" s="14" t="s">
        <v>230</v>
      </c>
      <c r="E68" s="233">
        <f>'Func &amp; Classif'!U126</f>
        <v>11987248.462333001</v>
      </c>
      <c r="F68" s="66">
        <f>IF(VLOOKUP($D68,$C$5:$AU$503,3,)=0,0,(VLOOKUP($D68,$C$5:$AU$503,4,)/VLOOKUP($D68,$C$5:$AU$503,3,))*$E68)</f>
        <v>7843998.6225255057</v>
      </c>
      <c r="G68" s="66">
        <f>IF(VLOOKUP($D68,$C$5:$AU$503,3,)=0,0,(VLOOKUP($D68,$C$5:$AU$503,5,)/VLOOKUP($D68,$C$5:$AU$503,3,))*$E68)</f>
        <v>3211267.1211481304</v>
      </c>
      <c r="H68" s="66">
        <f>IF(VLOOKUP($D68,$C$5:$AU$503,3,)=0,0,(VLOOKUP($D68,$C$5:$AU$503,6,)/VLOOKUP($D68,$C$5:$AU$503,3,))*$E68)</f>
        <v>738311.2354516621</v>
      </c>
      <c r="I68" s="66">
        <f>IF(VLOOKUP($D68,$C$5:$AU$503,3,)=0,0,(VLOOKUP($D68,$C$5:$AU$503,7,)/VLOOKUP($D68,$C$5:$AU$503,3,))*$E68)</f>
        <v>7472.0643308766294</v>
      </c>
      <c r="J68" s="66">
        <f>IF(VLOOKUP($D68,$C$5:$AU$503,3,)=0,0,(VLOOKUP($D68,$C$5:$AU$503,8,)/VLOOKUP($D68,$C$5:$AU$503,3,))*$E68)</f>
        <v>14944.128661753259</v>
      </c>
      <c r="K68" s="66">
        <f>IF(VLOOKUP($D68,$C$5:$AU$503,3,)=0,0,(VLOOKUP($D68,$C$5:$AU$503,9,)/VLOOKUP($D68,$C$5:$AU$503,3,))*$E68)</f>
        <v>67248.578977889672</v>
      </c>
      <c r="L68" s="66">
        <f>IF(VLOOKUP($D68,$C$5:$AU$503,3,)=0,0,(VLOOKUP($D68,$C$5:$AU$503,10,)/VLOOKUP($D68,$C$5:$AU$503,3,))*$E68)</f>
        <v>71200.90774237967</v>
      </c>
      <c r="M68" s="66">
        <f>IF(VLOOKUP($D68,$C$5:$AU$503,3,)=0,0,(VLOOKUP($D68,$C$5:$AU$503,11,)/VLOOKUP($D68,$C$5:$AU$503,3,))*$E68)</f>
        <v>28141.908077753938</v>
      </c>
      <c r="N68" s="66">
        <f>IF(VLOOKUP($D68,$C$5:$AU$503,3,)=0,0,(VLOOKUP($D68,$C$5:$AU$503,12,)/VLOOKUP($D68,$C$5:$AU$503,3,))*$E68)</f>
        <v>4663.8954170521065</v>
      </c>
      <c r="O68" s="66">
        <f>IF(VLOOKUP($D68,$C$5:$AU$503,3,)=0,0,(VLOOKUP($D68,$C$5:$AU$503,13,)/VLOOKUP($D68,$C$5:$AU$503,3,))*$E68)</f>
        <v>0</v>
      </c>
      <c r="P68" s="66">
        <f>IF(VLOOKUP($D68,$C$5:$AU$503,3,)=0,0,(VLOOKUP($D68,$C$5:$AU$503,14,)/VLOOKUP($D68,$C$5:$AU$503,3,))*$E68)</f>
        <v>0</v>
      </c>
      <c r="Q68" s="66">
        <f>IF(VLOOKUP($D68,$C$5:$AU$503,3,)=0,0,(VLOOKUP($D68,$C$5:$AU$503,15,)/VLOOKUP($D68,$C$5:$AU$503,3,))*$E68)</f>
        <v>0</v>
      </c>
      <c r="R68" s="66">
        <f>IF(VLOOKUP($D68,$C$5:$AU$503,3,)=0,0,(VLOOKUP($D68,$C$5:$AU$503,16,)/VLOOKUP($D68,$C$5:$AU$503,3,))*$E68)</f>
        <v>0</v>
      </c>
      <c r="S68" s="66">
        <f>IF(VLOOKUP($D68,$C$5:$AU$503,3,)=0,0,(VLOOKUP($D68,$C$5:$AU$503,17,)/VLOOKUP($D68,$C$5:$AU$503,3,))*$E68)</f>
        <v>0</v>
      </c>
      <c r="T68" s="66">
        <f>IF(VLOOKUP($D68,$C$5:$AU$503,3,)=0,0,(VLOOKUP($D68,$C$5:$AU$503,18,)/VLOOKUP($D68,$C$5:$AU$503,3,))*$E68)</f>
        <v>0</v>
      </c>
      <c r="U68" s="66">
        <f>IF(VLOOKUP($D68,$C$5:$AU$503,3,)=0,0,(VLOOKUP($D68,$C$5:$AU$503,19,)/VLOOKUP($D68,$C$5:$AU$503,3,))*$E68)</f>
        <v>0</v>
      </c>
      <c r="V68" s="66">
        <f>IF(VLOOKUP($D68,$C$5:$AU$503,3,)=0,0,(VLOOKUP($D68,$C$5:$AU$503,20,)/VLOOKUP($D68,$C$5:$AU$503,3,))*$E68)</f>
        <v>0</v>
      </c>
      <c r="W68" s="66">
        <f>IF(VLOOKUP($D68,$C$5:$AU$503,3,)=0,0,(VLOOKUP($D68,$C$5:$AU$503,21,)/VLOOKUP($D68,$C$5:$AU$503,3,))*$E68)</f>
        <v>0</v>
      </c>
      <c r="X68" s="66">
        <f>IF(VLOOKUP($D68,$C$5:$AU$503,3,)=0,0,(VLOOKUP($D68,$C$5:$AU$503,22,)/VLOOKUP($D68,$C$5:$AU$503,3,))*$E68)</f>
        <v>0</v>
      </c>
      <c r="Y68" s="66">
        <f>IF(VLOOKUP($D68,$C$5:$AU$503,3,)=0,0,(VLOOKUP($D68,$C$5:$AU$503,23,)/VLOOKUP($D68,$C$5:$AU$503,3,))*$E68)</f>
        <v>0</v>
      </c>
      <c r="Z68" s="66">
        <f>IF(VLOOKUP($D68,$C$5:$AU$503,3,)=0,0,(VLOOKUP($D68,$C$5:$AU$503,24,)/VLOOKUP($D68,$C$5:$AU$503,3,))*$E68)</f>
        <v>0</v>
      </c>
      <c r="AA68" s="66">
        <f>IF(VLOOKUP($D68,$C$5:$AU$503,3,)=0,0,(VLOOKUP($D68,$C$5:$AU$503,25,)/VLOOKUP($D68,$C$5:$AU$503,3,))*$E68)</f>
        <v>0</v>
      </c>
      <c r="AB68" s="66">
        <f>IF(VLOOKUP($D68,$C$5:$AU$503,3,)=0,0,(VLOOKUP($D68,$C$5:$AU$503,26,)/VLOOKUP($D68,$C$5:$AU$503,3,))*$E68)</f>
        <v>0</v>
      </c>
      <c r="AC68" s="66">
        <f>IF(VLOOKUP($D68,$C$5:$AU$503,3,)=0,0,(VLOOKUP($D68,$C$5:$AU$503,27,)/VLOOKUP($D68,$C$5:$AU$503,3,))*$E68)</f>
        <v>0</v>
      </c>
      <c r="AD68" s="66">
        <f>IF(VLOOKUP($D68,$C$5:$AU$503,3,)=0,0,(VLOOKUP($D68,$C$5:$AU$503,28,)/VLOOKUP($D68,$C$5:$AU$503,3,))*$E68)</f>
        <v>0</v>
      </c>
      <c r="AE68" s="66">
        <f>IF(VLOOKUP($D68,$C$5:$AU$503,3,)=0,0,(VLOOKUP($D68,$C$5:$AU$503,29,)/VLOOKUP($D68,$C$5:$AU$503,3,))*$E68)</f>
        <v>0</v>
      </c>
      <c r="AF68" s="66">
        <f>IF(VLOOKUP($D68,$C$5:$AU$503,3,)=0,0,(VLOOKUP($D68,$C$5:$AU$503,30,)/VLOOKUP($D68,$C$5:$AU$503,3,))*$E68)</f>
        <v>0</v>
      </c>
      <c r="AG68" s="93">
        <f>SUM(F68:AF68)</f>
        <v>11987248.462333003</v>
      </c>
      <c r="AH68" s="30" t="str">
        <f>IF(ABS(E68-AG68)&lt;0.01,"ok","err")</f>
        <v>ok</v>
      </c>
    </row>
    <row r="69" spans="1:34" x14ac:dyDescent="0.2">
      <c r="E69" s="234"/>
    </row>
    <row r="70" spans="1:34" x14ac:dyDescent="0.2">
      <c r="A70" s="13" t="s">
        <v>5</v>
      </c>
      <c r="E70" s="234"/>
    </row>
    <row r="71" spans="1:34" x14ac:dyDescent="0.2">
      <c r="A71" s="96" t="s">
        <v>221</v>
      </c>
      <c r="C71" s="14" t="s">
        <v>246</v>
      </c>
      <c r="D71" s="14" t="s">
        <v>232</v>
      </c>
      <c r="E71" s="233">
        <f>'Func &amp; Classif'!W126</f>
        <v>11899292.756122358</v>
      </c>
      <c r="F71" s="66">
        <f>IF(VLOOKUP($D71,$C$5:$AU$503,3,)=0,0,(VLOOKUP($D71,$C$5:$AU$503,4,)/VLOOKUP($D71,$C$5:$AU$503,3,))*$E71)</f>
        <v>0</v>
      </c>
      <c r="G71" s="66">
        <f>IF(VLOOKUP($D71,$C$5:$AU$503,3,)=0,0,(VLOOKUP($D71,$C$5:$AU$503,5,)/VLOOKUP($D71,$C$5:$AU$503,3,))*$E71)</f>
        <v>0</v>
      </c>
      <c r="H71" s="66">
        <f>IF(VLOOKUP($D71,$C$5:$AU$503,3,)=0,0,(VLOOKUP($D71,$C$5:$AU$503,6,)/VLOOKUP($D71,$C$5:$AU$503,3,))*$E71)</f>
        <v>0</v>
      </c>
      <c r="I71" s="66">
        <f>IF(VLOOKUP($D71,$C$5:$AU$503,3,)=0,0,(VLOOKUP($D71,$C$5:$AU$503,7,)/VLOOKUP($D71,$C$5:$AU$503,3,))*$E71)</f>
        <v>0</v>
      </c>
      <c r="J71" s="66">
        <f>IF(VLOOKUP($D71,$C$5:$AU$503,3,)=0,0,(VLOOKUP($D71,$C$5:$AU$503,8,)/VLOOKUP($D71,$C$5:$AU$503,3,))*$E71)</f>
        <v>0</v>
      </c>
      <c r="K71" s="66">
        <f>IF(VLOOKUP($D71,$C$5:$AU$503,3,)=0,0,(VLOOKUP($D71,$C$5:$AU$503,9,)/VLOOKUP($D71,$C$5:$AU$503,3,))*$E71)</f>
        <v>0</v>
      </c>
      <c r="L71" s="66">
        <f>IF(VLOOKUP($D71,$C$5:$AU$503,3,)=0,0,(VLOOKUP($D71,$C$5:$AU$503,10,)/VLOOKUP($D71,$C$5:$AU$503,3,))*$E71)</f>
        <v>0</v>
      </c>
      <c r="M71" s="66">
        <f>IF(VLOOKUP($D71,$C$5:$AU$503,3,)=0,0,(VLOOKUP($D71,$C$5:$AU$503,11,)/VLOOKUP($D71,$C$5:$AU$503,3,))*$E71)</f>
        <v>0</v>
      </c>
      <c r="N71" s="66">
        <f>IF(VLOOKUP($D71,$C$5:$AU$503,3,)=0,0,(VLOOKUP($D71,$C$5:$AU$503,12,)/VLOOKUP($D71,$C$5:$AU$503,3,))*$E71)</f>
        <v>11899292.756122358</v>
      </c>
      <c r="O71" s="66">
        <f>IF(VLOOKUP($D71,$C$5:$AU$503,3,)=0,0,(VLOOKUP($D71,$C$5:$AU$503,13,)/VLOOKUP($D71,$C$5:$AU$503,3,))*$E71)</f>
        <v>0</v>
      </c>
      <c r="P71" s="66">
        <f>IF(VLOOKUP($D71,$C$5:$AU$503,3,)=0,0,(VLOOKUP($D71,$C$5:$AU$503,14,)/VLOOKUP($D71,$C$5:$AU$503,3,))*$E71)</f>
        <v>0</v>
      </c>
      <c r="Q71" s="66">
        <f>IF(VLOOKUP($D71,$C$5:$AU$503,3,)=0,0,(VLOOKUP($D71,$C$5:$AU$503,15,)/VLOOKUP($D71,$C$5:$AU$503,3,))*$E71)</f>
        <v>0</v>
      </c>
      <c r="R71" s="66">
        <f>IF(VLOOKUP($D71,$C$5:$AU$503,3,)=0,0,(VLOOKUP($D71,$C$5:$AU$503,16,)/VLOOKUP($D71,$C$5:$AU$503,3,))*$E71)</f>
        <v>0</v>
      </c>
      <c r="S71" s="66">
        <f>IF(VLOOKUP($D71,$C$5:$AU$503,3,)=0,0,(VLOOKUP($D71,$C$5:$AU$503,17,)/VLOOKUP($D71,$C$5:$AU$503,3,))*$E71)</f>
        <v>0</v>
      </c>
      <c r="T71" s="66">
        <f>IF(VLOOKUP($D71,$C$5:$AU$503,3,)=0,0,(VLOOKUP($D71,$C$5:$AU$503,18,)/VLOOKUP($D71,$C$5:$AU$503,3,))*$E71)</f>
        <v>0</v>
      </c>
      <c r="U71" s="66">
        <f>IF(VLOOKUP($D71,$C$5:$AU$503,3,)=0,0,(VLOOKUP($D71,$C$5:$AU$503,19,)/VLOOKUP($D71,$C$5:$AU$503,3,))*$E71)</f>
        <v>0</v>
      </c>
      <c r="V71" s="66">
        <f>IF(VLOOKUP($D71,$C$5:$AU$503,3,)=0,0,(VLOOKUP($D71,$C$5:$AU$503,20,)/VLOOKUP($D71,$C$5:$AU$503,3,))*$E71)</f>
        <v>0</v>
      </c>
      <c r="W71" s="66">
        <f>IF(VLOOKUP($D71,$C$5:$AU$503,3,)=0,0,(VLOOKUP($D71,$C$5:$AU$503,21,)/VLOOKUP($D71,$C$5:$AU$503,3,))*$E71)</f>
        <v>0</v>
      </c>
      <c r="X71" s="66">
        <f>IF(VLOOKUP($D71,$C$5:$AU$503,3,)=0,0,(VLOOKUP($D71,$C$5:$AU$503,22,)/VLOOKUP($D71,$C$5:$AU$503,3,))*$E71)</f>
        <v>0</v>
      </c>
      <c r="Y71" s="66">
        <f>IF(VLOOKUP($D71,$C$5:$AU$503,3,)=0,0,(VLOOKUP($D71,$C$5:$AU$503,23,)/VLOOKUP($D71,$C$5:$AU$503,3,))*$E71)</f>
        <v>0</v>
      </c>
      <c r="Z71" s="66">
        <f>IF(VLOOKUP($D71,$C$5:$AU$503,3,)=0,0,(VLOOKUP($D71,$C$5:$AU$503,24,)/VLOOKUP($D71,$C$5:$AU$503,3,))*$E71)</f>
        <v>0</v>
      </c>
      <c r="AA71" s="66">
        <f>IF(VLOOKUP($D71,$C$5:$AU$503,3,)=0,0,(VLOOKUP($D71,$C$5:$AU$503,25,)/VLOOKUP($D71,$C$5:$AU$503,3,))*$E71)</f>
        <v>0</v>
      </c>
      <c r="AB71" s="66">
        <f>IF(VLOOKUP($D71,$C$5:$AU$503,3,)=0,0,(VLOOKUP($D71,$C$5:$AU$503,26,)/VLOOKUP($D71,$C$5:$AU$503,3,))*$E71)</f>
        <v>0</v>
      </c>
      <c r="AC71" s="66">
        <f>IF(VLOOKUP($D71,$C$5:$AU$503,3,)=0,0,(VLOOKUP($D71,$C$5:$AU$503,27,)/VLOOKUP($D71,$C$5:$AU$503,3,))*$E71)</f>
        <v>0</v>
      </c>
      <c r="AD71" s="66">
        <f>IF(VLOOKUP($D71,$C$5:$AU$503,3,)=0,0,(VLOOKUP($D71,$C$5:$AU$503,28,)/VLOOKUP($D71,$C$5:$AU$503,3,))*$E71)</f>
        <v>0</v>
      </c>
      <c r="AE71" s="66">
        <f>IF(VLOOKUP($D71,$C$5:$AU$503,3,)=0,0,(VLOOKUP($D71,$C$5:$AU$503,29,)/VLOOKUP($D71,$C$5:$AU$503,3,))*$E71)</f>
        <v>0</v>
      </c>
      <c r="AF71" s="66">
        <f>IF(VLOOKUP($D71,$C$5:$AU$503,3,)=0,0,(VLOOKUP($D71,$C$5:$AU$503,30,)/VLOOKUP($D71,$C$5:$AU$503,3,))*$E71)</f>
        <v>0</v>
      </c>
      <c r="AG71" s="93">
        <f>SUM(F71:AF71)</f>
        <v>11899292.756122358</v>
      </c>
      <c r="AH71" s="30" t="str">
        <f>IF(ABS(E71-AG71)&lt;0.01,"ok","err")</f>
        <v>ok</v>
      </c>
    </row>
    <row r="72" spans="1:34" x14ac:dyDescent="0.2">
      <c r="E72" s="234"/>
    </row>
    <row r="73" spans="1:34" x14ac:dyDescent="0.2">
      <c r="A73" s="13" t="s">
        <v>545</v>
      </c>
      <c r="E73" s="234"/>
    </row>
    <row r="74" spans="1:34" x14ac:dyDescent="0.2">
      <c r="A74" s="96" t="s">
        <v>221</v>
      </c>
      <c r="C74" s="14" t="s">
        <v>247</v>
      </c>
      <c r="D74" s="14" t="s">
        <v>234</v>
      </c>
      <c r="E74" s="233">
        <f>'Func &amp; Classif'!Y126</f>
        <v>0</v>
      </c>
      <c r="F74" s="66">
        <f>IF(VLOOKUP($D74,$C$5:$AU$503,3,)=0,0,(VLOOKUP($D74,$C$5:$AU$503,4,)/VLOOKUP($D74,$C$5:$AU$503,3,))*$E74)</f>
        <v>0</v>
      </c>
      <c r="G74" s="66">
        <f>IF(VLOOKUP($D74,$C$5:$AU$503,3,)=0,0,(VLOOKUP($D74,$C$5:$AU$503,5,)/VLOOKUP($D74,$C$5:$AU$503,3,))*$E74)</f>
        <v>0</v>
      </c>
      <c r="H74" s="66">
        <f>IF(VLOOKUP($D74,$C$5:$AU$503,3,)=0,0,(VLOOKUP($D74,$C$5:$AU$503,6,)/VLOOKUP($D74,$C$5:$AU$503,3,))*$E74)</f>
        <v>0</v>
      </c>
      <c r="I74" s="66">
        <f>IF(VLOOKUP($D74,$C$5:$AU$503,3,)=0,0,(VLOOKUP($D74,$C$5:$AU$503,7,)/VLOOKUP($D74,$C$5:$AU$503,3,))*$E74)</f>
        <v>0</v>
      </c>
      <c r="J74" s="66">
        <f>IF(VLOOKUP($D74,$C$5:$AU$503,3,)=0,0,(VLOOKUP($D74,$C$5:$AU$503,8,)/VLOOKUP($D74,$C$5:$AU$503,3,))*$E74)</f>
        <v>0</v>
      </c>
      <c r="K74" s="66">
        <f>IF(VLOOKUP($D74,$C$5:$AU$503,3,)=0,0,(VLOOKUP($D74,$C$5:$AU$503,9,)/VLOOKUP($D74,$C$5:$AU$503,3,))*$E74)</f>
        <v>0</v>
      </c>
      <c r="L74" s="66">
        <f>IF(VLOOKUP($D74,$C$5:$AU$503,3,)=0,0,(VLOOKUP($D74,$C$5:$AU$503,10,)/VLOOKUP($D74,$C$5:$AU$503,3,))*$E74)</f>
        <v>0</v>
      </c>
      <c r="M74" s="66">
        <f>IF(VLOOKUP($D74,$C$5:$AU$503,3,)=0,0,(VLOOKUP($D74,$C$5:$AU$503,11,)/VLOOKUP($D74,$C$5:$AU$503,3,))*$E74)</f>
        <v>0</v>
      </c>
      <c r="N74" s="66">
        <f>IF(VLOOKUP($D74,$C$5:$AU$503,3,)=0,0,(VLOOKUP($D74,$C$5:$AU$503,12,)/VLOOKUP($D74,$C$5:$AU$503,3,))*$E74)</f>
        <v>0</v>
      </c>
      <c r="O74" s="66">
        <f>IF(VLOOKUP($D74,$C$5:$AU$503,3,)=0,0,(VLOOKUP($D74,$C$5:$AU$503,13,)/VLOOKUP($D74,$C$5:$AU$503,3,))*$E74)</f>
        <v>0</v>
      </c>
      <c r="P74" s="66">
        <f>IF(VLOOKUP($D74,$C$5:$AU$503,3,)=0,0,(VLOOKUP($D74,$C$5:$AU$503,14,)/VLOOKUP($D74,$C$5:$AU$503,3,))*$E74)</f>
        <v>0</v>
      </c>
      <c r="Q74" s="66">
        <f>IF(VLOOKUP($D74,$C$5:$AU$503,3,)=0,0,(VLOOKUP($D74,$C$5:$AU$503,15,)/VLOOKUP($D74,$C$5:$AU$503,3,))*$E74)</f>
        <v>0</v>
      </c>
      <c r="R74" s="66">
        <f>IF(VLOOKUP($D74,$C$5:$AU$503,3,)=0,0,(VLOOKUP($D74,$C$5:$AU$503,16,)/VLOOKUP($D74,$C$5:$AU$503,3,))*$E74)</f>
        <v>0</v>
      </c>
      <c r="S74" s="66">
        <f>IF(VLOOKUP($D74,$C$5:$AU$503,3,)=0,0,(VLOOKUP($D74,$C$5:$AU$503,17,)/VLOOKUP($D74,$C$5:$AU$503,3,))*$E74)</f>
        <v>0</v>
      </c>
      <c r="T74" s="66">
        <f>IF(VLOOKUP($D74,$C$5:$AU$503,3,)=0,0,(VLOOKUP($D74,$C$5:$AU$503,18,)/VLOOKUP($D74,$C$5:$AU$503,3,))*$E74)</f>
        <v>0</v>
      </c>
      <c r="U74" s="66">
        <f>IF(VLOOKUP($D74,$C$5:$AU$503,3,)=0,0,(VLOOKUP($D74,$C$5:$AU$503,19,)/VLOOKUP($D74,$C$5:$AU$503,3,))*$E74)</f>
        <v>0</v>
      </c>
      <c r="V74" s="66">
        <f>IF(VLOOKUP($D74,$C$5:$AU$503,3,)=0,0,(VLOOKUP($D74,$C$5:$AU$503,20,)/VLOOKUP($D74,$C$5:$AU$503,3,))*$E74)</f>
        <v>0</v>
      </c>
      <c r="W74" s="66">
        <f>IF(VLOOKUP($D74,$C$5:$AU$503,3,)=0,0,(VLOOKUP($D74,$C$5:$AU$503,21,)/VLOOKUP($D74,$C$5:$AU$503,3,))*$E74)</f>
        <v>0</v>
      </c>
      <c r="X74" s="66">
        <f>IF(VLOOKUP($D74,$C$5:$AU$503,3,)=0,0,(VLOOKUP($D74,$C$5:$AU$503,22,)/VLOOKUP($D74,$C$5:$AU$503,3,))*$E74)</f>
        <v>0</v>
      </c>
      <c r="Y74" s="66">
        <f>IF(VLOOKUP($D74,$C$5:$AU$503,3,)=0,0,(VLOOKUP($D74,$C$5:$AU$503,23,)/VLOOKUP($D74,$C$5:$AU$503,3,))*$E74)</f>
        <v>0</v>
      </c>
      <c r="Z74" s="66">
        <f>IF(VLOOKUP($D74,$C$5:$AU$503,3,)=0,0,(VLOOKUP($D74,$C$5:$AU$503,24,)/VLOOKUP($D74,$C$5:$AU$503,3,))*$E74)</f>
        <v>0</v>
      </c>
      <c r="AA74" s="66">
        <f>IF(VLOOKUP($D74,$C$5:$AU$503,3,)=0,0,(VLOOKUP($D74,$C$5:$AU$503,25,)/VLOOKUP($D74,$C$5:$AU$503,3,))*$E74)</f>
        <v>0</v>
      </c>
      <c r="AB74" s="66">
        <f>IF(VLOOKUP($D74,$C$5:$AU$503,3,)=0,0,(VLOOKUP($D74,$C$5:$AU$503,26,)/VLOOKUP($D74,$C$5:$AU$503,3,))*$E74)</f>
        <v>0</v>
      </c>
      <c r="AC74" s="66">
        <f>IF(VLOOKUP($D74,$C$5:$AU$503,3,)=0,0,(VLOOKUP($D74,$C$5:$AU$503,27,)/VLOOKUP($D74,$C$5:$AU$503,3,))*$E74)</f>
        <v>0</v>
      </c>
      <c r="AD74" s="66">
        <f>IF(VLOOKUP($D74,$C$5:$AU$503,3,)=0,0,(VLOOKUP($D74,$C$5:$AU$503,28,)/VLOOKUP($D74,$C$5:$AU$503,3,))*$E74)</f>
        <v>0</v>
      </c>
      <c r="AE74" s="66">
        <f>IF(VLOOKUP($D74,$C$5:$AU$503,3,)=0,0,(VLOOKUP($D74,$C$5:$AU$503,29,)/VLOOKUP($D74,$C$5:$AU$503,3,))*$E74)</f>
        <v>0</v>
      </c>
      <c r="AF74" s="66">
        <f>IF(VLOOKUP($D74,$C$5:$AU$503,3,)=0,0,(VLOOKUP($D74,$C$5:$AU$503,30,)/VLOOKUP($D74,$C$5:$AU$503,3,))*$E74)</f>
        <v>0</v>
      </c>
      <c r="AG74" s="93">
        <f>SUM(F74:AF74)</f>
        <v>0</v>
      </c>
      <c r="AH74" s="30" t="str">
        <f>IF(ABS(E74-AG74)&lt;0.01,"ok","err")</f>
        <v>ok</v>
      </c>
    </row>
    <row r="75" spans="1:34" x14ac:dyDescent="0.2">
      <c r="E75" s="234"/>
    </row>
    <row r="76" spans="1:34" x14ac:dyDescent="0.2">
      <c r="A76" s="13" t="s">
        <v>470</v>
      </c>
      <c r="E76" s="234"/>
    </row>
    <row r="77" spans="1:34" x14ac:dyDescent="0.2">
      <c r="A77" s="96" t="s">
        <v>221</v>
      </c>
      <c r="C77" s="14" t="s">
        <v>244</v>
      </c>
      <c r="D77" s="14" t="s">
        <v>235</v>
      </c>
      <c r="E77" s="233">
        <f>'Func &amp; Classif'!AA126</f>
        <v>0</v>
      </c>
      <c r="F77" s="66">
        <f>IF(VLOOKUP($D77,$C$5:$AU$503,3,)=0,0,(VLOOKUP($D77,$C$5:$AU$503,4,)/VLOOKUP($D77,$C$5:$AU$503,3,))*$E77)</f>
        <v>0</v>
      </c>
      <c r="G77" s="66">
        <f>IF(VLOOKUP($D77,$C$5:$AU$503,3,)=0,0,(VLOOKUP($D77,$C$5:$AU$503,5,)/VLOOKUP($D77,$C$5:$AU$503,3,))*$E77)</f>
        <v>0</v>
      </c>
      <c r="H77" s="66">
        <f>IF(VLOOKUP($D77,$C$5:$AU$503,3,)=0,0,(VLOOKUP($D77,$C$5:$AU$503,6,)/VLOOKUP($D77,$C$5:$AU$503,3,))*$E77)</f>
        <v>0</v>
      </c>
      <c r="I77" s="66">
        <f>IF(VLOOKUP($D77,$C$5:$AU$503,3,)=0,0,(VLOOKUP($D77,$C$5:$AU$503,7,)/VLOOKUP($D77,$C$5:$AU$503,3,))*$E77)</f>
        <v>0</v>
      </c>
      <c r="J77" s="66">
        <f>IF(VLOOKUP($D77,$C$5:$AU$503,3,)=0,0,(VLOOKUP($D77,$C$5:$AU$503,8,)/VLOOKUP($D77,$C$5:$AU$503,3,))*$E77)</f>
        <v>0</v>
      </c>
      <c r="K77" s="66">
        <f>IF(VLOOKUP($D77,$C$5:$AU$503,3,)=0,0,(VLOOKUP($D77,$C$5:$AU$503,9,)/VLOOKUP($D77,$C$5:$AU$503,3,))*$E77)</f>
        <v>0</v>
      </c>
      <c r="L77" s="66">
        <f>IF(VLOOKUP($D77,$C$5:$AU$503,3,)=0,0,(VLOOKUP($D77,$C$5:$AU$503,10,)/VLOOKUP($D77,$C$5:$AU$503,3,))*$E77)</f>
        <v>0</v>
      </c>
      <c r="M77" s="66">
        <f>IF(VLOOKUP($D77,$C$5:$AU$503,3,)=0,0,(VLOOKUP($D77,$C$5:$AU$503,11,)/VLOOKUP($D77,$C$5:$AU$503,3,))*$E77)</f>
        <v>0</v>
      </c>
      <c r="N77" s="66">
        <f>IF(VLOOKUP($D77,$C$5:$AU$503,3,)=0,0,(VLOOKUP($D77,$C$5:$AU$503,12,)/VLOOKUP($D77,$C$5:$AU$503,3,))*$E77)</f>
        <v>0</v>
      </c>
      <c r="O77" s="66">
        <f>IF(VLOOKUP($D77,$C$5:$AU$503,3,)=0,0,(VLOOKUP($D77,$C$5:$AU$503,13,)/VLOOKUP($D77,$C$5:$AU$503,3,))*$E77)</f>
        <v>0</v>
      </c>
      <c r="P77" s="66">
        <f>IF(VLOOKUP($D77,$C$5:$AU$503,3,)=0,0,(VLOOKUP($D77,$C$5:$AU$503,14,)/VLOOKUP($D77,$C$5:$AU$503,3,))*$E77)</f>
        <v>0</v>
      </c>
      <c r="Q77" s="66">
        <f>IF(VLOOKUP($D77,$C$5:$AU$503,3,)=0,0,(VLOOKUP($D77,$C$5:$AU$503,15,)/VLOOKUP($D77,$C$5:$AU$503,3,))*$E77)</f>
        <v>0</v>
      </c>
      <c r="R77" s="66">
        <f>IF(VLOOKUP($D77,$C$5:$AU$503,3,)=0,0,(VLOOKUP($D77,$C$5:$AU$503,16,)/VLOOKUP($D77,$C$5:$AU$503,3,))*$E77)</f>
        <v>0</v>
      </c>
      <c r="S77" s="66">
        <f>IF(VLOOKUP($D77,$C$5:$AU$503,3,)=0,0,(VLOOKUP($D77,$C$5:$AU$503,17,)/VLOOKUP($D77,$C$5:$AU$503,3,))*$E77)</f>
        <v>0</v>
      </c>
      <c r="T77" s="66">
        <f>IF(VLOOKUP($D77,$C$5:$AU$503,3,)=0,0,(VLOOKUP($D77,$C$5:$AU$503,18,)/VLOOKUP($D77,$C$5:$AU$503,3,))*$E77)</f>
        <v>0</v>
      </c>
      <c r="U77" s="66">
        <f>IF(VLOOKUP($D77,$C$5:$AU$503,3,)=0,0,(VLOOKUP($D77,$C$5:$AU$503,19,)/VLOOKUP($D77,$C$5:$AU$503,3,))*$E77)</f>
        <v>0</v>
      </c>
      <c r="V77" s="66">
        <f>IF(VLOOKUP($D77,$C$5:$AU$503,3,)=0,0,(VLOOKUP($D77,$C$5:$AU$503,20,)/VLOOKUP($D77,$C$5:$AU$503,3,))*$E77)</f>
        <v>0</v>
      </c>
      <c r="W77" s="66">
        <f>IF(VLOOKUP($D77,$C$5:$AU$503,3,)=0,0,(VLOOKUP($D77,$C$5:$AU$503,21,)/VLOOKUP($D77,$C$5:$AU$503,3,))*$E77)</f>
        <v>0</v>
      </c>
      <c r="X77" s="66">
        <f>IF(VLOOKUP($D77,$C$5:$AU$503,3,)=0,0,(VLOOKUP($D77,$C$5:$AU$503,22,)/VLOOKUP($D77,$C$5:$AU$503,3,))*$E77)</f>
        <v>0</v>
      </c>
      <c r="Y77" s="66">
        <f>IF(VLOOKUP($D77,$C$5:$AU$503,3,)=0,0,(VLOOKUP($D77,$C$5:$AU$503,23,)/VLOOKUP($D77,$C$5:$AU$503,3,))*$E77)</f>
        <v>0</v>
      </c>
      <c r="Z77" s="66">
        <f>IF(VLOOKUP($D77,$C$5:$AU$503,3,)=0,0,(VLOOKUP($D77,$C$5:$AU$503,24,)/VLOOKUP($D77,$C$5:$AU$503,3,))*$E77)</f>
        <v>0</v>
      </c>
      <c r="AA77" s="66">
        <f>IF(VLOOKUP($D77,$C$5:$AU$503,3,)=0,0,(VLOOKUP($D77,$C$5:$AU$503,25,)/VLOOKUP($D77,$C$5:$AU$503,3,))*$E77)</f>
        <v>0</v>
      </c>
      <c r="AB77" s="66">
        <f>IF(VLOOKUP($D77,$C$5:$AU$503,3,)=0,0,(VLOOKUP($D77,$C$5:$AU$503,26,)/VLOOKUP($D77,$C$5:$AU$503,3,))*$E77)</f>
        <v>0</v>
      </c>
      <c r="AC77" s="66">
        <f>IF(VLOOKUP($D77,$C$5:$AU$503,3,)=0,0,(VLOOKUP($D77,$C$5:$AU$503,27,)/VLOOKUP($D77,$C$5:$AU$503,3,))*$E77)</f>
        <v>0</v>
      </c>
      <c r="AD77" s="66">
        <f>IF(VLOOKUP($D77,$C$5:$AU$503,3,)=0,0,(VLOOKUP($D77,$C$5:$AU$503,28,)/VLOOKUP($D77,$C$5:$AU$503,3,))*$E77)</f>
        <v>0</v>
      </c>
      <c r="AE77" s="66">
        <f>IF(VLOOKUP($D77,$C$5:$AU$503,3,)=0,0,(VLOOKUP($D77,$C$5:$AU$503,29,)/VLOOKUP($D77,$C$5:$AU$503,3,))*$E77)</f>
        <v>0</v>
      </c>
      <c r="AF77" s="66">
        <f>IF(VLOOKUP($D77,$C$5:$AU$503,3,)=0,0,(VLOOKUP($D77,$C$5:$AU$503,30,)/VLOOKUP($D77,$C$5:$AU$503,3,))*$E77)</f>
        <v>0</v>
      </c>
      <c r="AG77" s="93">
        <f>SUM(F77:AF77)</f>
        <v>0</v>
      </c>
      <c r="AH77" s="30" t="str">
        <f>IF(ABS(E77-AG77)&lt;0.01,"ok","err")</f>
        <v>ok</v>
      </c>
    </row>
    <row r="78" spans="1:34" x14ac:dyDescent="0.2">
      <c r="E78" s="234"/>
    </row>
    <row r="79" spans="1:34" x14ac:dyDescent="0.2">
      <c r="A79" s="14" t="s">
        <v>0</v>
      </c>
      <c r="C79" s="14" t="s">
        <v>248</v>
      </c>
      <c r="E79" s="233">
        <f>E49+E52+E55+E60+E65+E68+E71+E74+E77</f>
        <v>218700407.81</v>
      </c>
      <c r="F79" s="66">
        <f t="shared" ref="F79:R79" si="14">F49+F52+F55+F60+F65+F68+F71+F74+F77</f>
        <v>173351746.6973497</v>
      </c>
      <c r="G79" s="66">
        <f t="shared" si="14"/>
        <v>15253108.910900069</v>
      </c>
      <c r="H79" s="66">
        <f t="shared" si="14"/>
        <v>10236804.779848032</v>
      </c>
      <c r="I79" s="66">
        <f t="shared" si="14"/>
        <v>312865.00348215492</v>
      </c>
      <c r="J79" s="66">
        <f t="shared" si="14"/>
        <v>2438948.0768367574</v>
      </c>
      <c r="K79" s="66">
        <f t="shared" si="14"/>
        <v>2704612.2875804068</v>
      </c>
      <c r="L79" s="66">
        <f t="shared" si="14"/>
        <v>1201647.2023462867</v>
      </c>
      <c r="M79" s="66">
        <f t="shared" si="14"/>
        <v>734936.15726102795</v>
      </c>
      <c r="N79" s="66">
        <f t="shared" si="14"/>
        <v>12465738.694395598</v>
      </c>
      <c r="O79" s="66">
        <f t="shared" si="14"/>
        <v>0</v>
      </c>
      <c r="P79" s="66">
        <f t="shared" si="14"/>
        <v>0</v>
      </c>
      <c r="Q79" s="66">
        <f t="shared" si="14"/>
        <v>0</v>
      </c>
      <c r="R79" s="66">
        <f t="shared" si="14"/>
        <v>0</v>
      </c>
      <c r="S79" s="66">
        <f t="shared" ref="S79:AF79" si="15">S49+S55+S60+S65+S68+S71+S74+S77</f>
        <v>0</v>
      </c>
      <c r="T79" s="66">
        <f t="shared" si="15"/>
        <v>0</v>
      </c>
      <c r="U79" s="66">
        <f t="shared" si="15"/>
        <v>0</v>
      </c>
      <c r="V79" s="66">
        <f t="shared" si="15"/>
        <v>0</v>
      </c>
      <c r="W79" s="66">
        <f t="shared" si="15"/>
        <v>0</v>
      </c>
      <c r="X79" s="66">
        <f t="shared" si="15"/>
        <v>0</v>
      </c>
      <c r="Y79" s="66">
        <f t="shared" si="15"/>
        <v>0</v>
      </c>
      <c r="Z79" s="66">
        <f t="shared" si="15"/>
        <v>0</v>
      </c>
      <c r="AA79" s="66">
        <f t="shared" si="15"/>
        <v>0</v>
      </c>
      <c r="AB79" s="66">
        <f t="shared" si="15"/>
        <v>0</v>
      </c>
      <c r="AC79" s="66">
        <f t="shared" si="15"/>
        <v>0</v>
      </c>
      <c r="AD79" s="66">
        <f t="shared" si="15"/>
        <v>0</v>
      </c>
      <c r="AE79" s="66">
        <f t="shared" si="15"/>
        <v>0</v>
      </c>
      <c r="AF79" s="66">
        <f t="shared" si="15"/>
        <v>0</v>
      </c>
      <c r="AG79" s="93">
        <f>SUM(F79:AF79)</f>
        <v>218700407.81000003</v>
      </c>
      <c r="AH79" s="30" t="str">
        <f>IF(ABS(E79-AG79)&lt;0.01,"ok","err")</f>
        <v>ok</v>
      </c>
    </row>
    <row r="80" spans="1:34" x14ac:dyDescent="0.2">
      <c r="F80" s="48">
        <f>F79/E79</f>
        <v>0.79264482601217745</v>
      </c>
    </row>
    <row r="82" spans="1:34" x14ac:dyDescent="0.2">
      <c r="A82" s="28" t="s">
        <v>249</v>
      </c>
    </row>
    <row r="84" spans="1:34" x14ac:dyDescent="0.2">
      <c r="A84" s="13" t="s">
        <v>893</v>
      </c>
    </row>
    <row r="85" spans="1:34" x14ac:dyDescent="0.2">
      <c r="A85" s="96" t="s">
        <v>209</v>
      </c>
      <c r="C85" s="14" t="s">
        <v>250</v>
      </c>
      <c r="D85" s="14" t="s">
        <v>655</v>
      </c>
      <c r="E85" s="233">
        <f>'Func &amp; Classif'!H144</f>
        <v>0</v>
      </c>
      <c r="F85" s="66">
        <f>IF(VLOOKUP($D85,$C$5:$AU$503,3,)=0,0,(VLOOKUP($D85,$C$5:$AU$503,4,)/VLOOKUP($D85,$C$5:$AU$503,3,))*$E85)</f>
        <v>0</v>
      </c>
      <c r="G85" s="66">
        <f>IF(VLOOKUP($D85,$C$5:$AU$503,3,)=0,0,(VLOOKUP($D85,$C$5:$AU$503,5,)/VLOOKUP($D85,$C$5:$AU$503,3,))*$E85)</f>
        <v>0</v>
      </c>
      <c r="H85" s="66">
        <f>IF(VLOOKUP($D85,$C$5:$AU$503,3,)=0,0,(VLOOKUP($D85,$C$5:$AU$503,6,)/VLOOKUP($D85,$C$5:$AU$503,3,))*$E85)</f>
        <v>0</v>
      </c>
      <c r="I85" s="66">
        <f>IF(VLOOKUP($D85,$C$5:$AU$503,3,)=0,0,(VLOOKUP($D85,$C$5:$AU$503,7,)/VLOOKUP($D85,$C$5:$AU$503,3,))*$E85)</f>
        <v>0</v>
      </c>
      <c r="J85" s="66">
        <f>IF(VLOOKUP($D85,$C$5:$AU$503,3,)=0,0,(VLOOKUP($D85,$C$5:$AU$503,8,)/VLOOKUP($D85,$C$5:$AU$503,3,))*$E85)</f>
        <v>0</v>
      </c>
      <c r="K85" s="66">
        <f>IF(VLOOKUP($D85,$C$5:$AU$503,3,)=0,0,(VLOOKUP($D85,$C$5:$AU$503,9,)/VLOOKUP($D85,$C$5:$AU$503,3,))*$E85)</f>
        <v>0</v>
      </c>
      <c r="L85" s="66">
        <f>IF(VLOOKUP($D85,$C$5:$AU$503,3,)=0,0,(VLOOKUP($D85,$C$5:$AU$503,10,)/VLOOKUP($D85,$C$5:$AU$503,3,))*$E85)</f>
        <v>0</v>
      </c>
      <c r="M85" s="66">
        <f>IF(VLOOKUP($D85,$C$5:$AU$503,3,)=0,0,(VLOOKUP($D85,$C$5:$AU$503,11,)/VLOOKUP($D85,$C$5:$AU$503,3,))*$E85)</f>
        <v>0</v>
      </c>
      <c r="N85" s="66">
        <f>IF(VLOOKUP($D85,$C$5:$AU$503,3,)=0,0,(VLOOKUP($D85,$C$5:$AU$503,12,)/VLOOKUP($D85,$C$5:$AU$503,3,))*$E85)</f>
        <v>0</v>
      </c>
      <c r="O85" s="66">
        <f>IF(VLOOKUP($D85,$C$5:$AU$503,3,)=0,0,(VLOOKUP($D85,$C$5:$AU$503,13,)/VLOOKUP($D85,$C$5:$AU$503,3,))*$E85)</f>
        <v>0</v>
      </c>
      <c r="P85" s="66">
        <f>IF(VLOOKUP($D85,$C$5:$AU$503,3,)=0,0,(VLOOKUP($D85,$C$5:$AU$503,14,)/VLOOKUP($D85,$C$5:$AU$503,3,))*$E85)</f>
        <v>0</v>
      </c>
      <c r="Q85" s="66">
        <f>IF(VLOOKUP($D85,$C$5:$AU$503,3,)=0,0,(VLOOKUP($D85,$C$5:$AU$503,15,)/VLOOKUP($D85,$C$5:$AU$503,3,))*$E85)</f>
        <v>0</v>
      </c>
      <c r="R85" s="66">
        <f>IF(VLOOKUP($D85,$C$5:$AU$503,3,)=0,0,(VLOOKUP($D85,$C$5:$AU$503,16,)/VLOOKUP($D85,$C$5:$AU$503,3,))*$E85)</f>
        <v>0</v>
      </c>
      <c r="S85" s="66">
        <f>IF(VLOOKUP($D85,$C$5:$AU$503,3,)=0,0,(VLOOKUP($D85,$C$5:$AU$503,17,)/VLOOKUP($D85,$C$5:$AU$503,3,))*$E85)</f>
        <v>0</v>
      </c>
      <c r="T85" s="66">
        <f>IF(VLOOKUP($D85,$C$5:$AU$503,3,)=0,0,(VLOOKUP($D85,$C$5:$AU$503,18,)/VLOOKUP($D85,$C$5:$AU$503,3,))*$E85)</f>
        <v>0</v>
      </c>
      <c r="U85" s="66">
        <f>IF(VLOOKUP($D85,$C$5:$AU$503,3,)=0,0,(VLOOKUP($D85,$C$5:$AU$503,19,)/VLOOKUP($D85,$C$5:$AU$503,3,))*$E85)</f>
        <v>0</v>
      </c>
      <c r="V85" s="66">
        <f>IF(VLOOKUP($D85,$C$5:$AU$503,3,)=0,0,(VLOOKUP($D85,$C$5:$AU$503,20,)/VLOOKUP($D85,$C$5:$AU$503,3,))*$E85)</f>
        <v>0</v>
      </c>
      <c r="W85" s="66">
        <f>IF(VLOOKUP($D85,$C$5:$AU$503,3,)=0,0,(VLOOKUP($D85,$C$5:$AU$503,21,)/VLOOKUP($D85,$C$5:$AU$503,3,))*$E85)</f>
        <v>0</v>
      </c>
      <c r="X85" s="66">
        <f>IF(VLOOKUP($D85,$C$5:$AU$503,3,)=0,0,(VLOOKUP($D85,$C$5:$AU$503,22,)/VLOOKUP($D85,$C$5:$AU$503,3,))*$E85)</f>
        <v>0</v>
      </c>
      <c r="Y85" s="66">
        <f>IF(VLOOKUP($D85,$C$5:$AU$503,3,)=0,0,(VLOOKUP($D85,$C$5:$AU$503,23,)/VLOOKUP($D85,$C$5:$AU$503,3,))*$E85)</f>
        <v>0</v>
      </c>
      <c r="Z85" s="66">
        <f>IF(VLOOKUP($D85,$C$5:$AU$503,3,)=0,0,(VLOOKUP($D85,$C$5:$AU$503,24,)/VLOOKUP($D85,$C$5:$AU$503,3,))*$E85)</f>
        <v>0</v>
      </c>
      <c r="AA85" s="66">
        <f>IF(VLOOKUP($D85,$C$5:$AU$503,3,)=0,0,(VLOOKUP($D85,$C$5:$AU$503,25,)/VLOOKUP($D85,$C$5:$AU$503,3,))*$E85)</f>
        <v>0</v>
      </c>
      <c r="AB85" s="66">
        <f>IF(VLOOKUP($D85,$C$5:$AU$503,3,)=0,0,(VLOOKUP($D85,$C$5:$AU$503,26,)/VLOOKUP($D85,$C$5:$AU$503,3,))*$E85)</f>
        <v>0</v>
      </c>
      <c r="AC85" s="66">
        <f>IF(VLOOKUP($D85,$C$5:$AU$503,3,)=0,0,(VLOOKUP($D85,$C$5:$AU$503,27,)/VLOOKUP($D85,$C$5:$AU$503,3,))*$E85)</f>
        <v>0</v>
      </c>
      <c r="AD85" s="66">
        <f>IF(VLOOKUP($D85,$C$5:$AU$503,3,)=0,0,(VLOOKUP($D85,$C$5:$AU$503,28,)/VLOOKUP($D85,$C$5:$AU$503,3,))*$E85)</f>
        <v>0</v>
      </c>
      <c r="AE85" s="66">
        <f>IF(VLOOKUP($D85,$C$5:$AU$503,3,)=0,0,(VLOOKUP($D85,$C$5:$AU$503,29,)/VLOOKUP($D85,$C$5:$AU$503,3,))*$E85)</f>
        <v>0</v>
      </c>
      <c r="AF85" s="66">
        <f>IF(VLOOKUP($D85,$C$5:$AU$503,3,)=0,0,(VLOOKUP($D85,$C$5:$AU$503,30,)/VLOOKUP($D85,$C$5:$AU$503,3,))*$E85)</f>
        <v>0</v>
      </c>
      <c r="AG85" s="93">
        <f>SUM(F85:AF85)</f>
        <v>0</v>
      </c>
      <c r="AH85" s="30" t="str">
        <f>IF(ABS(E85-AG85)&lt;0.01,"ok","err")</f>
        <v>ok</v>
      </c>
    </row>
    <row r="86" spans="1:34" x14ac:dyDescent="0.2">
      <c r="A86" s="96" t="s">
        <v>212</v>
      </c>
      <c r="C86" s="14" t="s">
        <v>251</v>
      </c>
      <c r="D86" s="14" t="s">
        <v>664</v>
      </c>
      <c r="E86" s="234">
        <f>'Func &amp; Classif'!I144</f>
        <v>0</v>
      </c>
      <c r="F86" s="66">
        <f>IF(VLOOKUP($D86,$C$5:$AU$503,3,)=0,0,(VLOOKUP($D86,$C$5:$AU$503,4,)/VLOOKUP($D86,$C$5:$AU$503,3,))*$E86)</f>
        <v>0</v>
      </c>
      <c r="G86" s="66">
        <f>IF(VLOOKUP($D86,$C$5:$AU$503,3,)=0,0,(VLOOKUP($D86,$C$5:$AU$503,5,)/VLOOKUP($D86,$C$5:$AU$503,3,))*$E86)</f>
        <v>0</v>
      </c>
      <c r="H86" s="66">
        <f>IF(VLOOKUP($D86,$C$5:$AU$503,3,)=0,0,(VLOOKUP($D86,$C$5:$AU$503,6,)/VLOOKUP($D86,$C$5:$AU$503,3,))*$E86)</f>
        <v>0</v>
      </c>
      <c r="I86" s="66">
        <f>IF(VLOOKUP($D86,$C$5:$AU$503,3,)=0,0,(VLOOKUP($D86,$C$5:$AU$503,7,)/VLOOKUP($D86,$C$5:$AU$503,3,))*$E86)</f>
        <v>0</v>
      </c>
      <c r="J86" s="66">
        <f>IF(VLOOKUP($D86,$C$5:$AU$503,3,)=0,0,(VLOOKUP($D86,$C$5:$AU$503,8,)/VLOOKUP($D86,$C$5:$AU$503,3,))*$E86)</f>
        <v>0</v>
      </c>
      <c r="K86" s="66">
        <f>IF(VLOOKUP($D86,$C$5:$AU$503,3,)=0,0,(VLOOKUP($D86,$C$5:$AU$503,9,)/VLOOKUP($D86,$C$5:$AU$503,3,))*$E86)</f>
        <v>0</v>
      </c>
      <c r="L86" s="66">
        <f>IF(VLOOKUP($D86,$C$5:$AU$503,3,)=0,0,(VLOOKUP($D86,$C$5:$AU$503,10,)/VLOOKUP($D86,$C$5:$AU$503,3,))*$E86)</f>
        <v>0</v>
      </c>
      <c r="M86" s="66">
        <f>IF(VLOOKUP($D86,$C$5:$AU$503,3,)=0,0,(VLOOKUP($D86,$C$5:$AU$503,11,)/VLOOKUP($D86,$C$5:$AU$503,3,))*$E86)</f>
        <v>0</v>
      </c>
      <c r="N86" s="66">
        <f>IF(VLOOKUP($D86,$C$5:$AU$503,3,)=0,0,(VLOOKUP($D86,$C$5:$AU$503,12,)/VLOOKUP($D86,$C$5:$AU$503,3,))*$E86)</f>
        <v>0</v>
      </c>
      <c r="O86" s="66">
        <f>IF(VLOOKUP($D86,$C$5:$AU$503,3,)=0,0,(VLOOKUP($D86,$C$5:$AU$503,13,)/VLOOKUP($D86,$C$5:$AU$503,3,))*$E86)</f>
        <v>0</v>
      </c>
      <c r="P86" s="66">
        <f>IF(VLOOKUP($D86,$C$5:$AU$503,3,)=0,0,(VLOOKUP($D86,$C$5:$AU$503,14,)/VLOOKUP($D86,$C$5:$AU$503,3,))*$E86)</f>
        <v>0</v>
      </c>
      <c r="Q86" s="66">
        <f>IF(VLOOKUP($D86,$C$5:$AU$503,3,)=0,0,(VLOOKUP($D86,$C$5:$AU$503,15,)/VLOOKUP($D86,$C$5:$AU$503,3,))*$E86)</f>
        <v>0</v>
      </c>
      <c r="R86" s="66">
        <f>IF(VLOOKUP($D86,$C$5:$AU$503,3,)=0,0,(VLOOKUP($D86,$C$5:$AU$503,16,)/VLOOKUP($D86,$C$5:$AU$503,3,))*$E86)</f>
        <v>0</v>
      </c>
      <c r="S86" s="66">
        <f>IF(VLOOKUP($D86,$C$5:$AU$503,3,)=0,0,(VLOOKUP($D86,$C$5:$AU$503,17,)/VLOOKUP($D86,$C$5:$AU$503,3,))*$E86)</f>
        <v>0</v>
      </c>
      <c r="T86" s="66">
        <f>IF(VLOOKUP($D86,$C$5:$AU$503,3,)=0,0,(VLOOKUP($D86,$C$5:$AU$503,18,)/VLOOKUP($D86,$C$5:$AU$503,3,))*$E86)</f>
        <v>0</v>
      </c>
      <c r="U86" s="66">
        <f>IF(VLOOKUP($D86,$C$5:$AU$503,3,)=0,0,(VLOOKUP($D86,$C$5:$AU$503,19,)/VLOOKUP($D86,$C$5:$AU$503,3,))*$E86)</f>
        <v>0</v>
      </c>
      <c r="V86" s="66">
        <f>IF(VLOOKUP($D86,$C$5:$AU$503,3,)=0,0,(VLOOKUP($D86,$C$5:$AU$503,20,)/VLOOKUP($D86,$C$5:$AU$503,3,))*$E86)</f>
        <v>0</v>
      </c>
      <c r="W86" s="66">
        <f>IF(VLOOKUP($D86,$C$5:$AU$503,3,)=0,0,(VLOOKUP($D86,$C$5:$AU$503,21,)/VLOOKUP($D86,$C$5:$AU$503,3,))*$E86)</f>
        <v>0</v>
      </c>
      <c r="X86" s="66">
        <f>IF(VLOOKUP($D86,$C$5:$AU$503,3,)=0,0,(VLOOKUP($D86,$C$5:$AU$503,22,)/VLOOKUP($D86,$C$5:$AU$503,3,))*$E86)</f>
        <v>0</v>
      </c>
      <c r="Y86" s="66">
        <f>IF(VLOOKUP($D86,$C$5:$AU$503,3,)=0,0,(VLOOKUP($D86,$C$5:$AU$503,23,)/VLOOKUP($D86,$C$5:$AU$503,3,))*$E86)</f>
        <v>0</v>
      </c>
      <c r="Z86" s="66">
        <f>IF(VLOOKUP($D86,$C$5:$AU$503,3,)=0,0,(VLOOKUP($D86,$C$5:$AU$503,24,)/VLOOKUP($D86,$C$5:$AU$503,3,))*$E86)</f>
        <v>0</v>
      </c>
      <c r="AA86" s="66">
        <f>IF(VLOOKUP($D86,$C$5:$AU$503,3,)=0,0,(VLOOKUP($D86,$C$5:$AU$503,25,)/VLOOKUP($D86,$C$5:$AU$503,3,))*$E86)</f>
        <v>0</v>
      </c>
      <c r="AB86" s="66">
        <f>IF(VLOOKUP($D86,$C$5:$AU$503,3,)=0,0,(VLOOKUP($D86,$C$5:$AU$503,26,)/VLOOKUP($D86,$C$5:$AU$503,3,))*$E86)</f>
        <v>0</v>
      </c>
      <c r="AC86" s="66">
        <f>IF(VLOOKUP($D86,$C$5:$AU$503,3,)=0,0,(VLOOKUP($D86,$C$5:$AU$503,27,)/VLOOKUP($D86,$C$5:$AU$503,3,))*$E86)</f>
        <v>0</v>
      </c>
      <c r="AD86" s="66">
        <f>IF(VLOOKUP($D86,$C$5:$AU$503,3,)=0,0,(VLOOKUP($D86,$C$5:$AU$503,28,)/VLOOKUP($D86,$C$5:$AU$503,3,))*$E86)</f>
        <v>0</v>
      </c>
      <c r="AE86" s="66">
        <f>IF(VLOOKUP($D86,$C$5:$AU$503,3,)=0,0,(VLOOKUP($D86,$C$5:$AU$503,29,)/VLOOKUP($D86,$C$5:$AU$503,3,))*$E86)</f>
        <v>0</v>
      </c>
      <c r="AF86" s="66">
        <f>IF(VLOOKUP($D86,$C$5:$AU$503,3,)=0,0,(VLOOKUP($D86,$C$5:$AU$503,30,)/VLOOKUP($D86,$C$5:$AU$503,3,))*$E86)</f>
        <v>0</v>
      </c>
      <c r="AG86" s="93">
        <f>SUM(F86:AF86)</f>
        <v>0</v>
      </c>
      <c r="AH86" s="30" t="str">
        <f>IF(ABS(E86-AG86)&lt;0.01,"ok","err")</f>
        <v>ok</v>
      </c>
    </row>
    <row r="87" spans="1:34" x14ac:dyDescent="0.2">
      <c r="A87" s="14" t="s">
        <v>215</v>
      </c>
      <c r="C87" s="14" t="s">
        <v>252</v>
      </c>
      <c r="E87" s="234">
        <f t="shared" ref="E87:T87" si="16">E85+E86</f>
        <v>0</v>
      </c>
      <c r="F87" s="66">
        <f t="shared" si="16"/>
        <v>0</v>
      </c>
      <c r="G87" s="66">
        <f t="shared" si="16"/>
        <v>0</v>
      </c>
      <c r="H87" s="66">
        <f t="shared" si="16"/>
        <v>0</v>
      </c>
      <c r="I87" s="66">
        <f t="shared" si="16"/>
        <v>0</v>
      </c>
      <c r="J87" s="66">
        <f t="shared" si="16"/>
        <v>0</v>
      </c>
      <c r="K87" s="66">
        <f t="shared" si="16"/>
        <v>0</v>
      </c>
      <c r="L87" s="66">
        <f t="shared" si="16"/>
        <v>0</v>
      </c>
      <c r="M87" s="66">
        <f t="shared" si="16"/>
        <v>0</v>
      </c>
      <c r="N87" s="66">
        <f t="shared" si="16"/>
        <v>0</v>
      </c>
      <c r="O87" s="66">
        <f t="shared" si="16"/>
        <v>0</v>
      </c>
      <c r="P87" s="66">
        <f t="shared" si="16"/>
        <v>0</v>
      </c>
      <c r="Q87" s="66">
        <f t="shared" si="16"/>
        <v>0</v>
      </c>
      <c r="R87" s="66">
        <f t="shared" si="16"/>
        <v>0</v>
      </c>
      <c r="S87" s="66">
        <f t="shared" si="16"/>
        <v>0</v>
      </c>
      <c r="T87" s="66">
        <f t="shared" si="16"/>
        <v>0</v>
      </c>
      <c r="U87" s="66">
        <f t="shared" ref="U87:AF87" si="17">U85+U86</f>
        <v>0</v>
      </c>
      <c r="V87" s="66">
        <f t="shared" si="17"/>
        <v>0</v>
      </c>
      <c r="W87" s="66">
        <f t="shared" si="17"/>
        <v>0</v>
      </c>
      <c r="X87" s="66">
        <f t="shared" si="17"/>
        <v>0</v>
      </c>
      <c r="Y87" s="66">
        <f t="shared" si="17"/>
        <v>0</v>
      </c>
      <c r="Z87" s="66">
        <f t="shared" si="17"/>
        <v>0</v>
      </c>
      <c r="AA87" s="66">
        <f t="shared" si="17"/>
        <v>0</v>
      </c>
      <c r="AB87" s="66">
        <f t="shared" si="17"/>
        <v>0</v>
      </c>
      <c r="AC87" s="66">
        <f t="shared" si="17"/>
        <v>0</v>
      </c>
      <c r="AD87" s="66">
        <f t="shared" si="17"/>
        <v>0</v>
      </c>
      <c r="AE87" s="66">
        <f t="shared" si="17"/>
        <v>0</v>
      </c>
      <c r="AF87" s="66">
        <f t="shared" si="17"/>
        <v>0</v>
      </c>
      <c r="AG87" s="93">
        <f>SUM(F87:AF87)</f>
        <v>0</v>
      </c>
      <c r="AH87" s="30" t="str">
        <f>IF(ABS(E87-AG87)&lt;0.01,"ok","err")</f>
        <v>ok</v>
      </c>
    </row>
    <row r="88" spans="1:34" x14ac:dyDescent="0.2">
      <c r="E88" s="234"/>
      <c r="F88" s="50"/>
    </row>
    <row r="89" spans="1:34" x14ac:dyDescent="0.2">
      <c r="A89" s="13" t="s">
        <v>350</v>
      </c>
      <c r="E89" s="234"/>
      <c r="F89" s="50"/>
    </row>
    <row r="90" spans="1:34" x14ac:dyDescent="0.2">
      <c r="A90" s="96" t="s">
        <v>209</v>
      </c>
      <c r="C90" s="14" t="s">
        <v>884</v>
      </c>
      <c r="D90" s="14" t="s">
        <v>597</v>
      </c>
      <c r="E90" s="233">
        <f>'Func &amp; Classif'!K144</f>
        <v>0</v>
      </c>
      <c r="F90" s="66">
        <f>IF(VLOOKUP($D90,$C$5:$AU$503,3,)=0,0,(VLOOKUP($D90,$C$5:$AU$503,4,)/VLOOKUP($D90,$C$5:$AU$503,3,))*$E90)</f>
        <v>0</v>
      </c>
      <c r="G90" s="66">
        <f>IF(VLOOKUP($D90,$C$5:$AU$503,3,)=0,0,(VLOOKUP($D90,$C$5:$AU$503,5,)/VLOOKUP($D90,$C$5:$AU$503,3,))*$E90)</f>
        <v>0</v>
      </c>
      <c r="H90" s="66">
        <f>IF(VLOOKUP($D90,$C$5:$AU$503,3,)=0,0,(VLOOKUP($D90,$C$5:$AU$503,6,)/VLOOKUP($D90,$C$5:$AU$503,3,))*$E90)</f>
        <v>0</v>
      </c>
      <c r="I90" s="66">
        <f>IF(VLOOKUP($D90,$C$5:$AU$503,3,)=0,0,(VLOOKUP($D90,$C$5:$AU$503,7,)/VLOOKUP($D90,$C$5:$AU$503,3,))*$E90)</f>
        <v>0</v>
      </c>
      <c r="J90" s="66">
        <f>IF(VLOOKUP($D90,$C$5:$AU$503,3,)=0,0,(VLOOKUP($D90,$C$5:$AU$503,8,)/VLOOKUP($D90,$C$5:$AU$503,3,))*$E90)</f>
        <v>0</v>
      </c>
      <c r="K90" s="66">
        <f>IF(VLOOKUP($D90,$C$5:$AU$503,3,)=0,0,(VLOOKUP($D90,$C$5:$AU$503,9,)/VLOOKUP($D90,$C$5:$AU$503,3,))*$E90)</f>
        <v>0</v>
      </c>
      <c r="L90" s="66">
        <f>IF(VLOOKUP($D90,$C$5:$AU$503,3,)=0,0,(VLOOKUP($D90,$C$5:$AU$503,10,)/VLOOKUP($D90,$C$5:$AU$503,3,))*$E90)</f>
        <v>0</v>
      </c>
      <c r="M90" s="66">
        <f>IF(VLOOKUP($D90,$C$5:$AU$503,3,)=0,0,(VLOOKUP($D90,$C$5:$AU$503,11,)/VLOOKUP($D90,$C$5:$AU$503,3,))*$E90)</f>
        <v>0</v>
      </c>
      <c r="N90" s="66">
        <f>IF(VLOOKUP($D90,$C$5:$AU$503,3,)=0,0,(VLOOKUP($D90,$C$5:$AU$503,12,)/VLOOKUP($D90,$C$5:$AU$503,3,))*$E90)</f>
        <v>0</v>
      </c>
      <c r="O90" s="66">
        <f>IF(VLOOKUP($D90,$C$5:$AU$503,3,)=0,0,(VLOOKUP($D90,$C$5:$AU$503,13,)/VLOOKUP($D90,$C$5:$AU$503,3,))*$E90)</f>
        <v>0</v>
      </c>
      <c r="P90" s="66">
        <f>IF(VLOOKUP($D90,$C$5:$AU$503,3,)=0,0,(VLOOKUP($D90,$C$5:$AU$503,14,)/VLOOKUP($D90,$C$5:$AU$503,3,))*$E90)</f>
        <v>0</v>
      </c>
      <c r="Q90" s="66">
        <f>IF(VLOOKUP($D90,$C$5:$AU$503,3,)=0,0,(VLOOKUP($D90,$C$5:$AU$503,15,)/VLOOKUP($D90,$C$5:$AU$503,3,))*$E90)</f>
        <v>0</v>
      </c>
      <c r="R90" s="66">
        <f>IF(VLOOKUP($D90,$C$5:$AU$503,3,)=0,0,(VLOOKUP($D90,$C$5:$AU$503,16,)/VLOOKUP($D90,$C$5:$AU$503,3,))*$E90)</f>
        <v>0</v>
      </c>
      <c r="S90" s="66">
        <f>IF(VLOOKUP($D90,$C$5:$AU$503,3,)=0,0,(VLOOKUP($D90,$C$5:$AU$503,17,)/VLOOKUP($D90,$C$5:$AU$503,3,))*$E90)</f>
        <v>0</v>
      </c>
      <c r="T90" s="66">
        <f>IF(VLOOKUP($D90,$C$5:$AU$503,3,)=0,0,(VLOOKUP($D90,$C$5:$AU$503,18,)/VLOOKUP($D90,$C$5:$AU$503,3,))*$E90)</f>
        <v>0</v>
      </c>
      <c r="U90" s="66">
        <f>IF(VLOOKUP($D90,$C$5:$AU$503,3,)=0,0,(VLOOKUP($D90,$C$5:$AU$503,19,)/VLOOKUP($D90,$C$5:$AU$503,3,))*$E90)</f>
        <v>0</v>
      </c>
      <c r="V90" s="66">
        <f>IF(VLOOKUP($D90,$C$5:$AU$503,3,)=0,0,(VLOOKUP($D90,$C$5:$AU$503,20,)/VLOOKUP($D90,$C$5:$AU$503,3,))*$E90)</f>
        <v>0</v>
      </c>
      <c r="W90" s="66">
        <f>IF(VLOOKUP($D90,$C$5:$AU$503,3,)=0,0,(VLOOKUP($D90,$C$5:$AU$503,21,)/VLOOKUP($D90,$C$5:$AU$503,3,))*$E90)</f>
        <v>0</v>
      </c>
      <c r="X90" s="66">
        <f>IF(VLOOKUP($D90,$C$5:$AU$503,3,)=0,0,(VLOOKUP($D90,$C$5:$AU$503,22,)/VLOOKUP($D90,$C$5:$AU$503,3,))*$E90)</f>
        <v>0</v>
      </c>
      <c r="Y90" s="66">
        <f>IF(VLOOKUP($D90,$C$5:$AU$503,3,)=0,0,(VLOOKUP($D90,$C$5:$AU$503,23,)/VLOOKUP($D90,$C$5:$AU$503,3,))*$E90)</f>
        <v>0</v>
      </c>
      <c r="Z90" s="66">
        <f>IF(VLOOKUP($D90,$C$5:$AU$503,3,)=0,0,(VLOOKUP($D90,$C$5:$AU$503,24,)/VLOOKUP($D90,$C$5:$AU$503,3,))*$E90)</f>
        <v>0</v>
      </c>
      <c r="AA90" s="66">
        <f>IF(VLOOKUP($D90,$C$5:$AU$503,3,)=0,0,(VLOOKUP($D90,$C$5:$AU$503,25,)/VLOOKUP($D90,$C$5:$AU$503,3,))*$E90)</f>
        <v>0</v>
      </c>
      <c r="AB90" s="66">
        <f>IF(VLOOKUP($D90,$C$5:$AU$503,3,)=0,0,(VLOOKUP($D90,$C$5:$AU$503,26,)/VLOOKUP($D90,$C$5:$AU$503,3,))*$E90)</f>
        <v>0</v>
      </c>
      <c r="AC90" s="66">
        <f>IF(VLOOKUP($D90,$C$5:$AU$503,3,)=0,0,(VLOOKUP($D90,$C$5:$AU$503,27,)/VLOOKUP($D90,$C$5:$AU$503,3,))*$E90)</f>
        <v>0</v>
      </c>
      <c r="AD90" s="66">
        <f>IF(VLOOKUP($D90,$C$5:$AU$503,3,)=0,0,(VLOOKUP($D90,$C$5:$AU$503,28,)/VLOOKUP($D90,$C$5:$AU$503,3,))*$E90)</f>
        <v>0</v>
      </c>
      <c r="AE90" s="66">
        <f>IF(VLOOKUP($D90,$C$5:$AU$503,3,)=0,0,(VLOOKUP($D90,$C$5:$AU$503,29,)/VLOOKUP($D90,$C$5:$AU$503,3,))*$E90)</f>
        <v>0</v>
      </c>
      <c r="AF90" s="66">
        <f>IF(VLOOKUP($D90,$C$5:$AU$503,3,)=0,0,(VLOOKUP($D90,$C$5:$AU$503,30,)/VLOOKUP($D90,$C$5:$AU$503,3,))*$E90)</f>
        <v>0</v>
      </c>
      <c r="AG90" s="93">
        <f>SUM(F90:AF90)</f>
        <v>0</v>
      </c>
      <c r="AH90" s="30" t="str">
        <f>IF(ABS(E90-AG90)&lt;0.01,"ok","err")</f>
        <v>ok</v>
      </c>
    </row>
    <row r="91" spans="1:34" x14ac:dyDescent="0.2">
      <c r="E91" s="234"/>
    </row>
    <row r="92" spans="1:34" x14ac:dyDescent="0.2">
      <c r="A92" s="13" t="s">
        <v>1</v>
      </c>
      <c r="E92" s="234"/>
      <c r="F92" s="50"/>
    </row>
    <row r="93" spans="1:34" x14ac:dyDescent="0.2">
      <c r="A93" s="96" t="s">
        <v>209</v>
      </c>
      <c r="C93" s="14" t="s">
        <v>253</v>
      </c>
      <c r="D93" s="14" t="s">
        <v>613</v>
      </c>
      <c r="E93" s="233">
        <f>'Func &amp; Classif'!M144</f>
        <v>835346.59274935944</v>
      </c>
      <c r="F93" s="66">
        <f>IF(VLOOKUP($D93,$C$5:$AU$503,3,)=0,0,(VLOOKUP($D93,$C$5:$AU$503,4,)/VLOOKUP($D93,$C$5:$AU$503,3,))*$E93)</f>
        <v>639472.23705925373</v>
      </c>
      <c r="G93" s="66">
        <f>IF(VLOOKUP($D93,$C$5:$AU$503,3,)=0,0,(VLOOKUP($D93,$C$5:$AU$503,5,)/VLOOKUP($D93,$C$5:$AU$503,3,))*$E93)</f>
        <v>0</v>
      </c>
      <c r="H93" s="66">
        <f>IF(VLOOKUP($D93,$C$5:$AU$503,3,)=0,0,(VLOOKUP($D93,$C$5:$AU$503,6,)/VLOOKUP($D93,$C$5:$AU$503,3,))*$E93)</f>
        <v>101410.11765600344</v>
      </c>
      <c r="I93" s="66">
        <f>IF(VLOOKUP($D93,$C$5:$AU$503,3,)=0,0,(VLOOKUP($D93,$C$5:$AU$503,7,)/VLOOKUP($D93,$C$5:$AU$503,3,))*$E93)</f>
        <v>3626.970003974388</v>
      </c>
      <c r="J93" s="66">
        <f>IF(VLOOKUP($D93,$C$5:$AU$503,3,)=0,0,(VLOOKUP($D93,$C$5:$AU$503,8,)/VLOOKUP($D93,$C$5:$AU$503,3,))*$E93)</f>
        <v>32496.618635367315</v>
      </c>
      <c r="K93" s="66">
        <f>IF(VLOOKUP($D93,$C$5:$AU$503,3,)=0,0,(VLOOKUP($D93,$C$5:$AU$503,9,)/VLOOKUP($D93,$C$5:$AU$503,3,))*$E93)</f>
        <v>41408.396858046268</v>
      </c>
      <c r="L93" s="66">
        <f>IF(VLOOKUP($D93,$C$5:$AU$503,3,)=0,0,(VLOOKUP($D93,$C$5:$AU$503,10,)/VLOOKUP($D93,$C$5:$AU$503,3,))*$E93)</f>
        <v>6393.0503715431223</v>
      </c>
      <c r="M93" s="66">
        <f>IF(VLOOKUP($D93,$C$5:$AU$503,3,)=0,0,(VLOOKUP($D93,$C$5:$AU$503,11,)/VLOOKUP($D93,$C$5:$AU$503,3,))*$E93)</f>
        <v>5654.2934256430717</v>
      </c>
      <c r="N93" s="66">
        <f>IF(VLOOKUP($D93,$C$5:$AU$503,3,)=0,0,(VLOOKUP($D93,$C$5:$AU$503,12,)/VLOOKUP($D93,$C$5:$AU$503,3,))*$E93)</f>
        <v>4884.9087395281076</v>
      </c>
      <c r="O93" s="66">
        <f>IF(VLOOKUP($D93,$C$5:$AU$503,3,)=0,0,(VLOOKUP($D93,$C$5:$AU$503,13,)/VLOOKUP($D93,$C$5:$AU$503,3,))*$E93)</f>
        <v>0</v>
      </c>
      <c r="P93" s="66">
        <f>IF(VLOOKUP($D93,$C$5:$AU$503,3,)=0,0,(VLOOKUP($D93,$C$5:$AU$503,14,)/VLOOKUP($D93,$C$5:$AU$503,3,))*$E93)</f>
        <v>0</v>
      </c>
      <c r="Q93" s="66">
        <f>IF(VLOOKUP($D93,$C$5:$AU$503,3,)=0,0,(VLOOKUP($D93,$C$5:$AU$503,15,)/VLOOKUP($D93,$C$5:$AU$503,3,))*$E93)</f>
        <v>0</v>
      </c>
      <c r="R93" s="66">
        <f>IF(VLOOKUP($D93,$C$5:$AU$503,3,)=0,0,(VLOOKUP($D93,$C$5:$AU$503,16,)/VLOOKUP($D93,$C$5:$AU$503,3,))*$E93)</f>
        <v>0</v>
      </c>
      <c r="S93" s="66">
        <f>IF(VLOOKUP($D93,$C$5:$AU$503,3,)=0,0,(VLOOKUP($D93,$C$5:$AU$503,17,)/VLOOKUP($D93,$C$5:$AU$503,3,))*$E93)</f>
        <v>0</v>
      </c>
      <c r="T93" s="66">
        <f>IF(VLOOKUP($D93,$C$5:$AU$503,3,)=0,0,(VLOOKUP($D93,$C$5:$AU$503,18,)/VLOOKUP($D93,$C$5:$AU$503,3,))*$E93)</f>
        <v>0</v>
      </c>
      <c r="U93" s="66">
        <f>IF(VLOOKUP($D93,$C$5:$AU$503,3,)=0,0,(VLOOKUP($D93,$C$5:$AU$503,19,)/VLOOKUP($D93,$C$5:$AU$503,3,))*$E93)</f>
        <v>0</v>
      </c>
      <c r="V93" s="66">
        <f>IF(VLOOKUP($D93,$C$5:$AU$503,3,)=0,0,(VLOOKUP($D93,$C$5:$AU$503,20,)/VLOOKUP($D93,$C$5:$AU$503,3,))*$E93)</f>
        <v>0</v>
      </c>
      <c r="W93" s="66">
        <f>IF(VLOOKUP($D93,$C$5:$AU$503,3,)=0,0,(VLOOKUP($D93,$C$5:$AU$503,21,)/VLOOKUP($D93,$C$5:$AU$503,3,))*$E93)</f>
        <v>0</v>
      </c>
      <c r="X93" s="66">
        <f>IF(VLOOKUP($D93,$C$5:$AU$503,3,)=0,0,(VLOOKUP($D93,$C$5:$AU$503,22,)/VLOOKUP($D93,$C$5:$AU$503,3,))*$E93)</f>
        <v>0</v>
      </c>
      <c r="Y93" s="66">
        <f>IF(VLOOKUP($D93,$C$5:$AU$503,3,)=0,0,(VLOOKUP($D93,$C$5:$AU$503,23,)/VLOOKUP($D93,$C$5:$AU$503,3,))*$E93)</f>
        <v>0</v>
      </c>
      <c r="Z93" s="66">
        <f>IF(VLOOKUP($D93,$C$5:$AU$503,3,)=0,0,(VLOOKUP($D93,$C$5:$AU$503,24,)/VLOOKUP($D93,$C$5:$AU$503,3,))*$E93)</f>
        <v>0</v>
      </c>
      <c r="AA93" s="66">
        <f>IF(VLOOKUP($D93,$C$5:$AU$503,3,)=0,0,(VLOOKUP($D93,$C$5:$AU$503,25,)/VLOOKUP($D93,$C$5:$AU$503,3,))*$E93)</f>
        <v>0</v>
      </c>
      <c r="AB93" s="66">
        <f>IF(VLOOKUP($D93,$C$5:$AU$503,3,)=0,0,(VLOOKUP($D93,$C$5:$AU$503,26,)/VLOOKUP($D93,$C$5:$AU$503,3,))*$E93)</f>
        <v>0</v>
      </c>
      <c r="AC93" s="66">
        <f>IF(VLOOKUP($D93,$C$5:$AU$503,3,)=0,0,(VLOOKUP($D93,$C$5:$AU$503,27,)/VLOOKUP($D93,$C$5:$AU$503,3,))*$E93)</f>
        <v>0</v>
      </c>
      <c r="AD93" s="66">
        <f>IF(VLOOKUP($D93,$C$5:$AU$503,3,)=0,0,(VLOOKUP($D93,$C$5:$AU$503,28,)/VLOOKUP($D93,$C$5:$AU$503,3,))*$E93)</f>
        <v>0</v>
      </c>
      <c r="AE93" s="66">
        <f>IF(VLOOKUP($D93,$C$5:$AU$503,3,)=0,0,(VLOOKUP($D93,$C$5:$AU$503,29,)/VLOOKUP($D93,$C$5:$AU$503,3,))*$E93)</f>
        <v>0</v>
      </c>
      <c r="AF93" s="66">
        <f>IF(VLOOKUP($D93,$C$5:$AU$503,3,)=0,0,(VLOOKUP($D93,$C$5:$AU$503,30,)/VLOOKUP($D93,$C$5:$AU$503,3,))*$E93)</f>
        <v>0</v>
      </c>
      <c r="AG93" s="93">
        <f>SUM(F93:AF93)</f>
        <v>835346.59274935967</v>
      </c>
      <c r="AH93" s="30" t="str">
        <f>IF(ABS(E93-AG93)&lt;0.01,"ok","err")</f>
        <v>ok</v>
      </c>
    </row>
    <row r="94" spans="1:34" x14ac:dyDescent="0.2">
      <c r="E94" s="234"/>
    </row>
    <row r="95" spans="1:34" x14ac:dyDescent="0.2">
      <c r="A95" s="13" t="s">
        <v>2</v>
      </c>
      <c r="E95" s="234"/>
    </row>
    <row r="96" spans="1:34" x14ac:dyDescent="0.2">
      <c r="A96" s="96" t="s">
        <v>209</v>
      </c>
      <c r="C96" s="14" t="s">
        <v>254</v>
      </c>
      <c r="D96" s="14" t="s">
        <v>605</v>
      </c>
      <c r="E96" s="233">
        <f>'Func &amp; Classif'!O144</f>
        <v>108665857.21361455</v>
      </c>
      <c r="F96" s="66">
        <f>IF(VLOOKUP($D96,$C$5:$AU$503,3,)=0,0,(VLOOKUP($D96,$C$5:$AU$503,4,)/VLOOKUP($D96,$C$5:$AU$503,3,))*$E96)</f>
        <v>86006543.732805148</v>
      </c>
      <c r="G96" s="66">
        <f>IF(VLOOKUP($D96,$C$5:$AU$503,3,)=0,0,(VLOOKUP($D96,$C$5:$AU$503,5,)/VLOOKUP($D96,$C$5:$AU$503,3,))*$E96)</f>
        <v>6131166.3828241555</v>
      </c>
      <c r="H96" s="66">
        <f>IF(VLOOKUP($D96,$C$5:$AU$503,3,)=0,0,(VLOOKUP($D96,$C$5:$AU$503,6,)/VLOOKUP($D96,$C$5:$AU$503,3,))*$E96)</f>
        <v>8924097.9062499572</v>
      </c>
      <c r="I96" s="66">
        <f>IF(VLOOKUP($D96,$C$5:$AU$503,3,)=0,0,(VLOOKUP($D96,$C$5:$AU$503,7,)/VLOOKUP($D96,$C$5:$AU$503,3,))*$E96)</f>
        <v>306509.96743270784</v>
      </c>
      <c r="J96" s="66">
        <f>IF(VLOOKUP($D96,$C$5:$AU$503,3,)=0,0,(VLOOKUP($D96,$C$5:$AU$503,8,)/VLOOKUP($D96,$C$5:$AU$503,3,))*$E96)</f>
        <v>2437697.0235487749</v>
      </c>
      <c r="K96" s="66">
        <f>IF(VLOOKUP($D96,$C$5:$AU$503,3,)=0,0,(VLOOKUP($D96,$C$5:$AU$503,9,)/VLOOKUP($D96,$C$5:$AU$503,3,))*$E96)</f>
        <v>2640057.1296458622</v>
      </c>
      <c r="L96" s="66">
        <f>IF(VLOOKUP($D96,$C$5:$AU$503,3,)=0,0,(VLOOKUP($D96,$C$5:$AU$503,10,)/VLOOKUP($D96,$C$5:$AU$503,3,))*$E96)</f>
        <v>990268.4052802301</v>
      </c>
      <c r="M96" s="66">
        <f>IF(VLOOKUP($D96,$C$5:$AU$503,3,)=0,0,(VLOOKUP($D96,$C$5:$AU$503,11,)/VLOOKUP($D96,$C$5:$AU$503,3,))*$E96)</f>
        <v>696768.999960299</v>
      </c>
      <c r="N96" s="66">
        <f>IF(VLOOKUP($D96,$C$5:$AU$503,3,)=0,0,(VLOOKUP($D96,$C$5:$AU$503,12,)/VLOOKUP($D96,$C$5:$AU$503,3,))*$E96)</f>
        <v>532747.66586739535</v>
      </c>
      <c r="O96" s="66">
        <f>IF(VLOOKUP($D96,$C$5:$AU$503,3,)=0,0,(VLOOKUP($D96,$C$5:$AU$503,13,)/VLOOKUP($D96,$C$5:$AU$503,3,))*$E96)</f>
        <v>0</v>
      </c>
      <c r="P96" s="66">
        <f>IF(VLOOKUP($D96,$C$5:$AU$503,3,)=0,0,(VLOOKUP($D96,$C$5:$AU$503,14,)/VLOOKUP($D96,$C$5:$AU$503,3,))*$E96)</f>
        <v>0</v>
      </c>
      <c r="Q96" s="66">
        <f>IF(VLOOKUP($D96,$C$5:$AU$503,3,)=0,0,(VLOOKUP($D96,$C$5:$AU$503,15,)/VLOOKUP($D96,$C$5:$AU$503,3,))*$E96)</f>
        <v>0</v>
      </c>
      <c r="R96" s="66">
        <f>IF(VLOOKUP($D96,$C$5:$AU$503,3,)=0,0,(VLOOKUP($D96,$C$5:$AU$503,16,)/VLOOKUP($D96,$C$5:$AU$503,3,))*$E96)</f>
        <v>0</v>
      </c>
      <c r="S96" s="66">
        <f>IF(VLOOKUP($D96,$C$5:$AU$503,3,)=0,0,(VLOOKUP($D96,$C$5:$AU$503,17,)/VLOOKUP($D96,$C$5:$AU$503,3,))*$E96)</f>
        <v>0</v>
      </c>
      <c r="T96" s="66">
        <f>IF(VLOOKUP($D96,$C$5:$AU$503,3,)=0,0,(VLOOKUP($D96,$C$5:$AU$503,18,)/VLOOKUP($D96,$C$5:$AU$503,3,))*$E96)</f>
        <v>0</v>
      </c>
      <c r="U96" s="66">
        <f>IF(VLOOKUP($D96,$C$5:$AU$503,3,)=0,0,(VLOOKUP($D96,$C$5:$AU$503,19,)/VLOOKUP($D96,$C$5:$AU$503,3,))*$E96)</f>
        <v>0</v>
      </c>
      <c r="V96" s="66">
        <f>IF(VLOOKUP($D96,$C$5:$AU$503,3,)=0,0,(VLOOKUP($D96,$C$5:$AU$503,20,)/VLOOKUP($D96,$C$5:$AU$503,3,))*$E96)</f>
        <v>0</v>
      </c>
      <c r="W96" s="66">
        <f>IF(VLOOKUP($D96,$C$5:$AU$503,3,)=0,0,(VLOOKUP($D96,$C$5:$AU$503,21,)/VLOOKUP($D96,$C$5:$AU$503,3,))*$E96)</f>
        <v>0</v>
      </c>
      <c r="X96" s="66">
        <f>IF(VLOOKUP($D96,$C$5:$AU$503,3,)=0,0,(VLOOKUP($D96,$C$5:$AU$503,22,)/VLOOKUP($D96,$C$5:$AU$503,3,))*$E96)</f>
        <v>0</v>
      </c>
      <c r="Y96" s="66">
        <f>IF(VLOOKUP($D96,$C$5:$AU$503,3,)=0,0,(VLOOKUP($D96,$C$5:$AU$503,23,)/VLOOKUP($D96,$C$5:$AU$503,3,))*$E96)</f>
        <v>0</v>
      </c>
      <c r="Z96" s="66">
        <f>IF(VLOOKUP($D96,$C$5:$AU$503,3,)=0,0,(VLOOKUP($D96,$C$5:$AU$503,24,)/VLOOKUP($D96,$C$5:$AU$503,3,))*$E96)</f>
        <v>0</v>
      </c>
      <c r="AA96" s="66">
        <f>IF(VLOOKUP($D96,$C$5:$AU$503,3,)=0,0,(VLOOKUP($D96,$C$5:$AU$503,25,)/VLOOKUP($D96,$C$5:$AU$503,3,))*$E96)</f>
        <v>0</v>
      </c>
      <c r="AB96" s="66">
        <f>IF(VLOOKUP($D96,$C$5:$AU$503,3,)=0,0,(VLOOKUP($D96,$C$5:$AU$503,26,)/VLOOKUP($D96,$C$5:$AU$503,3,))*$E96)</f>
        <v>0</v>
      </c>
      <c r="AC96" s="66">
        <f>IF(VLOOKUP($D96,$C$5:$AU$503,3,)=0,0,(VLOOKUP($D96,$C$5:$AU$503,27,)/VLOOKUP($D96,$C$5:$AU$503,3,))*$E96)</f>
        <v>0</v>
      </c>
      <c r="AD96" s="66">
        <f>IF(VLOOKUP($D96,$C$5:$AU$503,3,)=0,0,(VLOOKUP($D96,$C$5:$AU$503,28,)/VLOOKUP($D96,$C$5:$AU$503,3,))*$E96)</f>
        <v>0</v>
      </c>
      <c r="AE96" s="66">
        <f>IF(VLOOKUP($D96,$C$5:$AU$503,3,)=0,0,(VLOOKUP($D96,$C$5:$AU$503,29,)/VLOOKUP($D96,$C$5:$AU$503,3,))*$E96)</f>
        <v>0</v>
      </c>
      <c r="AF96" s="66">
        <f>IF(VLOOKUP($D96,$C$5:$AU$503,3,)=0,0,(VLOOKUP($D96,$C$5:$AU$503,30,)/VLOOKUP($D96,$C$5:$AU$503,3,))*$E96)</f>
        <v>0</v>
      </c>
      <c r="AG96" s="93">
        <f>SUM(F96:AF96)</f>
        <v>108665857.21361454</v>
      </c>
      <c r="AH96" s="30" t="str">
        <f>IF(ABS(E96-AG96)&lt;0.01,"ok","err")</f>
        <v>ok</v>
      </c>
    </row>
    <row r="97" spans="1:34" x14ac:dyDescent="0.2">
      <c r="A97" s="96" t="s">
        <v>221</v>
      </c>
      <c r="C97" s="14" t="s">
        <v>255</v>
      </c>
      <c r="D97" s="14" t="s">
        <v>223</v>
      </c>
      <c r="E97" s="234">
        <f>'Func &amp; Classif'!P144</f>
        <v>60889841.202910349</v>
      </c>
      <c r="F97" s="66">
        <f>IF(VLOOKUP($D97,$C$5:$AU$503,3,)=0,0,(VLOOKUP($D97,$C$5:$AU$503,4,)/VLOOKUP($D97,$C$5:$AU$503,3,))*$E97)</f>
        <v>56136323.929906972</v>
      </c>
      <c r="G97" s="66">
        <f>IF(VLOOKUP($D97,$C$5:$AU$503,3,)=0,0,(VLOOKUP($D97,$C$5:$AU$503,5,)/VLOOKUP($D97,$C$5:$AU$503,3,))*$E97)</f>
        <v>4201885.1687926501</v>
      </c>
      <c r="H97" s="66">
        <f>IF(VLOOKUP($D97,$C$5:$AU$503,3,)=0,0,(VLOOKUP($D97,$C$5:$AU$503,6,)/VLOOKUP($D97,$C$5:$AU$503,3,))*$E97)</f>
        <v>384418.62262185063</v>
      </c>
      <c r="I97" s="66">
        <f>IF(VLOOKUP($D97,$C$5:$AU$503,3,)=0,0,(VLOOKUP($D97,$C$5:$AU$503,7,)/VLOOKUP($D97,$C$5:$AU$503,3,))*$E97)</f>
        <v>861.92516282926147</v>
      </c>
      <c r="J97" s="66">
        <f>IF(VLOOKUP($D97,$C$5:$AU$503,3,)=0,0,(VLOOKUP($D97,$C$5:$AU$503,8,)/VLOOKUP($D97,$C$5:$AU$503,3,))*$E97)</f>
        <v>1723.8503256585229</v>
      </c>
      <c r="K97" s="66">
        <f>IF(VLOOKUP($D97,$C$5:$AU$503,3,)=0,0,(VLOOKUP($D97,$C$5:$AU$503,9,)/VLOOKUP($D97,$C$5:$AU$503,3,))*$E97)</f>
        <v>7757.326465463354</v>
      </c>
      <c r="L97" s="66">
        <f>IF(VLOOKUP($D97,$C$5:$AU$503,3,)=0,0,(VLOOKUP($D97,$C$5:$AU$503,10,)/VLOOKUP($D97,$C$5:$AU$503,3,))*$E97)</f>
        <v>122393.37312175514</v>
      </c>
      <c r="M97" s="66">
        <f>IF(VLOOKUP($D97,$C$5:$AU$503,3,)=0,0,(VLOOKUP($D97,$C$5:$AU$503,11,)/VLOOKUP($D97,$C$5:$AU$503,3,))*$E97)</f>
        <v>14652.727768097446</v>
      </c>
      <c r="N97" s="66">
        <f>IF(VLOOKUP($D97,$C$5:$AU$503,3,)=0,0,(VLOOKUP($D97,$C$5:$AU$503,12,)/VLOOKUP($D97,$C$5:$AU$503,3,))*$E97)</f>
        <v>19824.278745073014</v>
      </c>
      <c r="O97" s="66">
        <f>IF(VLOOKUP($D97,$C$5:$AU$503,3,)=0,0,(VLOOKUP($D97,$C$5:$AU$503,13,)/VLOOKUP($D97,$C$5:$AU$503,3,))*$E97)</f>
        <v>0</v>
      </c>
      <c r="P97" s="66">
        <f>IF(VLOOKUP($D97,$C$5:$AU$503,3,)=0,0,(VLOOKUP($D97,$C$5:$AU$503,14,)/VLOOKUP($D97,$C$5:$AU$503,3,))*$E97)</f>
        <v>0</v>
      </c>
      <c r="Q97" s="66">
        <f>IF(VLOOKUP($D97,$C$5:$AU$503,3,)=0,0,(VLOOKUP($D97,$C$5:$AU$503,15,)/VLOOKUP($D97,$C$5:$AU$503,3,))*$E97)</f>
        <v>0</v>
      </c>
      <c r="R97" s="66">
        <f>IF(VLOOKUP($D97,$C$5:$AU$503,3,)=0,0,(VLOOKUP($D97,$C$5:$AU$503,16,)/VLOOKUP($D97,$C$5:$AU$503,3,))*$E97)</f>
        <v>0</v>
      </c>
      <c r="S97" s="66">
        <f>IF(VLOOKUP($D97,$C$5:$AU$503,3,)=0,0,(VLOOKUP($D97,$C$5:$AU$503,17,)/VLOOKUP($D97,$C$5:$AU$503,3,))*$E97)</f>
        <v>0</v>
      </c>
      <c r="T97" s="66">
        <f>IF(VLOOKUP($D97,$C$5:$AU$503,3,)=0,0,(VLOOKUP($D97,$C$5:$AU$503,18,)/VLOOKUP($D97,$C$5:$AU$503,3,))*$E97)</f>
        <v>0</v>
      </c>
      <c r="U97" s="66">
        <f>IF(VLOOKUP($D97,$C$5:$AU$503,3,)=0,0,(VLOOKUP($D97,$C$5:$AU$503,19,)/VLOOKUP($D97,$C$5:$AU$503,3,))*$E97)</f>
        <v>0</v>
      </c>
      <c r="V97" s="66">
        <f>IF(VLOOKUP($D97,$C$5:$AU$503,3,)=0,0,(VLOOKUP($D97,$C$5:$AU$503,20,)/VLOOKUP($D97,$C$5:$AU$503,3,))*$E97)</f>
        <v>0</v>
      </c>
      <c r="W97" s="66">
        <f>IF(VLOOKUP($D97,$C$5:$AU$503,3,)=0,0,(VLOOKUP($D97,$C$5:$AU$503,21,)/VLOOKUP($D97,$C$5:$AU$503,3,))*$E97)</f>
        <v>0</v>
      </c>
      <c r="X97" s="66">
        <f>IF(VLOOKUP($D97,$C$5:$AU$503,3,)=0,0,(VLOOKUP($D97,$C$5:$AU$503,22,)/VLOOKUP($D97,$C$5:$AU$503,3,))*$E97)</f>
        <v>0</v>
      </c>
      <c r="Y97" s="66">
        <f>IF(VLOOKUP($D97,$C$5:$AU$503,3,)=0,0,(VLOOKUP($D97,$C$5:$AU$503,23,)/VLOOKUP($D97,$C$5:$AU$503,3,))*$E97)</f>
        <v>0</v>
      </c>
      <c r="Z97" s="66">
        <f>IF(VLOOKUP($D97,$C$5:$AU$503,3,)=0,0,(VLOOKUP($D97,$C$5:$AU$503,24,)/VLOOKUP($D97,$C$5:$AU$503,3,))*$E97)</f>
        <v>0</v>
      </c>
      <c r="AA97" s="66">
        <f>IF(VLOOKUP($D97,$C$5:$AU$503,3,)=0,0,(VLOOKUP($D97,$C$5:$AU$503,25,)/VLOOKUP($D97,$C$5:$AU$503,3,))*$E97)</f>
        <v>0</v>
      </c>
      <c r="AB97" s="66">
        <f>IF(VLOOKUP($D97,$C$5:$AU$503,3,)=0,0,(VLOOKUP($D97,$C$5:$AU$503,26,)/VLOOKUP($D97,$C$5:$AU$503,3,))*$E97)</f>
        <v>0</v>
      </c>
      <c r="AC97" s="66">
        <f>IF(VLOOKUP($D97,$C$5:$AU$503,3,)=0,0,(VLOOKUP($D97,$C$5:$AU$503,27,)/VLOOKUP($D97,$C$5:$AU$503,3,))*$E97)</f>
        <v>0</v>
      </c>
      <c r="AD97" s="66">
        <f>IF(VLOOKUP($D97,$C$5:$AU$503,3,)=0,0,(VLOOKUP($D97,$C$5:$AU$503,28,)/VLOOKUP($D97,$C$5:$AU$503,3,))*$E97)</f>
        <v>0</v>
      </c>
      <c r="AE97" s="66">
        <f>IF(VLOOKUP($D97,$C$5:$AU$503,3,)=0,0,(VLOOKUP($D97,$C$5:$AU$503,29,)/VLOOKUP($D97,$C$5:$AU$503,3,))*$E97)</f>
        <v>0</v>
      </c>
      <c r="AF97" s="66">
        <f>IF(VLOOKUP($D97,$C$5:$AU$503,3,)=0,0,(VLOOKUP($D97,$C$5:$AU$503,30,)/VLOOKUP($D97,$C$5:$AU$503,3,))*$E97)</f>
        <v>0</v>
      </c>
      <c r="AG97" s="93">
        <f>SUM(F97:AF97)</f>
        <v>60889841.202910349</v>
      </c>
      <c r="AH97" s="30" t="str">
        <f>IF(ABS(E97-AG97)&lt;0.01,"ok","err")</f>
        <v>ok</v>
      </c>
    </row>
    <row r="98" spans="1:34" x14ac:dyDescent="0.2">
      <c r="A98" s="14" t="s">
        <v>224</v>
      </c>
      <c r="E98" s="233">
        <f t="shared" ref="E98:T98" si="18">E96+E97</f>
        <v>169555698.41652489</v>
      </c>
      <c r="F98" s="66">
        <f t="shared" si="18"/>
        <v>142142867.66271213</v>
      </c>
      <c r="G98" s="66">
        <f t="shared" si="18"/>
        <v>10333051.551616807</v>
      </c>
      <c r="H98" s="66">
        <f t="shared" si="18"/>
        <v>9308516.5288718082</v>
      </c>
      <c r="I98" s="66">
        <f t="shared" si="18"/>
        <v>307371.89259553712</v>
      </c>
      <c r="J98" s="66">
        <f t="shared" si="18"/>
        <v>2439420.8738744333</v>
      </c>
      <c r="K98" s="66">
        <f t="shared" si="18"/>
        <v>2647814.4561113254</v>
      </c>
      <c r="L98" s="66">
        <f t="shared" si="18"/>
        <v>1112661.7784019853</v>
      </c>
      <c r="M98" s="66">
        <f t="shared" si="18"/>
        <v>711421.72772839642</v>
      </c>
      <c r="N98" s="66">
        <f t="shared" si="18"/>
        <v>552571.94461246836</v>
      </c>
      <c r="O98" s="66">
        <f t="shared" si="18"/>
        <v>0</v>
      </c>
      <c r="P98" s="66">
        <f t="shared" si="18"/>
        <v>0</v>
      </c>
      <c r="Q98" s="66">
        <f t="shared" si="18"/>
        <v>0</v>
      </c>
      <c r="R98" s="66">
        <f t="shared" si="18"/>
        <v>0</v>
      </c>
      <c r="S98" s="66">
        <f t="shared" si="18"/>
        <v>0</v>
      </c>
      <c r="T98" s="66">
        <f t="shared" si="18"/>
        <v>0</v>
      </c>
      <c r="U98" s="66">
        <f t="shared" ref="U98:AF98" si="19">U96+U97</f>
        <v>0</v>
      </c>
      <c r="V98" s="66">
        <f t="shared" si="19"/>
        <v>0</v>
      </c>
      <c r="W98" s="66">
        <f t="shared" si="19"/>
        <v>0</v>
      </c>
      <c r="X98" s="66">
        <f t="shared" si="19"/>
        <v>0</v>
      </c>
      <c r="Y98" s="66">
        <f t="shared" si="19"/>
        <v>0</v>
      </c>
      <c r="Z98" s="66">
        <f t="shared" si="19"/>
        <v>0</v>
      </c>
      <c r="AA98" s="66">
        <f t="shared" si="19"/>
        <v>0</v>
      </c>
      <c r="AB98" s="66">
        <f t="shared" si="19"/>
        <v>0</v>
      </c>
      <c r="AC98" s="66">
        <f t="shared" si="19"/>
        <v>0</v>
      </c>
      <c r="AD98" s="66">
        <f t="shared" si="19"/>
        <v>0</v>
      </c>
      <c r="AE98" s="66">
        <f t="shared" si="19"/>
        <v>0</v>
      </c>
      <c r="AF98" s="66">
        <f t="shared" si="19"/>
        <v>0</v>
      </c>
      <c r="AG98" s="93">
        <f>SUM(F98:AF98)</f>
        <v>169555698.41652486</v>
      </c>
      <c r="AH98" s="30" t="str">
        <f>IF(ABS(E98-AG98)&lt;0.01,"ok","err")</f>
        <v>ok</v>
      </c>
    </row>
    <row r="99" spans="1:34" x14ac:dyDescent="0.2">
      <c r="E99" s="234"/>
    </row>
    <row r="100" spans="1:34" x14ac:dyDescent="0.2">
      <c r="A100" s="13" t="s">
        <v>3</v>
      </c>
      <c r="E100" s="234"/>
    </row>
    <row r="101" spans="1:34" x14ac:dyDescent="0.2">
      <c r="A101" s="96" t="s">
        <v>209</v>
      </c>
      <c r="C101" s="14" t="s">
        <v>256</v>
      </c>
      <c r="D101" s="14" t="s">
        <v>617</v>
      </c>
      <c r="E101" s="233">
        <f>'Func &amp; Classif'!R144</f>
        <v>0</v>
      </c>
      <c r="F101" s="66">
        <f>IF(VLOOKUP($D101,$C$5:$AU$503,3,)=0,0,(VLOOKUP($D101,$C$5:$AU$503,4,)/VLOOKUP($D101,$C$5:$AU$503,3,))*$E101)</f>
        <v>0</v>
      </c>
      <c r="G101" s="66">
        <f>IF(VLOOKUP($D101,$C$5:$AU$503,3,)=0,0,(VLOOKUP($D101,$C$5:$AU$503,5,)/VLOOKUP($D101,$C$5:$AU$503,3,))*$E101)</f>
        <v>0</v>
      </c>
      <c r="H101" s="66">
        <f>IF(VLOOKUP($D101,$C$5:$AU$503,3,)=0,0,(VLOOKUP($D101,$C$5:$AU$503,6,)/VLOOKUP($D101,$C$5:$AU$503,3,))*$E101)</f>
        <v>0</v>
      </c>
      <c r="I101" s="66">
        <f>IF(VLOOKUP($D101,$C$5:$AU$503,3,)=0,0,(VLOOKUP($D101,$C$5:$AU$503,7,)/VLOOKUP($D101,$C$5:$AU$503,3,))*$E101)</f>
        <v>0</v>
      </c>
      <c r="J101" s="66">
        <f>IF(VLOOKUP($D101,$C$5:$AU$503,3,)=0,0,(VLOOKUP($D101,$C$5:$AU$503,8,)/VLOOKUP($D101,$C$5:$AU$503,3,))*$E101)</f>
        <v>0</v>
      </c>
      <c r="K101" s="66">
        <f>IF(VLOOKUP($D101,$C$5:$AU$503,3,)=0,0,(VLOOKUP($D101,$C$5:$AU$503,9,)/VLOOKUP($D101,$C$5:$AU$503,3,))*$E101)</f>
        <v>0</v>
      </c>
      <c r="L101" s="66">
        <f>IF(VLOOKUP($D101,$C$5:$AU$503,3,)=0,0,(VLOOKUP($D101,$C$5:$AU$503,10,)/VLOOKUP($D101,$C$5:$AU$503,3,))*$E101)</f>
        <v>0</v>
      </c>
      <c r="M101" s="66">
        <f>IF(VLOOKUP($D101,$C$5:$AU$503,3,)=0,0,(VLOOKUP($D101,$C$5:$AU$503,11,)/VLOOKUP($D101,$C$5:$AU$503,3,))*$E101)</f>
        <v>0</v>
      </c>
      <c r="N101" s="66">
        <f>IF(VLOOKUP($D101,$C$5:$AU$503,3,)=0,0,(VLOOKUP($D101,$C$5:$AU$503,12,)/VLOOKUP($D101,$C$5:$AU$503,3,))*$E101)</f>
        <v>0</v>
      </c>
      <c r="O101" s="66">
        <f>IF(VLOOKUP($D101,$C$5:$AU$503,3,)=0,0,(VLOOKUP($D101,$C$5:$AU$503,13,)/VLOOKUP($D101,$C$5:$AU$503,3,))*$E101)</f>
        <v>0</v>
      </c>
      <c r="P101" s="66">
        <f>IF(VLOOKUP($D101,$C$5:$AU$503,3,)=0,0,(VLOOKUP($D101,$C$5:$AU$503,14,)/VLOOKUP($D101,$C$5:$AU$503,3,))*$E101)</f>
        <v>0</v>
      </c>
      <c r="Q101" s="66">
        <f>IF(VLOOKUP($D101,$C$5:$AU$503,3,)=0,0,(VLOOKUP($D101,$C$5:$AU$503,15,)/VLOOKUP($D101,$C$5:$AU$503,3,))*$E101)</f>
        <v>0</v>
      </c>
      <c r="R101" s="66">
        <f>IF(VLOOKUP($D101,$C$5:$AU$503,3,)=0,0,(VLOOKUP($D101,$C$5:$AU$503,16,)/VLOOKUP($D101,$C$5:$AU$503,3,))*$E101)</f>
        <v>0</v>
      </c>
      <c r="S101" s="66">
        <f>IF(VLOOKUP($D101,$C$5:$AU$503,3,)=0,0,(VLOOKUP($D101,$C$5:$AU$503,17,)/VLOOKUP($D101,$C$5:$AU$503,3,))*$E101)</f>
        <v>0</v>
      </c>
      <c r="T101" s="66">
        <f>IF(VLOOKUP($D101,$C$5:$AU$503,3,)=0,0,(VLOOKUP($D101,$C$5:$AU$503,18,)/VLOOKUP($D101,$C$5:$AU$503,3,))*$E101)</f>
        <v>0</v>
      </c>
      <c r="U101" s="66">
        <f>IF(VLOOKUP($D101,$C$5:$AU$503,3,)=0,0,(VLOOKUP($D101,$C$5:$AU$503,19,)/VLOOKUP($D101,$C$5:$AU$503,3,))*$E101)</f>
        <v>0</v>
      </c>
      <c r="V101" s="66">
        <f>IF(VLOOKUP($D101,$C$5:$AU$503,3,)=0,0,(VLOOKUP($D101,$C$5:$AU$503,20,)/VLOOKUP($D101,$C$5:$AU$503,3,))*$E101)</f>
        <v>0</v>
      </c>
      <c r="W101" s="66">
        <f>IF(VLOOKUP($D101,$C$5:$AU$503,3,)=0,0,(VLOOKUP($D101,$C$5:$AU$503,21,)/VLOOKUP($D101,$C$5:$AU$503,3,))*$E101)</f>
        <v>0</v>
      </c>
      <c r="X101" s="66">
        <f>IF(VLOOKUP($D101,$C$5:$AU$503,3,)=0,0,(VLOOKUP($D101,$C$5:$AU$503,22,)/VLOOKUP($D101,$C$5:$AU$503,3,))*$E101)</f>
        <v>0</v>
      </c>
      <c r="Y101" s="66">
        <f>IF(VLOOKUP($D101,$C$5:$AU$503,3,)=0,0,(VLOOKUP($D101,$C$5:$AU$503,23,)/VLOOKUP($D101,$C$5:$AU$503,3,))*$E101)</f>
        <v>0</v>
      </c>
      <c r="Z101" s="66">
        <f>IF(VLOOKUP($D101,$C$5:$AU$503,3,)=0,0,(VLOOKUP($D101,$C$5:$AU$503,24,)/VLOOKUP($D101,$C$5:$AU$503,3,))*$E101)</f>
        <v>0</v>
      </c>
      <c r="AA101" s="66">
        <f>IF(VLOOKUP($D101,$C$5:$AU$503,3,)=0,0,(VLOOKUP($D101,$C$5:$AU$503,25,)/VLOOKUP($D101,$C$5:$AU$503,3,))*$E101)</f>
        <v>0</v>
      </c>
      <c r="AB101" s="66">
        <f>IF(VLOOKUP($D101,$C$5:$AU$503,3,)=0,0,(VLOOKUP($D101,$C$5:$AU$503,26,)/VLOOKUP($D101,$C$5:$AU$503,3,))*$E101)</f>
        <v>0</v>
      </c>
      <c r="AC101" s="66">
        <f>IF(VLOOKUP($D101,$C$5:$AU$503,3,)=0,0,(VLOOKUP($D101,$C$5:$AU$503,27,)/VLOOKUP($D101,$C$5:$AU$503,3,))*$E101)</f>
        <v>0</v>
      </c>
      <c r="AD101" s="66">
        <f>IF(VLOOKUP($D101,$C$5:$AU$503,3,)=0,0,(VLOOKUP($D101,$C$5:$AU$503,28,)/VLOOKUP($D101,$C$5:$AU$503,3,))*$E101)</f>
        <v>0</v>
      </c>
      <c r="AE101" s="66">
        <f>IF(VLOOKUP($D101,$C$5:$AU$503,3,)=0,0,(VLOOKUP($D101,$C$5:$AU$503,29,)/VLOOKUP($D101,$C$5:$AU$503,3,))*$E101)</f>
        <v>0</v>
      </c>
      <c r="AF101" s="66">
        <f>IF(VLOOKUP($D101,$C$5:$AU$503,3,)=0,0,(VLOOKUP($D101,$C$5:$AU$503,30,)/VLOOKUP($D101,$C$5:$AU$503,3,))*$E101)</f>
        <v>0</v>
      </c>
      <c r="AG101" s="93">
        <f>SUM(F101:AF101)</f>
        <v>0</v>
      </c>
      <c r="AH101" s="30" t="str">
        <f>IF(ABS(E101-AG101)&lt;0.01,"ok","err")</f>
        <v>ok</v>
      </c>
    </row>
    <row r="102" spans="1:34" x14ac:dyDescent="0.2">
      <c r="A102" s="96" t="s">
        <v>221</v>
      </c>
      <c r="C102" s="14" t="s">
        <v>257</v>
      </c>
      <c r="D102" s="14" t="s">
        <v>699</v>
      </c>
      <c r="E102" s="234">
        <f>'Func &amp; Classif'!S144</f>
        <v>27675963.303470869</v>
      </c>
      <c r="F102" s="66">
        <f>IF(VLOOKUP($D102,$C$5:$AU$503,3,)=0,0,(VLOOKUP($D102,$C$5:$AU$503,4,)/VLOOKUP($D102,$C$5:$AU$503,3,))*$E102)</f>
        <v>25438345.656511638</v>
      </c>
      <c r="G102" s="66">
        <f>IF(VLOOKUP($D102,$C$5:$AU$503,3,)=0,0,(VLOOKUP($D102,$C$5:$AU$503,5,)/VLOOKUP($D102,$C$5:$AU$503,3,))*$E102)</f>
        <v>1904097.0239907606</v>
      </c>
      <c r="H102" s="66">
        <f>IF(VLOOKUP($D102,$C$5:$AU$503,3,)=0,0,(VLOOKUP($D102,$C$5:$AU$503,6,)/VLOOKUP($D102,$C$5:$AU$503,3,))*$E102)</f>
        <v>276412.06503447413</v>
      </c>
      <c r="I102" s="66">
        <f>IF(VLOOKUP($D102,$C$5:$AU$503,3,)=0,0,(VLOOKUP($D102,$C$5:$AU$503,7,)/VLOOKUP($D102,$C$5:$AU$503,3,))*$E102)</f>
        <v>619.75799335083889</v>
      </c>
      <c r="J102" s="66">
        <f>IF(VLOOKUP($D102,$C$5:$AU$503,3,)=0,0,(VLOOKUP($D102,$C$5:$AU$503,8,)/VLOOKUP($D102,$C$5:$AU$503,3,))*$E102)</f>
        <v>1633.3940735920739</v>
      </c>
      <c r="K102" s="66">
        <f>IF(VLOOKUP($D102,$C$5:$AU$503,3,)=0,0,(VLOOKUP($D102,$C$5:$AU$503,9,)/VLOOKUP($D102,$C$5:$AU$503,3,))*$E102)</f>
        <v>2111.2712506974472</v>
      </c>
      <c r="L102" s="66">
        <f>IF(VLOOKUP($D102,$C$5:$AU$503,3,)=0,0,(VLOOKUP($D102,$C$5:$AU$503,10,)/VLOOKUP($D102,$C$5:$AU$503,3,))*$E102)</f>
        <v>33311.168622115278</v>
      </c>
      <c r="M102" s="66">
        <f>IF(VLOOKUP($D102,$C$5:$AU$503,3,)=0,0,(VLOOKUP($D102,$C$5:$AU$503,11,)/VLOOKUP($D102,$C$5:$AU$503,3,))*$E102)</f>
        <v>3987.9568068729563</v>
      </c>
      <c r="N102" s="66">
        <f>IF(VLOOKUP($D102,$C$5:$AU$503,3,)=0,0,(VLOOKUP($D102,$C$5:$AU$503,12,)/VLOOKUP($D102,$C$5:$AU$503,3,))*$E102)</f>
        <v>15445.009187371208</v>
      </c>
      <c r="O102" s="66">
        <f>IF(VLOOKUP($D102,$C$5:$AU$503,3,)=0,0,(VLOOKUP($D102,$C$5:$AU$503,13,)/VLOOKUP($D102,$C$5:$AU$503,3,))*$E102)</f>
        <v>0</v>
      </c>
      <c r="P102" s="66">
        <f>IF(VLOOKUP($D102,$C$5:$AU$503,3,)=0,0,(VLOOKUP($D102,$C$5:$AU$503,14,)/VLOOKUP($D102,$C$5:$AU$503,3,))*$E102)</f>
        <v>0</v>
      </c>
      <c r="Q102" s="66">
        <f>IF(VLOOKUP($D102,$C$5:$AU$503,3,)=0,0,(VLOOKUP($D102,$C$5:$AU$503,15,)/VLOOKUP($D102,$C$5:$AU$503,3,))*$E102)</f>
        <v>0</v>
      </c>
      <c r="R102" s="66">
        <f>IF(VLOOKUP($D102,$C$5:$AU$503,3,)=0,0,(VLOOKUP($D102,$C$5:$AU$503,16,)/VLOOKUP($D102,$C$5:$AU$503,3,))*$E102)</f>
        <v>0</v>
      </c>
      <c r="S102" s="66">
        <f>IF(VLOOKUP($D102,$C$5:$AU$503,3,)=0,0,(VLOOKUP($D102,$C$5:$AU$503,17,)/VLOOKUP($D102,$C$5:$AU$503,3,))*$E102)</f>
        <v>0</v>
      </c>
      <c r="T102" s="66">
        <f>IF(VLOOKUP($D102,$C$5:$AU$503,3,)=0,0,(VLOOKUP($D102,$C$5:$AU$503,18,)/VLOOKUP($D102,$C$5:$AU$503,3,))*$E102)</f>
        <v>0</v>
      </c>
      <c r="U102" s="66">
        <f>IF(VLOOKUP($D102,$C$5:$AU$503,3,)=0,0,(VLOOKUP($D102,$C$5:$AU$503,19,)/VLOOKUP($D102,$C$5:$AU$503,3,))*$E102)</f>
        <v>0</v>
      </c>
      <c r="V102" s="66">
        <f>IF(VLOOKUP($D102,$C$5:$AU$503,3,)=0,0,(VLOOKUP($D102,$C$5:$AU$503,20,)/VLOOKUP($D102,$C$5:$AU$503,3,))*$E102)</f>
        <v>0</v>
      </c>
      <c r="W102" s="66">
        <f>IF(VLOOKUP($D102,$C$5:$AU$503,3,)=0,0,(VLOOKUP($D102,$C$5:$AU$503,21,)/VLOOKUP($D102,$C$5:$AU$503,3,))*$E102)</f>
        <v>0</v>
      </c>
      <c r="X102" s="66">
        <f>IF(VLOOKUP($D102,$C$5:$AU$503,3,)=0,0,(VLOOKUP($D102,$C$5:$AU$503,22,)/VLOOKUP($D102,$C$5:$AU$503,3,))*$E102)</f>
        <v>0</v>
      </c>
      <c r="Y102" s="66">
        <f>IF(VLOOKUP($D102,$C$5:$AU$503,3,)=0,0,(VLOOKUP($D102,$C$5:$AU$503,23,)/VLOOKUP($D102,$C$5:$AU$503,3,))*$E102)</f>
        <v>0</v>
      </c>
      <c r="Z102" s="66">
        <f>IF(VLOOKUP($D102,$C$5:$AU$503,3,)=0,0,(VLOOKUP($D102,$C$5:$AU$503,24,)/VLOOKUP($D102,$C$5:$AU$503,3,))*$E102)</f>
        <v>0</v>
      </c>
      <c r="AA102" s="66">
        <f>IF(VLOOKUP($D102,$C$5:$AU$503,3,)=0,0,(VLOOKUP($D102,$C$5:$AU$503,25,)/VLOOKUP($D102,$C$5:$AU$503,3,))*$E102)</f>
        <v>0</v>
      </c>
      <c r="AB102" s="66">
        <f>IF(VLOOKUP($D102,$C$5:$AU$503,3,)=0,0,(VLOOKUP($D102,$C$5:$AU$503,26,)/VLOOKUP($D102,$C$5:$AU$503,3,))*$E102)</f>
        <v>0</v>
      </c>
      <c r="AC102" s="66">
        <f>IF(VLOOKUP($D102,$C$5:$AU$503,3,)=0,0,(VLOOKUP($D102,$C$5:$AU$503,27,)/VLOOKUP($D102,$C$5:$AU$503,3,))*$E102)</f>
        <v>0</v>
      </c>
      <c r="AD102" s="66">
        <f>IF(VLOOKUP($D102,$C$5:$AU$503,3,)=0,0,(VLOOKUP($D102,$C$5:$AU$503,28,)/VLOOKUP($D102,$C$5:$AU$503,3,))*$E102)</f>
        <v>0</v>
      </c>
      <c r="AE102" s="66">
        <f>IF(VLOOKUP($D102,$C$5:$AU$503,3,)=0,0,(VLOOKUP($D102,$C$5:$AU$503,29,)/VLOOKUP($D102,$C$5:$AU$503,3,))*$E102)</f>
        <v>0</v>
      </c>
      <c r="AF102" s="66">
        <f>IF(VLOOKUP($D102,$C$5:$AU$503,3,)=0,0,(VLOOKUP($D102,$C$5:$AU$503,30,)/VLOOKUP($D102,$C$5:$AU$503,3,))*$E102)</f>
        <v>0</v>
      </c>
      <c r="AG102" s="93">
        <f>SUM(F102:AF102)</f>
        <v>27675963.303470872</v>
      </c>
      <c r="AH102" s="30" t="str">
        <f>IF(ABS(E102-AG102)&lt;0.01,"ok","err")</f>
        <v>ok</v>
      </c>
    </row>
    <row r="103" spans="1:34" x14ac:dyDescent="0.2">
      <c r="A103" s="14" t="s">
        <v>228</v>
      </c>
      <c r="E103" s="233">
        <f t="shared" ref="E103:T103" si="20">E101+E102</f>
        <v>27675963.303470869</v>
      </c>
      <c r="F103" s="66">
        <f t="shared" si="20"/>
        <v>25438345.656511638</v>
      </c>
      <c r="G103" s="66">
        <f t="shared" si="20"/>
        <v>1904097.0239907606</v>
      </c>
      <c r="H103" s="66">
        <f t="shared" si="20"/>
        <v>276412.06503447413</v>
      </c>
      <c r="I103" s="66">
        <f t="shared" si="20"/>
        <v>619.75799335083889</v>
      </c>
      <c r="J103" s="66">
        <f t="shared" si="20"/>
        <v>1633.3940735920739</v>
      </c>
      <c r="K103" s="66">
        <f t="shared" si="20"/>
        <v>2111.2712506974472</v>
      </c>
      <c r="L103" s="66">
        <f t="shared" si="20"/>
        <v>33311.168622115278</v>
      </c>
      <c r="M103" s="66">
        <f t="shared" si="20"/>
        <v>3987.9568068729563</v>
      </c>
      <c r="N103" s="66">
        <f t="shared" si="20"/>
        <v>15445.009187371208</v>
      </c>
      <c r="O103" s="66">
        <f t="shared" si="20"/>
        <v>0</v>
      </c>
      <c r="P103" s="66">
        <f t="shared" si="20"/>
        <v>0</v>
      </c>
      <c r="Q103" s="66">
        <f t="shared" si="20"/>
        <v>0</v>
      </c>
      <c r="R103" s="66">
        <f t="shared" si="20"/>
        <v>0</v>
      </c>
      <c r="S103" s="66">
        <f t="shared" si="20"/>
        <v>0</v>
      </c>
      <c r="T103" s="66">
        <f t="shared" si="20"/>
        <v>0</v>
      </c>
      <c r="U103" s="66">
        <f t="shared" ref="U103:AF103" si="21">U101+U102</f>
        <v>0</v>
      </c>
      <c r="V103" s="66">
        <f t="shared" si="21"/>
        <v>0</v>
      </c>
      <c r="W103" s="66">
        <f t="shared" si="21"/>
        <v>0</v>
      </c>
      <c r="X103" s="66">
        <f t="shared" si="21"/>
        <v>0</v>
      </c>
      <c r="Y103" s="66">
        <f t="shared" si="21"/>
        <v>0</v>
      </c>
      <c r="Z103" s="66">
        <f t="shared" si="21"/>
        <v>0</v>
      </c>
      <c r="AA103" s="66">
        <f t="shared" si="21"/>
        <v>0</v>
      </c>
      <c r="AB103" s="66">
        <f t="shared" si="21"/>
        <v>0</v>
      </c>
      <c r="AC103" s="66">
        <f t="shared" si="21"/>
        <v>0</v>
      </c>
      <c r="AD103" s="66">
        <f t="shared" si="21"/>
        <v>0</v>
      </c>
      <c r="AE103" s="66">
        <f t="shared" si="21"/>
        <v>0</v>
      </c>
      <c r="AF103" s="66">
        <f t="shared" si="21"/>
        <v>0</v>
      </c>
      <c r="AG103" s="93">
        <f>SUM(F103:AF103)</f>
        <v>27675963.303470872</v>
      </c>
      <c r="AH103" s="30" t="str">
        <f>IF(ABS(E103-AG103)&lt;0.01,"ok","err")</f>
        <v>ok</v>
      </c>
    </row>
    <row r="104" spans="1:34" x14ac:dyDescent="0.2">
      <c r="E104" s="234"/>
    </row>
    <row r="105" spans="1:34" x14ac:dyDescent="0.2">
      <c r="A105" s="13" t="s">
        <v>4</v>
      </c>
      <c r="E105" s="234"/>
    </row>
    <row r="106" spans="1:34" x14ac:dyDescent="0.2">
      <c r="A106" s="96" t="s">
        <v>221</v>
      </c>
      <c r="C106" s="14" t="s">
        <v>258</v>
      </c>
      <c r="D106" s="14" t="s">
        <v>230</v>
      </c>
      <c r="E106" s="233">
        <f>'Func &amp; Classif'!U144</f>
        <v>12246778.456160013</v>
      </c>
      <c r="F106" s="66">
        <f>IF(VLOOKUP($D106,$C$5:$AU$503,3,)=0,0,(VLOOKUP($D106,$C$5:$AU$503,4,)/VLOOKUP($D106,$C$5:$AU$503,3,))*$E106)</f>
        <v>8013825.161157785</v>
      </c>
      <c r="G106" s="66">
        <f>IF(VLOOKUP($D106,$C$5:$AU$503,3,)=0,0,(VLOOKUP($D106,$C$5:$AU$503,5,)/VLOOKUP($D106,$C$5:$AU$503,3,))*$E106)</f>
        <v>3280792.6789729539</v>
      </c>
      <c r="H106" s="66">
        <f>IF(VLOOKUP($D106,$C$5:$AU$503,3,)=0,0,(VLOOKUP($D106,$C$5:$AU$503,6,)/VLOOKUP($D106,$C$5:$AU$503,3,))*$E106)</f>
        <v>754296.04722738219</v>
      </c>
      <c r="I106" s="66">
        <f>IF(VLOOKUP($D106,$C$5:$AU$503,3,)=0,0,(VLOOKUP($D106,$C$5:$AU$503,7,)/VLOOKUP($D106,$C$5:$AU$503,3,))*$E106)</f>
        <v>7633.838303924822</v>
      </c>
      <c r="J106" s="66">
        <f>IF(VLOOKUP($D106,$C$5:$AU$503,3,)=0,0,(VLOOKUP($D106,$C$5:$AU$503,8,)/VLOOKUP($D106,$C$5:$AU$503,3,))*$E106)</f>
        <v>15267.676607849644</v>
      </c>
      <c r="K106" s="66">
        <f>IF(VLOOKUP($D106,$C$5:$AU$503,3,)=0,0,(VLOOKUP($D106,$C$5:$AU$503,9,)/VLOOKUP($D106,$C$5:$AU$503,3,))*$E106)</f>
        <v>68704.544735323405</v>
      </c>
      <c r="L106" s="66">
        <f>IF(VLOOKUP($D106,$C$5:$AU$503,3,)=0,0,(VLOOKUP($D106,$C$5:$AU$503,10,)/VLOOKUP($D106,$C$5:$AU$503,3,))*$E106)</f>
        <v>72742.443417136266</v>
      </c>
      <c r="M106" s="66">
        <f>IF(VLOOKUP($D106,$C$5:$AU$503,3,)=0,0,(VLOOKUP($D106,$C$5:$AU$503,11,)/VLOOKUP($D106,$C$5:$AU$503,3,))*$E106)</f>
        <v>28751.194625258962</v>
      </c>
      <c r="N106" s="66">
        <f>IF(VLOOKUP($D106,$C$5:$AU$503,3,)=0,0,(VLOOKUP($D106,$C$5:$AU$503,12,)/VLOOKUP($D106,$C$5:$AU$503,3,))*$E106)</f>
        <v>4764.871112400444</v>
      </c>
      <c r="O106" s="66">
        <f>IF(VLOOKUP($D106,$C$5:$AU$503,3,)=0,0,(VLOOKUP($D106,$C$5:$AU$503,13,)/VLOOKUP($D106,$C$5:$AU$503,3,))*$E106)</f>
        <v>0</v>
      </c>
      <c r="P106" s="66">
        <f>IF(VLOOKUP($D106,$C$5:$AU$503,3,)=0,0,(VLOOKUP($D106,$C$5:$AU$503,14,)/VLOOKUP($D106,$C$5:$AU$503,3,))*$E106)</f>
        <v>0</v>
      </c>
      <c r="Q106" s="66">
        <f>IF(VLOOKUP($D106,$C$5:$AU$503,3,)=0,0,(VLOOKUP($D106,$C$5:$AU$503,15,)/VLOOKUP($D106,$C$5:$AU$503,3,))*$E106)</f>
        <v>0</v>
      </c>
      <c r="R106" s="66">
        <f>IF(VLOOKUP($D106,$C$5:$AU$503,3,)=0,0,(VLOOKUP($D106,$C$5:$AU$503,16,)/VLOOKUP($D106,$C$5:$AU$503,3,))*$E106)</f>
        <v>0</v>
      </c>
      <c r="S106" s="66">
        <f>IF(VLOOKUP($D106,$C$5:$AU$503,3,)=0,0,(VLOOKUP($D106,$C$5:$AU$503,17,)/VLOOKUP($D106,$C$5:$AU$503,3,))*$E106)</f>
        <v>0</v>
      </c>
      <c r="T106" s="66">
        <f>IF(VLOOKUP($D106,$C$5:$AU$503,3,)=0,0,(VLOOKUP($D106,$C$5:$AU$503,18,)/VLOOKUP($D106,$C$5:$AU$503,3,))*$E106)</f>
        <v>0</v>
      </c>
      <c r="U106" s="66">
        <f>IF(VLOOKUP($D106,$C$5:$AU$503,3,)=0,0,(VLOOKUP($D106,$C$5:$AU$503,19,)/VLOOKUP($D106,$C$5:$AU$503,3,))*$E106)</f>
        <v>0</v>
      </c>
      <c r="V106" s="66">
        <f>IF(VLOOKUP($D106,$C$5:$AU$503,3,)=0,0,(VLOOKUP($D106,$C$5:$AU$503,20,)/VLOOKUP($D106,$C$5:$AU$503,3,))*$E106)</f>
        <v>0</v>
      </c>
      <c r="W106" s="66">
        <f>IF(VLOOKUP($D106,$C$5:$AU$503,3,)=0,0,(VLOOKUP($D106,$C$5:$AU$503,21,)/VLOOKUP($D106,$C$5:$AU$503,3,))*$E106)</f>
        <v>0</v>
      </c>
      <c r="X106" s="66">
        <f>IF(VLOOKUP($D106,$C$5:$AU$503,3,)=0,0,(VLOOKUP($D106,$C$5:$AU$503,22,)/VLOOKUP($D106,$C$5:$AU$503,3,))*$E106)</f>
        <v>0</v>
      </c>
      <c r="Y106" s="66">
        <f>IF(VLOOKUP($D106,$C$5:$AU$503,3,)=0,0,(VLOOKUP($D106,$C$5:$AU$503,23,)/VLOOKUP($D106,$C$5:$AU$503,3,))*$E106)</f>
        <v>0</v>
      </c>
      <c r="Z106" s="66">
        <f>IF(VLOOKUP($D106,$C$5:$AU$503,3,)=0,0,(VLOOKUP($D106,$C$5:$AU$503,24,)/VLOOKUP($D106,$C$5:$AU$503,3,))*$E106)</f>
        <v>0</v>
      </c>
      <c r="AA106" s="66">
        <f>IF(VLOOKUP($D106,$C$5:$AU$503,3,)=0,0,(VLOOKUP($D106,$C$5:$AU$503,25,)/VLOOKUP($D106,$C$5:$AU$503,3,))*$E106)</f>
        <v>0</v>
      </c>
      <c r="AB106" s="66">
        <f>IF(VLOOKUP($D106,$C$5:$AU$503,3,)=0,0,(VLOOKUP($D106,$C$5:$AU$503,26,)/VLOOKUP($D106,$C$5:$AU$503,3,))*$E106)</f>
        <v>0</v>
      </c>
      <c r="AC106" s="66">
        <f>IF(VLOOKUP($D106,$C$5:$AU$503,3,)=0,0,(VLOOKUP($D106,$C$5:$AU$503,27,)/VLOOKUP($D106,$C$5:$AU$503,3,))*$E106)</f>
        <v>0</v>
      </c>
      <c r="AD106" s="66">
        <f>IF(VLOOKUP($D106,$C$5:$AU$503,3,)=0,0,(VLOOKUP($D106,$C$5:$AU$503,28,)/VLOOKUP($D106,$C$5:$AU$503,3,))*$E106)</f>
        <v>0</v>
      </c>
      <c r="AE106" s="66">
        <f>IF(VLOOKUP($D106,$C$5:$AU$503,3,)=0,0,(VLOOKUP($D106,$C$5:$AU$503,29,)/VLOOKUP($D106,$C$5:$AU$503,3,))*$E106)</f>
        <v>0</v>
      </c>
      <c r="AF106" s="66">
        <f>IF(VLOOKUP($D106,$C$5:$AU$503,3,)=0,0,(VLOOKUP($D106,$C$5:$AU$503,30,)/VLOOKUP($D106,$C$5:$AU$503,3,))*$E106)</f>
        <v>0</v>
      </c>
      <c r="AG106" s="93">
        <f>SUM(F106:AF106)</f>
        <v>12246778.456160014</v>
      </c>
      <c r="AH106" s="30" t="str">
        <f>IF(ABS(E106-AG106)&lt;0.01,"ok","err")</f>
        <v>ok</v>
      </c>
    </row>
    <row r="107" spans="1:34" x14ac:dyDescent="0.2">
      <c r="E107" s="234"/>
    </row>
    <row r="108" spans="1:34" x14ac:dyDescent="0.2">
      <c r="A108" s="13" t="s">
        <v>5</v>
      </c>
      <c r="E108" s="234"/>
    </row>
    <row r="109" spans="1:34" x14ac:dyDescent="0.2">
      <c r="A109" s="96" t="s">
        <v>221</v>
      </c>
      <c r="C109" s="14" t="s">
        <v>259</v>
      </c>
      <c r="D109" s="14" t="s">
        <v>232</v>
      </c>
      <c r="E109" s="233">
        <f>'Func &amp; Classif'!W144</f>
        <v>11951360.566379435</v>
      </c>
      <c r="F109" s="66">
        <f>IF(VLOOKUP($D109,$C$5:$AU$503,3,)=0,0,(VLOOKUP($D109,$C$5:$AU$503,4,)/VLOOKUP($D109,$C$5:$AU$503,3,))*$E109)</f>
        <v>0</v>
      </c>
      <c r="G109" s="66">
        <f>IF(VLOOKUP($D109,$C$5:$AU$503,3,)=0,0,(VLOOKUP($D109,$C$5:$AU$503,5,)/VLOOKUP($D109,$C$5:$AU$503,3,))*$E109)</f>
        <v>0</v>
      </c>
      <c r="H109" s="66">
        <f>IF(VLOOKUP($D109,$C$5:$AU$503,3,)=0,0,(VLOOKUP($D109,$C$5:$AU$503,6,)/VLOOKUP($D109,$C$5:$AU$503,3,))*$E109)</f>
        <v>0</v>
      </c>
      <c r="I109" s="66">
        <f>IF(VLOOKUP($D109,$C$5:$AU$503,3,)=0,0,(VLOOKUP($D109,$C$5:$AU$503,7,)/VLOOKUP($D109,$C$5:$AU$503,3,))*$E109)</f>
        <v>0</v>
      </c>
      <c r="J109" s="66">
        <f>IF(VLOOKUP($D109,$C$5:$AU$503,3,)=0,0,(VLOOKUP($D109,$C$5:$AU$503,8,)/VLOOKUP($D109,$C$5:$AU$503,3,))*$E109)</f>
        <v>0</v>
      </c>
      <c r="K109" s="66">
        <f>IF(VLOOKUP($D109,$C$5:$AU$503,3,)=0,0,(VLOOKUP($D109,$C$5:$AU$503,9,)/VLOOKUP($D109,$C$5:$AU$503,3,))*$E109)</f>
        <v>0</v>
      </c>
      <c r="L109" s="66">
        <f>IF(VLOOKUP($D109,$C$5:$AU$503,3,)=0,0,(VLOOKUP($D109,$C$5:$AU$503,10,)/VLOOKUP($D109,$C$5:$AU$503,3,))*$E109)</f>
        <v>0</v>
      </c>
      <c r="M109" s="66">
        <f>IF(VLOOKUP($D109,$C$5:$AU$503,3,)=0,0,(VLOOKUP($D109,$C$5:$AU$503,11,)/VLOOKUP($D109,$C$5:$AU$503,3,))*$E109)</f>
        <v>0</v>
      </c>
      <c r="N109" s="66">
        <f>IF(VLOOKUP($D109,$C$5:$AU$503,3,)=0,0,(VLOOKUP($D109,$C$5:$AU$503,12,)/VLOOKUP($D109,$C$5:$AU$503,3,))*$E109)</f>
        <v>11951360.566379435</v>
      </c>
      <c r="O109" s="66">
        <f>IF(VLOOKUP($D109,$C$5:$AU$503,3,)=0,0,(VLOOKUP($D109,$C$5:$AU$503,13,)/VLOOKUP($D109,$C$5:$AU$503,3,))*$E109)</f>
        <v>0</v>
      </c>
      <c r="P109" s="66">
        <f>IF(VLOOKUP($D109,$C$5:$AU$503,3,)=0,0,(VLOOKUP($D109,$C$5:$AU$503,14,)/VLOOKUP($D109,$C$5:$AU$503,3,))*$E109)</f>
        <v>0</v>
      </c>
      <c r="Q109" s="66">
        <f>IF(VLOOKUP($D109,$C$5:$AU$503,3,)=0,0,(VLOOKUP($D109,$C$5:$AU$503,15,)/VLOOKUP($D109,$C$5:$AU$503,3,))*$E109)</f>
        <v>0</v>
      </c>
      <c r="R109" s="66">
        <f>IF(VLOOKUP($D109,$C$5:$AU$503,3,)=0,0,(VLOOKUP($D109,$C$5:$AU$503,16,)/VLOOKUP($D109,$C$5:$AU$503,3,))*$E109)</f>
        <v>0</v>
      </c>
      <c r="S109" s="66">
        <f>IF(VLOOKUP($D109,$C$5:$AU$503,3,)=0,0,(VLOOKUP($D109,$C$5:$AU$503,17,)/VLOOKUP($D109,$C$5:$AU$503,3,))*$E109)</f>
        <v>0</v>
      </c>
      <c r="T109" s="66">
        <f>IF(VLOOKUP($D109,$C$5:$AU$503,3,)=0,0,(VLOOKUP($D109,$C$5:$AU$503,18,)/VLOOKUP($D109,$C$5:$AU$503,3,))*$E109)</f>
        <v>0</v>
      </c>
      <c r="U109" s="66">
        <f>IF(VLOOKUP($D109,$C$5:$AU$503,3,)=0,0,(VLOOKUP($D109,$C$5:$AU$503,19,)/VLOOKUP($D109,$C$5:$AU$503,3,))*$E109)</f>
        <v>0</v>
      </c>
      <c r="V109" s="66">
        <f>IF(VLOOKUP($D109,$C$5:$AU$503,3,)=0,0,(VLOOKUP($D109,$C$5:$AU$503,20,)/VLOOKUP($D109,$C$5:$AU$503,3,))*$E109)</f>
        <v>0</v>
      </c>
      <c r="W109" s="66">
        <f>IF(VLOOKUP($D109,$C$5:$AU$503,3,)=0,0,(VLOOKUP($D109,$C$5:$AU$503,21,)/VLOOKUP($D109,$C$5:$AU$503,3,))*$E109)</f>
        <v>0</v>
      </c>
      <c r="X109" s="66">
        <f>IF(VLOOKUP($D109,$C$5:$AU$503,3,)=0,0,(VLOOKUP($D109,$C$5:$AU$503,22,)/VLOOKUP($D109,$C$5:$AU$503,3,))*$E109)</f>
        <v>0</v>
      </c>
      <c r="Y109" s="66">
        <f>IF(VLOOKUP($D109,$C$5:$AU$503,3,)=0,0,(VLOOKUP($D109,$C$5:$AU$503,23,)/VLOOKUP($D109,$C$5:$AU$503,3,))*$E109)</f>
        <v>0</v>
      </c>
      <c r="Z109" s="66">
        <f>IF(VLOOKUP($D109,$C$5:$AU$503,3,)=0,0,(VLOOKUP($D109,$C$5:$AU$503,24,)/VLOOKUP($D109,$C$5:$AU$503,3,))*$E109)</f>
        <v>0</v>
      </c>
      <c r="AA109" s="66">
        <f>IF(VLOOKUP($D109,$C$5:$AU$503,3,)=0,0,(VLOOKUP($D109,$C$5:$AU$503,25,)/VLOOKUP($D109,$C$5:$AU$503,3,))*$E109)</f>
        <v>0</v>
      </c>
      <c r="AB109" s="66">
        <f>IF(VLOOKUP($D109,$C$5:$AU$503,3,)=0,0,(VLOOKUP($D109,$C$5:$AU$503,26,)/VLOOKUP($D109,$C$5:$AU$503,3,))*$E109)</f>
        <v>0</v>
      </c>
      <c r="AC109" s="66">
        <f>IF(VLOOKUP($D109,$C$5:$AU$503,3,)=0,0,(VLOOKUP($D109,$C$5:$AU$503,27,)/VLOOKUP($D109,$C$5:$AU$503,3,))*$E109)</f>
        <v>0</v>
      </c>
      <c r="AD109" s="66">
        <f>IF(VLOOKUP($D109,$C$5:$AU$503,3,)=0,0,(VLOOKUP($D109,$C$5:$AU$503,28,)/VLOOKUP($D109,$C$5:$AU$503,3,))*$E109)</f>
        <v>0</v>
      </c>
      <c r="AE109" s="66">
        <f>IF(VLOOKUP($D109,$C$5:$AU$503,3,)=0,0,(VLOOKUP($D109,$C$5:$AU$503,29,)/VLOOKUP($D109,$C$5:$AU$503,3,))*$E109)</f>
        <v>0</v>
      </c>
      <c r="AF109" s="66">
        <f>IF(VLOOKUP($D109,$C$5:$AU$503,3,)=0,0,(VLOOKUP($D109,$C$5:$AU$503,30,)/VLOOKUP($D109,$C$5:$AU$503,3,))*$E109)</f>
        <v>0</v>
      </c>
      <c r="AG109" s="93">
        <f>SUM(F109:AF109)</f>
        <v>11951360.566379435</v>
      </c>
      <c r="AH109" s="30" t="str">
        <f>IF(ABS(E109-AG109)&lt;0.01,"ok","err")</f>
        <v>ok</v>
      </c>
    </row>
    <row r="110" spans="1:34" x14ac:dyDescent="0.2">
      <c r="E110" s="234"/>
    </row>
    <row r="111" spans="1:34" x14ac:dyDescent="0.2">
      <c r="A111" s="13" t="s">
        <v>545</v>
      </c>
      <c r="E111" s="234"/>
    </row>
    <row r="112" spans="1:34" x14ac:dyDescent="0.2">
      <c r="A112" s="96" t="s">
        <v>221</v>
      </c>
      <c r="C112" s="14" t="s">
        <v>260</v>
      </c>
      <c r="D112" s="14" t="s">
        <v>234</v>
      </c>
      <c r="E112" s="233">
        <f>'Func &amp; Classif'!Y144</f>
        <v>699702.36935345735</v>
      </c>
      <c r="F112" s="66">
        <f>IF(VLOOKUP($D112,$C$5:$AU$503,3,)=0,0,(VLOOKUP($D112,$C$5:$AU$503,4,)/VLOOKUP($D112,$C$5:$AU$503,3,))*$E112)</f>
        <v>645078.35928913031</v>
      </c>
      <c r="G112" s="66">
        <f>IF(VLOOKUP($D112,$C$5:$AU$503,3,)=0,0,(VLOOKUP($D112,$C$5:$AU$503,5,)/VLOOKUP($D112,$C$5:$AU$503,3,))*$E112)</f>
        <v>48285.049694214715</v>
      </c>
      <c r="H112" s="66">
        <f>IF(VLOOKUP($D112,$C$5:$AU$503,3,)=0,0,(VLOOKUP($D112,$C$5:$AU$503,6,)/VLOOKUP($D112,$C$5:$AU$503,3,))*$E112)</f>
        <v>4417.4630079220033</v>
      </c>
      <c r="I112" s="66">
        <f>IF(VLOOKUP($D112,$C$5:$AU$503,3,)=0,0,(VLOOKUP($D112,$C$5:$AU$503,7,)/VLOOKUP($D112,$C$5:$AU$503,3,))*$E112)</f>
        <v>9.9046255783004558</v>
      </c>
      <c r="J112" s="66">
        <f>IF(VLOOKUP($D112,$C$5:$AU$503,3,)=0,0,(VLOOKUP($D112,$C$5:$AU$503,8,)/VLOOKUP($D112,$C$5:$AU$503,3,))*$E112)</f>
        <v>19.809251156600912</v>
      </c>
      <c r="K112" s="66">
        <f>IF(VLOOKUP($D112,$C$5:$AU$503,3,)=0,0,(VLOOKUP($D112,$C$5:$AU$503,9,)/VLOOKUP($D112,$C$5:$AU$503,3,))*$E112)</f>
        <v>89.1416302047041</v>
      </c>
      <c r="L112" s="66">
        <f>IF(VLOOKUP($D112,$C$5:$AU$503,3,)=0,0,(VLOOKUP($D112,$C$5:$AU$503,10,)/VLOOKUP($D112,$C$5:$AU$503,3,))*$E112)</f>
        <v>1406.4568321186648</v>
      </c>
      <c r="M112" s="66">
        <f>IF(VLOOKUP($D112,$C$5:$AU$503,3,)=0,0,(VLOOKUP($D112,$C$5:$AU$503,11,)/VLOOKUP($D112,$C$5:$AU$503,3,))*$E112)</f>
        <v>168.37863483110775</v>
      </c>
      <c r="N112" s="66">
        <f>IF(VLOOKUP($D112,$C$5:$AU$503,3,)=0,0,(VLOOKUP($D112,$C$5:$AU$503,12,)/VLOOKUP($D112,$C$5:$AU$503,3,))*$E112)</f>
        <v>227.80638830091047</v>
      </c>
      <c r="O112" s="66">
        <f>IF(VLOOKUP($D112,$C$5:$AU$503,3,)=0,0,(VLOOKUP($D112,$C$5:$AU$503,13,)/VLOOKUP($D112,$C$5:$AU$503,3,))*$E112)</f>
        <v>0</v>
      </c>
      <c r="P112" s="66">
        <f>IF(VLOOKUP($D112,$C$5:$AU$503,3,)=0,0,(VLOOKUP($D112,$C$5:$AU$503,14,)/VLOOKUP($D112,$C$5:$AU$503,3,))*$E112)</f>
        <v>0</v>
      </c>
      <c r="Q112" s="66">
        <f>IF(VLOOKUP($D112,$C$5:$AU$503,3,)=0,0,(VLOOKUP($D112,$C$5:$AU$503,15,)/VLOOKUP($D112,$C$5:$AU$503,3,))*$E112)</f>
        <v>0</v>
      </c>
      <c r="R112" s="66">
        <f>IF(VLOOKUP($D112,$C$5:$AU$503,3,)=0,0,(VLOOKUP($D112,$C$5:$AU$503,16,)/VLOOKUP($D112,$C$5:$AU$503,3,))*$E112)</f>
        <v>0</v>
      </c>
      <c r="S112" s="66">
        <f>IF(VLOOKUP($D112,$C$5:$AU$503,3,)=0,0,(VLOOKUP($D112,$C$5:$AU$503,17,)/VLOOKUP($D112,$C$5:$AU$503,3,))*$E112)</f>
        <v>0</v>
      </c>
      <c r="T112" s="66">
        <f>IF(VLOOKUP($D112,$C$5:$AU$503,3,)=0,0,(VLOOKUP($D112,$C$5:$AU$503,18,)/VLOOKUP($D112,$C$5:$AU$503,3,))*$E112)</f>
        <v>0</v>
      </c>
      <c r="U112" s="66">
        <f>IF(VLOOKUP($D112,$C$5:$AU$503,3,)=0,0,(VLOOKUP($D112,$C$5:$AU$503,19,)/VLOOKUP($D112,$C$5:$AU$503,3,))*$E112)</f>
        <v>0</v>
      </c>
      <c r="V112" s="66">
        <f>IF(VLOOKUP($D112,$C$5:$AU$503,3,)=0,0,(VLOOKUP($D112,$C$5:$AU$503,20,)/VLOOKUP($D112,$C$5:$AU$503,3,))*$E112)</f>
        <v>0</v>
      </c>
      <c r="W112" s="66">
        <f>IF(VLOOKUP($D112,$C$5:$AU$503,3,)=0,0,(VLOOKUP($D112,$C$5:$AU$503,21,)/VLOOKUP($D112,$C$5:$AU$503,3,))*$E112)</f>
        <v>0</v>
      </c>
      <c r="X112" s="66">
        <f>IF(VLOOKUP($D112,$C$5:$AU$503,3,)=0,0,(VLOOKUP($D112,$C$5:$AU$503,22,)/VLOOKUP($D112,$C$5:$AU$503,3,))*$E112)</f>
        <v>0</v>
      </c>
      <c r="Y112" s="66">
        <f>IF(VLOOKUP($D112,$C$5:$AU$503,3,)=0,0,(VLOOKUP($D112,$C$5:$AU$503,23,)/VLOOKUP($D112,$C$5:$AU$503,3,))*$E112)</f>
        <v>0</v>
      </c>
      <c r="Z112" s="66">
        <f>IF(VLOOKUP($D112,$C$5:$AU$503,3,)=0,0,(VLOOKUP($D112,$C$5:$AU$503,24,)/VLOOKUP($D112,$C$5:$AU$503,3,))*$E112)</f>
        <v>0</v>
      </c>
      <c r="AA112" s="66">
        <f>IF(VLOOKUP($D112,$C$5:$AU$503,3,)=0,0,(VLOOKUP($D112,$C$5:$AU$503,25,)/VLOOKUP($D112,$C$5:$AU$503,3,))*$E112)</f>
        <v>0</v>
      </c>
      <c r="AB112" s="66">
        <f>IF(VLOOKUP($D112,$C$5:$AU$503,3,)=0,0,(VLOOKUP($D112,$C$5:$AU$503,26,)/VLOOKUP($D112,$C$5:$AU$503,3,))*$E112)</f>
        <v>0</v>
      </c>
      <c r="AC112" s="66">
        <f>IF(VLOOKUP($D112,$C$5:$AU$503,3,)=0,0,(VLOOKUP($D112,$C$5:$AU$503,27,)/VLOOKUP($D112,$C$5:$AU$503,3,))*$E112)</f>
        <v>0</v>
      </c>
      <c r="AD112" s="66">
        <f>IF(VLOOKUP($D112,$C$5:$AU$503,3,)=0,0,(VLOOKUP($D112,$C$5:$AU$503,28,)/VLOOKUP($D112,$C$5:$AU$503,3,))*$E112)</f>
        <v>0</v>
      </c>
      <c r="AE112" s="66">
        <f>IF(VLOOKUP($D112,$C$5:$AU$503,3,)=0,0,(VLOOKUP($D112,$C$5:$AU$503,29,)/VLOOKUP($D112,$C$5:$AU$503,3,))*$E112)</f>
        <v>0</v>
      </c>
      <c r="AF112" s="66">
        <f>IF(VLOOKUP($D112,$C$5:$AU$503,3,)=0,0,(VLOOKUP($D112,$C$5:$AU$503,30,)/VLOOKUP($D112,$C$5:$AU$503,3,))*$E112)</f>
        <v>0</v>
      </c>
      <c r="AG112" s="93">
        <f>SUM(F112:AF112)</f>
        <v>699702.36935345747</v>
      </c>
      <c r="AH112" s="30" t="str">
        <f>IF(ABS(E112-AG112)&lt;0.01,"ok","err")</f>
        <v>ok</v>
      </c>
    </row>
    <row r="113" spans="1:36" x14ac:dyDescent="0.2">
      <c r="E113" s="234"/>
    </row>
    <row r="114" spans="1:36" x14ac:dyDescent="0.2">
      <c r="A114" s="13" t="s">
        <v>470</v>
      </c>
      <c r="E114" s="234"/>
    </row>
    <row r="115" spans="1:36" x14ac:dyDescent="0.2">
      <c r="A115" s="96" t="s">
        <v>221</v>
      </c>
      <c r="C115" s="14" t="s">
        <v>257</v>
      </c>
      <c r="D115" s="14" t="s">
        <v>235</v>
      </c>
      <c r="E115" s="233">
        <f>'Func &amp; Classif'!AA144</f>
        <v>51337.909381216989</v>
      </c>
      <c r="F115" s="66">
        <f>IF(VLOOKUP($D115,$C$5:$AU$503,3,)=0,0,(VLOOKUP($D115,$C$5:$AU$503,4,)/VLOOKUP($D115,$C$5:$AU$503,3,))*$E115)</f>
        <v>47330.087482153911</v>
      </c>
      <c r="G115" s="66">
        <f>IF(VLOOKUP($D115,$C$5:$AU$503,3,)=0,0,(VLOOKUP($D115,$C$5:$AU$503,5,)/VLOOKUP($D115,$C$5:$AU$503,3,))*$E115)</f>
        <v>3542.7256134057075</v>
      </c>
      <c r="H115" s="66">
        <f>IF(VLOOKUP($D115,$C$5:$AU$503,3,)=0,0,(VLOOKUP($D115,$C$5:$AU$503,6,)/VLOOKUP($D115,$C$5:$AU$503,3,))*$E115)</f>
        <v>324.11397406747608</v>
      </c>
      <c r="I115" s="66">
        <f>IF(VLOOKUP($D115,$C$5:$AU$503,3,)=0,0,(VLOOKUP($D115,$C$5:$AU$503,7,)/VLOOKUP($D115,$C$5:$AU$503,3,))*$E115)</f>
        <v>0.72671294633963235</v>
      </c>
      <c r="J115" s="66">
        <f>IF(VLOOKUP($D115,$C$5:$AU$503,3,)=0,0,(VLOOKUP($D115,$C$5:$AU$503,8,)/VLOOKUP($D115,$C$5:$AU$503,3,))*$E115)</f>
        <v>1.4534258926792647</v>
      </c>
      <c r="K115" s="66">
        <f>IF(VLOOKUP($D115,$C$5:$AU$503,3,)=0,0,(VLOOKUP($D115,$C$5:$AU$503,9,)/VLOOKUP($D115,$C$5:$AU$503,3,))*$E115)</f>
        <v>6.5404165170566912</v>
      </c>
      <c r="L115" s="66">
        <f>IF(VLOOKUP($D115,$C$5:$AU$503,3,)=0,0,(VLOOKUP($D115,$C$5:$AU$503,10,)/VLOOKUP($D115,$C$5:$AU$503,3,))*$E115)</f>
        <v>103.19323838022781</v>
      </c>
      <c r="M115" s="66">
        <f>IF(VLOOKUP($D115,$C$5:$AU$503,3,)=0,0,(VLOOKUP($D115,$C$5:$AU$503,11,)/VLOOKUP($D115,$C$5:$AU$503,3,))*$E115)</f>
        <v>12.354120087773749</v>
      </c>
      <c r="N115" s="66">
        <f>IF(VLOOKUP($D115,$C$5:$AU$503,3,)=0,0,(VLOOKUP($D115,$C$5:$AU$503,12,)/VLOOKUP($D115,$C$5:$AU$503,3,))*$E115)</f>
        <v>16.714397765811544</v>
      </c>
      <c r="O115" s="66">
        <f>IF(VLOOKUP($D115,$C$5:$AU$503,3,)=0,0,(VLOOKUP($D115,$C$5:$AU$503,13,)/VLOOKUP($D115,$C$5:$AU$503,3,))*$E115)</f>
        <v>0</v>
      </c>
      <c r="P115" s="66">
        <f>IF(VLOOKUP($D115,$C$5:$AU$503,3,)=0,0,(VLOOKUP($D115,$C$5:$AU$503,14,)/VLOOKUP($D115,$C$5:$AU$503,3,))*$E115)</f>
        <v>0</v>
      </c>
      <c r="Q115" s="66">
        <f>IF(VLOOKUP($D115,$C$5:$AU$503,3,)=0,0,(VLOOKUP($D115,$C$5:$AU$503,15,)/VLOOKUP($D115,$C$5:$AU$503,3,))*$E115)</f>
        <v>0</v>
      </c>
      <c r="R115" s="66">
        <f>IF(VLOOKUP($D115,$C$5:$AU$503,3,)=0,0,(VLOOKUP($D115,$C$5:$AU$503,16,)/VLOOKUP($D115,$C$5:$AU$503,3,))*$E115)</f>
        <v>0</v>
      </c>
      <c r="S115" s="66">
        <f>IF(VLOOKUP($D115,$C$5:$AU$503,3,)=0,0,(VLOOKUP($D115,$C$5:$AU$503,17,)/VLOOKUP($D115,$C$5:$AU$503,3,))*$E115)</f>
        <v>0</v>
      </c>
      <c r="T115" s="66">
        <f>IF(VLOOKUP($D115,$C$5:$AU$503,3,)=0,0,(VLOOKUP($D115,$C$5:$AU$503,18,)/VLOOKUP($D115,$C$5:$AU$503,3,))*$E115)</f>
        <v>0</v>
      </c>
      <c r="U115" s="66">
        <f>IF(VLOOKUP($D115,$C$5:$AU$503,3,)=0,0,(VLOOKUP($D115,$C$5:$AU$503,19,)/VLOOKUP($D115,$C$5:$AU$503,3,))*$E115)</f>
        <v>0</v>
      </c>
      <c r="V115" s="66">
        <f>IF(VLOOKUP($D115,$C$5:$AU$503,3,)=0,0,(VLOOKUP($D115,$C$5:$AU$503,20,)/VLOOKUP($D115,$C$5:$AU$503,3,))*$E115)</f>
        <v>0</v>
      </c>
      <c r="W115" s="66">
        <f>IF(VLOOKUP($D115,$C$5:$AU$503,3,)=0,0,(VLOOKUP($D115,$C$5:$AU$503,21,)/VLOOKUP($D115,$C$5:$AU$503,3,))*$E115)</f>
        <v>0</v>
      </c>
      <c r="X115" s="66">
        <f>IF(VLOOKUP($D115,$C$5:$AU$503,3,)=0,0,(VLOOKUP($D115,$C$5:$AU$503,22,)/VLOOKUP($D115,$C$5:$AU$503,3,))*$E115)</f>
        <v>0</v>
      </c>
      <c r="Y115" s="66">
        <f>IF(VLOOKUP($D115,$C$5:$AU$503,3,)=0,0,(VLOOKUP($D115,$C$5:$AU$503,23,)/VLOOKUP($D115,$C$5:$AU$503,3,))*$E115)</f>
        <v>0</v>
      </c>
      <c r="Z115" s="66">
        <f>IF(VLOOKUP($D115,$C$5:$AU$503,3,)=0,0,(VLOOKUP($D115,$C$5:$AU$503,24,)/VLOOKUP($D115,$C$5:$AU$503,3,))*$E115)</f>
        <v>0</v>
      </c>
      <c r="AA115" s="66">
        <f>IF(VLOOKUP($D115,$C$5:$AU$503,3,)=0,0,(VLOOKUP($D115,$C$5:$AU$503,25,)/VLOOKUP($D115,$C$5:$AU$503,3,))*$E115)</f>
        <v>0</v>
      </c>
      <c r="AB115" s="66">
        <f>IF(VLOOKUP($D115,$C$5:$AU$503,3,)=0,0,(VLOOKUP($D115,$C$5:$AU$503,26,)/VLOOKUP($D115,$C$5:$AU$503,3,))*$E115)</f>
        <v>0</v>
      </c>
      <c r="AC115" s="66">
        <f>IF(VLOOKUP($D115,$C$5:$AU$503,3,)=0,0,(VLOOKUP($D115,$C$5:$AU$503,27,)/VLOOKUP($D115,$C$5:$AU$503,3,))*$E115)</f>
        <v>0</v>
      </c>
      <c r="AD115" s="66">
        <f>IF(VLOOKUP($D115,$C$5:$AU$503,3,)=0,0,(VLOOKUP($D115,$C$5:$AU$503,28,)/VLOOKUP($D115,$C$5:$AU$503,3,))*$E115)</f>
        <v>0</v>
      </c>
      <c r="AE115" s="66">
        <f>IF(VLOOKUP($D115,$C$5:$AU$503,3,)=0,0,(VLOOKUP($D115,$C$5:$AU$503,29,)/VLOOKUP($D115,$C$5:$AU$503,3,))*$E115)</f>
        <v>0</v>
      </c>
      <c r="AF115" s="66">
        <f>IF(VLOOKUP($D115,$C$5:$AU$503,3,)=0,0,(VLOOKUP($D115,$C$5:$AU$503,30,)/VLOOKUP($D115,$C$5:$AU$503,3,))*$E115)</f>
        <v>0</v>
      </c>
      <c r="AG115" s="93">
        <f>SUM(F115:AF115)</f>
        <v>51337.909381216981</v>
      </c>
      <c r="AH115" s="30" t="str">
        <f>IF(ABS(E115-AG115)&lt;0.01,"ok","err")</f>
        <v>ok</v>
      </c>
    </row>
    <row r="116" spans="1:36" x14ac:dyDescent="0.2">
      <c r="E116" s="234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</row>
    <row r="117" spans="1:36" x14ac:dyDescent="0.2">
      <c r="A117" s="14" t="s">
        <v>0</v>
      </c>
      <c r="C117" s="14" t="s">
        <v>261</v>
      </c>
      <c r="E117" s="233">
        <f>E87+E90+E93+E98+E103+E106+E109+E112+E115</f>
        <v>223016187.61401922</v>
      </c>
      <c r="F117" s="66">
        <f t="shared" ref="F117:R117" si="22">F87+F90+F93+F98+F103+F106+F109+F112+F115</f>
        <v>176926919.16421211</v>
      </c>
      <c r="G117" s="66">
        <f t="shared" si="22"/>
        <v>15569769.029888142</v>
      </c>
      <c r="H117" s="66">
        <f t="shared" si="22"/>
        <v>10445376.335771658</v>
      </c>
      <c r="I117" s="66">
        <f t="shared" si="22"/>
        <v>319263.09023531183</v>
      </c>
      <c r="J117" s="66">
        <f t="shared" si="22"/>
        <v>2488839.8258682913</v>
      </c>
      <c r="K117" s="66">
        <f t="shared" si="22"/>
        <v>2760134.3510021139</v>
      </c>
      <c r="L117" s="66">
        <f t="shared" si="22"/>
        <v>1226618.0908832785</v>
      </c>
      <c r="M117" s="66">
        <f t="shared" si="22"/>
        <v>749995.90534109029</v>
      </c>
      <c r="N117" s="66">
        <f t="shared" si="22"/>
        <v>12529271.820817271</v>
      </c>
      <c r="O117" s="66">
        <f t="shared" si="22"/>
        <v>0</v>
      </c>
      <c r="P117" s="66">
        <f t="shared" si="22"/>
        <v>0</v>
      </c>
      <c r="Q117" s="66">
        <f t="shared" si="22"/>
        <v>0</v>
      </c>
      <c r="R117" s="66">
        <f t="shared" si="22"/>
        <v>0</v>
      </c>
      <c r="S117" s="66">
        <f t="shared" ref="S117:AF117" si="23">S87+S93+S98+S103+S106+S109+S112+S115</f>
        <v>0</v>
      </c>
      <c r="T117" s="66">
        <f t="shared" si="23"/>
        <v>0</v>
      </c>
      <c r="U117" s="66">
        <f t="shared" si="23"/>
        <v>0</v>
      </c>
      <c r="V117" s="66">
        <f t="shared" si="23"/>
        <v>0</v>
      </c>
      <c r="W117" s="66">
        <f t="shared" si="23"/>
        <v>0</v>
      </c>
      <c r="X117" s="66">
        <f t="shared" si="23"/>
        <v>0</v>
      </c>
      <c r="Y117" s="66">
        <f t="shared" si="23"/>
        <v>0</v>
      </c>
      <c r="Z117" s="66">
        <f t="shared" si="23"/>
        <v>0</v>
      </c>
      <c r="AA117" s="66">
        <f t="shared" si="23"/>
        <v>0</v>
      </c>
      <c r="AB117" s="66">
        <f t="shared" si="23"/>
        <v>0</v>
      </c>
      <c r="AC117" s="66">
        <f t="shared" si="23"/>
        <v>0</v>
      </c>
      <c r="AD117" s="66">
        <f t="shared" si="23"/>
        <v>0</v>
      </c>
      <c r="AE117" s="66">
        <f t="shared" si="23"/>
        <v>0</v>
      </c>
      <c r="AF117" s="66">
        <f t="shared" si="23"/>
        <v>0</v>
      </c>
      <c r="AG117" s="93">
        <f>SUM(F117:AF117)</f>
        <v>223016187.61401927</v>
      </c>
      <c r="AH117" s="30" t="str">
        <f>IF(ABS(E117-AG117)&lt;0.01,"ok","err")</f>
        <v>ok</v>
      </c>
    </row>
    <row r="118" spans="1:36" x14ac:dyDescent="0.2">
      <c r="E118" s="235">
        <f>E117/$E117</f>
        <v>1</v>
      </c>
      <c r="F118" s="48">
        <f>F117/$E117</f>
        <v>0.79333666787643597</v>
      </c>
      <c r="G118" s="48">
        <f t="shared" ref="G118:P118" si="24">G117/$E117</f>
        <v>6.9814524212185022E-2</v>
      </c>
      <c r="H118" s="48">
        <f t="shared" si="24"/>
        <v>4.6836852730393647E-2</v>
      </c>
      <c r="I118" s="48">
        <f t="shared" si="24"/>
        <v>1.431569132496651E-3</v>
      </c>
      <c r="J118" s="48">
        <f t="shared" si="24"/>
        <v>1.1159906608105959E-2</v>
      </c>
      <c r="K118" s="48">
        <f t="shared" si="24"/>
        <v>1.237638568093165E-2</v>
      </c>
      <c r="L118" s="48">
        <f t="shared" si="24"/>
        <v>5.5001302999862197E-3</v>
      </c>
      <c r="M118" s="48">
        <f t="shared" si="24"/>
        <v>3.3629662194707166E-3</v>
      </c>
      <c r="N118" s="48">
        <f t="shared" si="24"/>
        <v>5.6180997239994333E-2</v>
      </c>
      <c r="O118" s="48">
        <f t="shared" si="24"/>
        <v>0</v>
      </c>
      <c r="P118" s="48">
        <f t="shared" si="24"/>
        <v>0</v>
      </c>
      <c r="AG118" s="165">
        <f>SUM(F118:AF118)</f>
        <v>1.0000000000000002</v>
      </c>
      <c r="AH118" s="30" t="str">
        <f>IF(ABS(E118-AG118)&lt;0.01,"ok","err")</f>
        <v>ok</v>
      </c>
    </row>
    <row r="119" spans="1:36" x14ac:dyDescent="0.2">
      <c r="E119" s="226"/>
    </row>
    <row r="120" spans="1:36" x14ac:dyDescent="0.2">
      <c r="A120" s="28" t="s">
        <v>86</v>
      </c>
    </row>
    <row r="122" spans="1:36" x14ac:dyDescent="0.2">
      <c r="A122" s="13" t="s">
        <v>893</v>
      </c>
    </row>
    <row r="123" spans="1:36" x14ac:dyDescent="0.2">
      <c r="A123" s="96" t="s">
        <v>209</v>
      </c>
      <c r="C123" s="14" t="s">
        <v>262</v>
      </c>
      <c r="D123" s="14" t="s">
        <v>655</v>
      </c>
      <c r="E123" s="233">
        <f>'Func &amp; Classif'!H285</f>
        <v>32193190.155008759</v>
      </c>
      <c r="F123" s="66">
        <f>IF(VLOOKUP($D123,$C$5:$AU$503,3,)=0,0,(VLOOKUP($D123,$C$5:$AU$503,4,)/VLOOKUP($D123,$C$5:$AU$503,3,))*$E123)</f>
        <v>24153986.030061916</v>
      </c>
      <c r="G123" s="66">
        <f>IF(VLOOKUP($D123,$C$5:$AU$503,3,)=0,0,(VLOOKUP($D123,$C$5:$AU$503,5,)/VLOOKUP($D123,$C$5:$AU$503,3,))*$E123)</f>
        <v>0</v>
      </c>
      <c r="H123" s="66">
        <f>IF(VLOOKUP($D123,$C$5:$AU$503,3,)=0,0,(VLOOKUP($D123,$C$5:$AU$503,6,)/VLOOKUP($D123,$C$5:$AU$503,3,))*$E123)</f>
        <v>3830437.7003673962</v>
      </c>
      <c r="I123" s="66">
        <f>IF(VLOOKUP($D123,$C$5:$AU$503,3,)=0,0,(VLOOKUP($D123,$C$5:$AU$503,7,)/VLOOKUP($D123,$C$5:$AU$503,3,))*$E123)</f>
        <v>206344.4</v>
      </c>
      <c r="J123" s="66">
        <f>IF(VLOOKUP($D123,$C$5:$AU$503,3,)=0,0,(VLOOKUP($D123,$C$5:$AU$503,8,)/VLOOKUP($D123,$C$5:$AU$503,3,))*$E123)</f>
        <v>1664142.8</v>
      </c>
      <c r="K123" s="66">
        <f>IF(VLOOKUP($D123,$C$5:$AU$503,3,)=0,0,(VLOOKUP($D123,$C$5:$AU$503,9,)/VLOOKUP($D123,$C$5:$AU$503,3,))*$E123)</f>
        <v>1698718.4000000001</v>
      </c>
      <c r="L123" s="66">
        <f>IF(VLOOKUP($D123,$C$5:$AU$503,3,)=0,0,(VLOOKUP($D123,$C$5:$AU$503,10,)/VLOOKUP($D123,$C$5:$AU$503,3,))*$E123)</f>
        <v>241476.70596906042</v>
      </c>
      <c r="M123" s="66">
        <f>IF(VLOOKUP($D123,$C$5:$AU$503,3,)=0,0,(VLOOKUP($D123,$C$5:$AU$503,11,)/VLOOKUP($D123,$C$5:$AU$503,3,))*$E123)</f>
        <v>213572.5626509079</v>
      </c>
      <c r="N123" s="66">
        <f>IF(VLOOKUP($D123,$C$5:$AU$503,3,)=0,0,(VLOOKUP($D123,$C$5:$AU$503,12,)/VLOOKUP($D123,$C$5:$AU$503,3,))*$E123)</f>
        <v>184511.55595947517</v>
      </c>
      <c r="O123" s="66">
        <f>IF(VLOOKUP($D123,$C$5:$AU$503,3,)=0,0,(VLOOKUP($D123,$C$5:$AU$503,13,)/VLOOKUP($D123,$C$5:$AU$503,3,))*$E123)</f>
        <v>0</v>
      </c>
      <c r="P123" s="66">
        <f>IF(VLOOKUP($D123,$C$5:$AU$503,3,)=0,0,(VLOOKUP($D123,$C$5:$AU$503,14,)/VLOOKUP($D123,$C$5:$AU$503,3,))*$E123)</f>
        <v>0</v>
      </c>
      <c r="Q123" s="66">
        <f>IF(VLOOKUP($D123,$C$5:$AU$503,3,)=0,0,(VLOOKUP($D123,$C$5:$AU$503,15,)/VLOOKUP($D123,$C$5:$AU$503,3,))*$E123)</f>
        <v>0</v>
      </c>
      <c r="R123" s="66">
        <f>IF(VLOOKUP($D123,$C$5:$AU$503,3,)=0,0,(VLOOKUP($D123,$C$5:$AU$503,16,)/VLOOKUP($D123,$C$5:$AU$503,3,))*$E123)</f>
        <v>0</v>
      </c>
      <c r="S123" s="66">
        <f>IF(VLOOKUP($D123,$C$5:$AU$503,3,)=0,0,(VLOOKUP($D123,$C$5:$AU$503,17,)/VLOOKUP($D123,$C$5:$AU$503,3,))*$E123)</f>
        <v>0</v>
      </c>
      <c r="T123" s="66">
        <f>IF(VLOOKUP($D123,$C$5:$AU$503,3,)=0,0,(VLOOKUP($D123,$C$5:$AU$503,18,)/VLOOKUP($D123,$C$5:$AU$503,3,))*$E123)</f>
        <v>0</v>
      </c>
      <c r="U123" s="66">
        <f>IF(VLOOKUP($D123,$C$5:$AU$503,3,)=0,0,(VLOOKUP($D123,$C$5:$AU$503,19,)/VLOOKUP($D123,$C$5:$AU$503,3,))*$E123)</f>
        <v>0</v>
      </c>
      <c r="V123" s="66">
        <f>IF(VLOOKUP($D123,$C$5:$AU$503,3,)=0,0,(VLOOKUP($D123,$C$5:$AU$503,20,)/VLOOKUP($D123,$C$5:$AU$503,3,))*$E123)</f>
        <v>0</v>
      </c>
      <c r="W123" s="66">
        <f>IF(VLOOKUP($D123,$C$5:$AU$503,3,)=0,0,(VLOOKUP($D123,$C$5:$AU$503,21,)/VLOOKUP($D123,$C$5:$AU$503,3,))*$E123)</f>
        <v>0</v>
      </c>
      <c r="X123" s="66">
        <f>IF(VLOOKUP($D123,$C$5:$AU$503,3,)=0,0,(VLOOKUP($D123,$C$5:$AU$503,22,)/VLOOKUP($D123,$C$5:$AU$503,3,))*$E123)</f>
        <v>0</v>
      </c>
      <c r="Y123" s="66">
        <f>IF(VLOOKUP($D123,$C$5:$AU$503,3,)=0,0,(VLOOKUP($D123,$C$5:$AU$503,23,)/VLOOKUP($D123,$C$5:$AU$503,3,))*$E123)</f>
        <v>0</v>
      </c>
      <c r="Z123" s="66">
        <f>IF(VLOOKUP($D123,$C$5:$AU$503,3,)=0,0,(VLOOKUP($D123,$C$5:$AU$503,24,)/VLOOKUP($D123,$C$5:$AU$503,3,))*$E123)</f>
        <v>0</v>
      </c>
      <c r="AA123" s="66">
        <f>IF(VLOOKUP($D123,$C$5:$AU$503,3,)=0,0,(VLOOKUP($D123,$C$5:$AU$503,25,)/VLOOKUP($D123,$C$5:$AU$503,3,))*$E123)</f>
        <v>0</v>
      </c>
      <c r="AB123" s="66">
        <f>IF(VLOOKUP($D123,$C$5:$AU$503,3,)=0,0,(VLOOKUP($D123,$C$5:$AU$503,26,)/VLOOKUP($D123,$C$5:$AU$503,3,))*$E123)</f>
        <v>0</v>
      </c>
      <c r="AC123" s="66">
        <f>IF(VLOOKUP($D123,$C$5:$AU$503,3,)=0,0,(VLOOKUP($D123,$C$5:$AU$503,27,)/VLOOKUP($D123,$C$5:$AU$503,3,))*$E123)</f>
        <v>0</v>
      </c>
      <c r="AD123" s="66">
        <f>IF(VLOOKUP($D123,$C$5:$AU$503,3,)=0,0,(VLOOKUP($D123,$C$5:$AU$503,28,)/VLOOKUP($D123,$C$5:$AU$503,3,))*$E123)</f>
        <v>0</v>
      </c>
      <c r="AE123" s="66">
        <f>IF(VLOOKUP($D123,$C$5:$AU$503,3,)=0,0,(VLOOKUP($D123,$C$5:$AU$503,29,)/VLOOKUP($D123,$C$5:$AU$503,3,))*$E123)</f>
        <v>0</v>
      </c>
      <c r="AF123" s="66">
        <f>IF(VLOOKUP($D123,$C$5:$AU$503,3,)=0,0,(VLOOKUP($D123,$C$5:$AU$503,30,)/VLOOKUP($D123,$C$5:$AU$503,3,))*$E123)</f>
        <v>0</v>
      </c>
      <c r="AG123" s="93">
        <f>SUM(F123:AF123)</f>
        <v>32193190.155008752</v>
      </c>
      <c r="AH123" s="30" t="str">
        <f>IF(ABS(E123-AG123)&lt;0.01,"ok","err")</f>
        <v>ok</v>
      </c>
      <c r="AJ123" s="48">
        <f>H123/I123</f>
        <v>18.56332277671406</v>
      </c>
    </row>
    <row r="124" spans="1:36" x14ac:dyDescent="0.2">
      <c r="A124" s="96" t="s">
        <v>212</v>
      </c>
      <c r="C124" s="14" t="s">
        <v>263</v>
      </c>
      <c r="D124" s="14" t="s">
        <v>664</v>
      </c>
      <c r="E124" s="234">
        <f>'Func &amp; Classif'!I285</f>
        <v>76848014.844991267</v>
      </c>
      <c r="F124" s="66">
        <f>IF(VLOOKUP($D124,$C$5:$AU$503,3,)=0,0,(VLOOKUP($D124,$C$5:$AU$503,4,)/VLOOKUP($D124,$C$5:$AU$503,3,))*$E124)</f>
        <v>49482030.632619657</v>
      </c>
      <c r="G124" s="66">
        <f>IF(VLOOKUP($D124,$C$5:$AU$503,3,)=0,0,(VLOOKUP($D124,$C$5:$AU$503,5,)/VLOOKUP($D124,$C$5:$AU$503,3,))*$E124)</f>
        <v>4516373.701372182</v>
      </c>
      <c r="H124" s="66">
        <f>IF(VLOOKUP($D124,$C$5:$AU$503,3,)=0,0,(VLOOKUP($D124,$C$5:$AU$503,6,)/VLOOKUP($D124,$C$5:$AU$503,3,))*$E124)</f>
        <v>11817349.533553144</v>
      </c>
      <c r="I124" s="66">
        <f>IF(VLOOKUP($D124,$C$5:$AU$503,3,)=0,0,(VLOOKUP($D124,$C$5:$AU$503,7,)/VLOOKUP($D124,$C$5:$AU$503,3,))*$E124)</f>
        <v>518844.6</v>
      </c>
      <c r="J124" s="66">
        <f>IF(VLOOKUP($D124,$C$5:$AU$503,3,)=0,0,(VLOOKUP($D124,$C$5:$AU$503,8,)/VLOOKUP($D124,$C$5:$AU$503,3,))*$E124)</f>
        <v>3945992.2</v>
      </c>
      <c r="K124" s="66">
        <f>IF(VLOOKUP($D124,$C$5:$AU$503,3,)=0,0,(VLOOKUP($D124,$C$5:$AU$503,9,)/VLOOKUP($D124,$C$5:$AU$503,3,))*$E124)</f>
        <v>4267930.5999999987</v>
      </c>
      <c r="L124" s="66">
        <f>IF(VLOOKUP($D124,$C$5:$AU$503,3,)=0,0,(VLOOKUP($D124,$C$5:$AU$503,10,)/VLOOKUP($D124,$C$5:$AU$503,3,))*$E124)</f>
        <v>770006.078645929</v>
      </c>
      <c r="M124" s="66">
        <f>IF(VLOOKUP($D124,$C$5:$AU$503,3,)=0,0,(VLOOKUP($D124,$C$5:$AU$503,11,)/VLOOKUP($D124,$C$5:$AU$503,3,))*$E124)</f>
        <v>675395.88937378337</v>
      </c>
      <c r="N124" s="66">
        <f>IF(VLOOKUP($D124,$C$5:$AU$503,3,)=0,0,(VLOOKUP($D124,$C$5:$AU$503,12,)/VLOOKUP($D124,$C$5:$AU$503,3,))*$E124)</f>
        <v>854091.60942657036</v>
      </c>
      <c r="O124" s="66">
        <f>IF(VLOOKUP($D124,$C$5:$AU$503,3,)=0,0,(VLOOKUP($D124,$C$5:$AU$503,13,)/VLOOKUP($D124,$C$5:$AU$503,3,))*$E124)</f>
        <v>0</v>
      </c>
      <c r="P124" s="66">
        <f>IF(VLOOKUP($D124,$C$5:$AU$503,3,)=0,0,(VLOOKUP($D124,$C$5:$AU$503,14,)/VLOOKUP($D124,$C$5:$AU$503,3,))*$E124)</f>
        <v>0</v>
      </c>
      <c r="Q124" s="66">
        <f>IF(VLOOKUP($D124,$C$5:$AU$503,3,)=0,0,(VLOOKUP($D124,$C$5:$AU$503,15,)/VLOOKUP($D124,$C$5:$AU$503,3,))*$E124)</f>
        <v>0</v>
      </c>
      <c r="R124" s="66">
        <f>IF(VLOOKUP($D124,$C$5:$AU$503,3,)=0,0,(VLOOKUP($D124,$C$5:$AU$503,16,)/VLOOKUP($D124,$C$5:$AU$503,3,))*$E124)</f>
        <v>0</v>
      </c>
      <c r="S124" s="66">
        <f>IF(VLOOKUP($D124,$C$5:$AU$503,3,)=0,0,(VLOOKUP($D124,$C$5:$AU$503,17,)/VLOOKUP($D124,$C$5:$AU$503,3,))*$E124)</f>
        <v>0</v>
      </c>
      <c r="T124" s="66">
        <f>IF(VLOOKUP($D124,$C$5:$AU$503,3,)=0,0,(VLOOKUP($D124,$C$5:$AU$503,18,)/VLOOKUP($D124,$C$5:$AU$503,3,))*$E124)</f>
        <v>0</v>
      </c>
      <c r="U124" s="66">
        <f>IF(VLOOKUP($D124,$C$5:$AU$503,3,)=0,0,(VLOOKUP($D124,$C$5:$AU$503,19,)/VLOOKUP($D124,$C$5:$AU$503,3,))*$E124)</f>
        <v>0</v>
      </c>
      <c r="V124" s="66">
        <f>IF(VLOOKUP($D124,$C$5:$AU$503,3,)=0,0,(VLOOKUP($D124,$C$5:$AU$503,20,)/VLOOKUP($D124,$C$5:$AU$503,3,))*$E124)</f>
        <v>0</v>
      </c>
      <c r="W124" s="66">
        <f>IF(VLOOKUP($D124,$C$5:$AU$503,3,)=0,0,(VLOOKUP($D124,$C$5:$AU$503,21,)/VLOOKUP($D124,$C$5:$AU$503,3,))*$E124)</f>
        <v>0</v>
      </c>
      <c r="X124" s="66">
        <f>IF(VLOOKUP($D124,$C$5:$AU$503,3,)=0,0,(VLOOKUP($D124,$C$5:$AU$503,22,)/VLOOKUP($D124,$C$5:$AU$503,3,))*$E124)</f>
        <v>0</v>
      </c>
      <c r="Y124" s="66">
        <f>IF(VLOOKUP($D124,$C$5:$AU$503,3,)=0,0,(VLOOKUP($D124,$C$5:$AU$503,23,)/VLOOKUP($D124,$C$5:$AU$503,3,))*$E124)</f>
        <v>0</v>
      </c>
      <c r="Z124" s="66">
        <f>IF(VLOOKUP($D124,$C$5:$AU$503,3,)=0,0,(VLOOKUP($D124,$C$5:$AU$503,24,)/VLOOKUP($D124,$C$5:$AU$503,3,))*$E124)</f>
        <v>0</v>
      </c>
      <c r="AA124" s="66">
        <f>IF(VLOOKUP($D124,$C$5:$AU$503,3,)=0,0,(VLOOKUP($D124,$C$5:$AU$503,25,)/VLOOKUP($D124,$C$5:$AU$503,3,))*$E124)</f>
        <v>0</v>
      </c>
      <c r="AB124" s="66">
        <f>IF(VLOOKUP($D124,$C$5:$AU$503,3,)=0,0,(VLOOKUP($D124,$C$5:$AU$503,26,)/VLOOKUP($D124,$C$5:$AU$503,3,))*$E124)</f>
        <v>0</v>
      </c>
      <c r="AC124" s="66">
        <f>IF(VLOOKUP($D124,$C$5:$AU$503,3,)=0,0,(VLOOKUP($D124,$C$5:$AU$503,27,)/VLOOKUP($D124,$C$5:$AU$503,3,))*$E124)</f>
        <v>0</v>
      </c>
      <c r="AD124" s="66">
        <f>IF(VLOOKUP($D124,$C$5:$AU$503,3,)=0,0,(VLOOKUP($D124,$C$5:$AU$503,28,)/VLOOKUP($D124,$C$5:$AU$503,3,))*$E124)</f>
        <v>0</v>
      </c>
      <c r="AE124" s="66">
        <f>IF(VLOOKUP($D124,$C$5:$AU$503,3,)=0,0,(VLOOKUP($D124,$C$5:$AU$503,29,)/VLOOKUP($D124,$C$5:$AU$503,3,))*$E124)</f>
        <v>0</v>
      </c>
      <c r="AF124" s="66">
        <f>IF(VLOOKUP($D124,$C$5:$AU$503,3,)=0,0,(VLOOKUP($D124,$C$5:$AU$503,30,)/VLOOKUP($D124,$C$5:$AU$503,3,))*$E124)</f>
        <v>0</v>
      </c>
      <c r="AG124" s="93">
        <f>SUM(F124:AF124)</f>
        <v>76848014.844991267</v>
      </c>
      <c r="AH124" s="30" t="str">
        <f>IF(ABS(E124-AG124)&lt;0.01,"ok","err")</f>
        <v>ok</v>
      </c>
      <c r="AJ124" s="48">
        <f>H124/I124</f>
        <v>22.776279320538645</v>
      </c>
    </row>
    <row r="125" spans="1:36" x14ac:dyDescent="0.2">
      <c r="A125" s="14" t="s">
        <v>215</v>
      </c>
      <c r="C125" s="14" t="s">
        <v>264</v>
      </c>
      <c r="E125" s="243">
        <f t="shared" ref="E125:T125" si="25">E123+E124</f>
        <v>109041205.00000003</v>
      </c>
      <c r="F125" s="102">
        <f t="shared" si="25"/>
        <v>73636016.66268158</v>
      </c>
      <c r="G125" s="102">
        <f t="shared" si="25"/>
        <v>4516373.701372182</v>
      </c>
      <c r="H125" s="102">
        <f t="shared" si="25"/>
        <v>15647787.233920541</v>
      </c>
      <c r="I125" s="102">
        <f t="shared" si="25"/>
        <v>725189</v>
      </c>
      <c r="J125" s="102">
        <f t="shared" si="25"/>
        <v>5610135</v>
      </c>
      <c r="K125" s="102">
        <f t="shared" si="25"/>
        <v>5966648.9999999991</v>
      </c>
      <c r="L125" s="102">
        <f t="shared" si="25"/>
        <v>1011482.7846149894</v>
      </c>
      <c r="M125" s="102">
        <f t="shared" si="25"/>
        <v>888968.45202469127</v>
      </c>
      <c r="N125" s="102">
        <f t="shared" si="25"/>
        <v>1038603.1653860456</v>
      </c>
      <c r="O125" s="102">
        <f t="shared" si="25"/>
        <v>0</v>
      </c>
      <c r="P125" s="102">
        <f t="shared" si="25"/>
        <v>0</v>
      </c>
      <c r="Q125" s="102">
        <f t="shared" si="25"/>
        <v>0</v>
      </c>
      <c r="R125" s="102">
        <f t="shared" si="25"/>
        <v>0</v>
      </c>
      <c r="S125" s="102">
        <f t="shared" si="25"/>
        <v>0</v>
      </c>
      <c r="T125" s="102">
        <f t="shared" si="25"/>
        <v>0</v>
      </c>
      <c r="U125" s="102">
        <f t="shared" ref="U125:AF125" si="26">U123+U124</f>
        <v>0</v>
      </c>
      <c r="V125" s="102">
        <f t="shared" si="26"/>
        <v>0</v>
      </c>
      <c r="W125" s="102">
        <f t="shared" si="26"/>
        <v>0</v>
      </c>
      <c r="X125" s="102">
        <f t="shared" si="26"/>
        <v>0</v>
      </c>
      <c r="Y125" s="102">
        <f t="shared" si="26"/>
        <v>0</v>
      </c>
      <c r="Z125" s="102">
        <f t="shared" si="26"/>
        <v>0</v>
      </c>
      <c r="AA125" s="102">
        <f t="shared" si="26"/>
        <v>0</v>
      </c>
      <c r="AB125" s="102">
        <f t="shared" si="26"/>
        <v>0</v>
      </c>
      <c r="AC125" s="102">
        <f t="shared" si="26"/>
        <v>0</v>
      </c>
      <c r="AD125" s="102">
        <f t="shared" si="26"/>
        <v>0</v>
      </c>
      <c r="AE125" s="102">
        <f t="shared" si="26"/>
        <v>0</v>
      </c>
      <c r="AF125" s="102">
        <f t="shared" si="26"/>
        <v>0</v>
      </c>
      <c r="AG125" s="104">
        <f>SUM(F125:AF125)</f>
        <v>109041205.00000004</v>
      </c>
      <c r="AH125" s="30" t="str">
        <f>IF(ABS(E125-AG125)&lt;0.01,"ok","err")</f>
        <v>ok</v>
      </c>
      <c r="AJ125" s="48">
        <f>H125/I125</f>
        <v>21.57752976661331</v>
      </c>
    </row>
    <row r="126" spans="1:36" x14ac:dyDescent="0.2">
      <c r="E126" s="234"/>
      <c r="F126" s="50"/>
      <c r="K126" s="93"/>
      <c r="L126" s="93"/>
      <c r="M126" s="93"/>
    </row>
    <row r="127" spans="1:36" x14ac:dyDescent="0.2">
      <c r="A127" s="13" t="s">
        <v>350</v>
      </c>
      <c r="E127" s="234"/>
      <c r="F127" s="50"/>
    </row>
    <row r="128" spans="1:36" x14ac:dyDescent="0.2">
      <c r="A128" s="96" t="s">
        <v>209</v>
      </c>
      <c r="C128" s="14" t="s">
        <v>885</v>
      </c>
      <c r="D128" s="14" t="s">
        <v>623</v>
      </c>
      <c r="E128" s="233">
        <f>'Func &amp; Classif'!K285</f>
        <v>0</v>
      </c>
      <c r="F128" s="66">
        <f>IF(VLOOKUP($D128,$C$5:$AU$503,3,)=0,0,(VLOOKUP($D128,$C$5:$AU$503,4,)/VLOOKUP($D128,$C$5:$AU$503,3,))*$E128)</f>
        <v>0</v>
      </c>
      <c r="G128" s="66">
        <f>IF(VLOOKUP($D128,$C$5:$AU$503,3,)=0,0,(VLOOKUP($D128,$C$5:$AU$503,5,)/VLOOKUP($D128,$C$5:$AU$503,3,))*$E128)</f>
        <v>0</v>
      </c>
      <c r="H128" s="66">
        <f>IF(VLOOKUP($D128,$C$5:$AU$503,3,)=0,0,(VLOOKUP($D128,$C$5:$AU$503,6,)/VLOOKUP($D128,$C$5:$AU$503,3,))*$E128)</f>
        <v>0</v>
      </c>
      <c r="I128" s="66">
        <f>IF(VLOOKUP($D128,$C$5:$AU$503,3,)=0,0,(VLOOKUP($D128,$C$5:$AU$503,7,)/VLOOKUP($D128,$C$5:$AU$503,3,))*$E128)</f>
        <v>0</v>
      </c>
      <c r="J128" s="66">
        <f>IF(VLOOKUP($D128,$C$5:$AU$503,3,)=0,0,(VLOOKUP($D128,$C$5:$AU$503,8,)/VLOOKUP($D128,$C$5:$AU$503,3,))*$E128)</f>
        <v>0</v>
      </c>
      <c r="K128" s="66">
        <f>IF(VLOOKUP($D128,$C$5:$AU$503,3,)=0,0,(VLOOKUP($D128,$C$5:$AU$503,9,)/VLOOKUP($D128,$C$5:$AU$503,3,))*$E128)</f>
        <v>0</v>
      </c>
      <c r="L128" s="66">
        <f>IF(VLOOKUP($D128,$C$5:$AU$503,3,)=0,0,(VLOOKUP($D128,$C$5:$AU$503,10,)/VLOOKUP($D128,$C$5:$AU$503,3,))*$E128)</f>
        <v>0</v>
      </c>
      <c r="M128" s="66">
        <f>IF(VLOOKUP($D128,$C$5:$AU$503,3,)=0,0,(VLOOKUP($D128,$C$5:$AU$503,11,)/VLOOKUP($D128,$C$5:$AU$503,3,))*$E128)</f>
        <v>0</v>
      </c>
      <c r="N128" s="66">
        <f>IF(VLOOKUP($D128,$C$5:$AU$503,3,)=0,0,(VLOOKUP($D128,$C$5:$AU$503,12,)/VLOOKUP($D128,$C$5:$AU$503,3,))*$E128)</f>
        <v>0</v>
      </c>
      <c r="O128" s="66">
        <f>IF(VLOOKUP($D128,$C$5:$AU$503,3,)=0,0,(VLOOKUP($D128,$C$5:$AU$503,13,)/VLOOKUP($D128,$C$5:$AU$503,3,))*$E128)</f>
        <v>0</v>
      </c>
      <c r="P128" s="66">
        <f>IF(VLOOKUP($D128,$C$5:$AU$503,3,)=0,0,(VLOOKUP($D128,$C$5:$AU$503,14,)/VLOOKUP($D128,$C$5:$AU$503,3,))*$E128)</f>
        <v>0</v>
      </c>
      <c r="Q128" s="66">
        <f>IF(VLOOKUP($D128,$C$5:$AU$503,3,)=0,0,(VLOOKUP($D128,$C$5:$AU$503,15,)/VLOOKUP($D128,$C$5:$AU$503,3,))*$E128)</f>
        <v>0</v>
      </c>
      <c r="R128" s="66">
        <f>IF(VLOOKUP($D128,$C$5:$AU$503,3,)=0,0,(VLOOKUP($D128,$C$5:$AU$503,16,)/VLOOKUP($D128,$C$5:$AU$503,3,))*$E128)</f>
        <v>0</v>
      </c>
      <c r="S128" s="66">
        <f>IF(VLOOKUP($D128,$C$5:$AU$503,3,)=0,0,(VLOOKUP($D128,$C$5:$AU$503,17,)/VLOOKUP($D128,$C$5:$AU$503,3,))*$E128)</f>
        <v>0</v>
      </c>
      <c r="T128" s="66">
        <f>IF(VLOOKUP($D128,$C$5:$AU$503,3,)=0,0,(VLOOKUP($D128,$C$5:$AU$503,18,)/VLOOKUP($D128,$C$5:$AU$503,3,))*$E128)</f>
        <v>0</v>
      </c>
      <c r="U128" s="66">
        <f>IF(VLOOKUP($D128,$C$5:$AU$503,3,)=0,0,(VLOOKUP($D128,$C$5:$AU$503,19,)/VLOOKUP($D128,$C$5:$AU$503,3,))*$E128)</f>
        <v>0</v>
      </c>
      <c r="V128" s="66">
        <f>IF(VLOOKUP($D128,$C$5:$AU$503,3,)=0,0,(VLOOKUP($D128,$C$5:$AU$503,20,)/VLOOKUP($D128,$C$5:$AU$503,3,))*$E128)</f>
        <v>0</v>
      </c>
      <c r="W128" s="66">
        <f>IF(VLOOKUP($D128,$C$5:$AU$503,3,)=0,0,(VLOOKUP($D128,$C$5:$AU$503,21,)/VLOOKUP($D128,$C$5:$AU$503,3,))*$E128)</f>
        <v>0</v>
      </c>
      <c r="X128" s="66">
        <f>IF(VLOOKUP($D128,$C$5:$AU$503,3,)=0,0,(VLOOKUP($D128,$C$5:$AU$503,22,)/VLOOKUP($D128,$C$5:$AU$503,3,))*$E128)</f>
        <v>0</v>
      </c>
      <c r="Y128" s="66">
        <f>IF(VLOOKUP($D128,$C$5:$AU$503,3,)=0,0,(VLOOKUP($D128,$C$5:$AU$503,23,)/VLOOKUP($D128,$C$5:$AU$503,3,))*$E128)</f>
        <v>0</v>
      </c>
      <c r="Z128" s="66">
        <f>IF(VLOOKUP($D128,$C$5:$AU$503,3,)=0,0,(VLOOKUP($D128,$C$5:$AU$503,24,)/VLOOKUP($D128,$C$5:$AU$503,3,))*$E128)</f>
        <v>0</v>
      </c>
      <c r="AA128" s="66">
        <f>IF(VLOOKUP($D128,$C$5:$AU$503,3,)=0,0,(VLOOKUP($D128,$C$5:$AU$503,25,)/VLOOKUP($D128,$C$5:$AU$503,3,))*$E128)</f>
        <v>0</v>
      </c>
      <c r="AB128" s="66">
        <f>IF(VLOOKUP($D128,$C$5:$AU$503,3,)=0,0,(VLOOKUP($D128,$C$5:$AU$503,26,)/VLOOKUP($D128,$C$5:$AU$503,3,))*$E128)</f>
        <v>0</v>
      </c>
      <c r="AC128" s="66">
        <f>IF(VLOOKUP($D128,$C$5:$AU$503,3,)=0,0,(VLOOKUP($D128,$C$5:$AU$503,27,)/VLOOKUP($D128,$C$5:$AU$503,3,))*$E128)</f>
        <v>0</v>
      </c>
      <c r="AD128" s="66">
        <f>IF(VLOOKUP($D128,$C$5:$AU$503,3,)=0,0,(VLOOKUP($D128,$C$5:$AU$503,28,)/VLOOKUP($D128,$C$5:$AU$503,3,))*$E128)</f>
        <v>0</v>
      </c>
      <c r="AE128" s="66">
        <f>IF(VLOOKUP($D128,$C$5:$AU$503,3,)=0,0,(VLOOKUP($D128,$C$5:$AU$503,29,)/VLOOKUP($D128,$C$5:$AU$503,3,))*$E128)</f>
        <v>0</v>
      </c>
      <c r="AF128" s="66">
        <f>IF(VLOOKUP($D128,$C$5:$AU$503,3,)=0,0,(VLOOKUP($D128,$C$5:$AU$503,30,)/VLOOKUP($D128,$C$5:$AU$503,3,))*$E128)</f>
        <v>0</v>
      </c>
      <c r="AG128" s="93">
        <f>SUM(F128:AF128)</f>
        <v>0</v>
      </c>
      <c r="AH128" s="30" t="str">
        <f>IF(ABS(E128-AG128)&lt;0.01,"ok","err")</f>
        <v>ok</v>
      </c>
      <c r="AJ128" s="48" t="e">
        <f>H128/I128</f>
        <v>#DIV/0!</v>
      </c>
    </row>
    <row r="129" spans="1:36" x14ac:dyDescent="0.2">
      <c r="E129" s="234"/>
    </row>
    <row r="130" spans="1:36" x14ac:dyDescent="0.2">
      <c r="A130" s="13" t="s">
        <v>1</v>
      </c>
      <c r="E130" s="234"/>
      <c r="F130" s="50"/>
    </row>
    <row r="131" spans="1:36" x14ac:dyDescent="0.2">
      <c r="A131" s="96" t="s">
        <v>209</v>
      </c>
      <c r="C131" s="14" t="s">
        <v>265</v>
      </c>
      <c r="D131" s="14" t="s">
        <v>630</v>
      </c>
      <c r="E131" s="233">
        <f>'Func &amp; Classif'!M285</f>
        <v>225172.45589137106</v>
      </c>
      <c r="F131" s="66">
        <f>IF(VLOOKUP($D131,$C$5:$AU$503,3,)=0,0,(VLOOKUP($D131,$C$5:$AU$503,4,)/VLOOKUP($D131,$C$5:$AU$503,3,))*$E131)</f>
        <v>172373.40206184925</v>
      </c>
      <c r="G131" s="66">
        <f>IF(VLOOKUP($D131,$C$5:$AU$503,3,)=0,0,(VLOOKUP($D131,$C$5:$AU$503,5,)/VLOOKUP($D131,$C$5:$AU$503,3,))*$E131)</f>
        <v>0</v>
      </c>
      <c r="H131" s="66">
        <f>IF(VLOOKUP($D131,$C$5:$AU$503,3,)=0,0,(VLOOKUP($D131,$C$5:$AU$503,6,)/VLOOKUP($D131,$C$5:$AU$503,3,))*$E131)</f>
        <v>27335.677721123611</v>
      </c>
      <c r="I131" s="66">
        <f>IF(VLOOKUP($D131,$C$5:$AU$503,3,)=0,0,(VLOOKUP($D131,$C$5:$AU$503,7,)/VLOOKUP($D131,$C$5:$AU$503,3,))*$E131)</f>
        <v>977.67052661492414</v>
      </c>
      <c r="J131" s="66">
        <f>IF(VLOOKUP($D131,$C$5:$AU$503,3,)=0,0,(VLOOKUP($D131,$C$5:$AU$503,8,)/VLOOKUP($D131,$C$5:$AU$503,3,))*$E131)</f>
        <v>8759.649575163201</v>
      </c>
      <c r="K131" s="66">
        <f>IF(VLOOKUP($D131,$C$5:$AU$503,3,)=0,0,(VLOOKUP($D131,$C$5:$AU$503,9,)/VLOOKUP($D131,$C$5:$AU$503,3,))*$E131)</f>
        <v>11161.870409218785</v>
      </c>
      <c r="L131" s="66">
        <f>IF(VLOOKUP($D131,$C$5:$AU$503,3,)=0,0,(VLOOKUP($D131,$C$5:$AU$503,10,)/VLOOKUP($D131,$C$5:$AU$503,3,))*$E131)</f>
        <v>1723.2833237036159</v>
      </c>
      <c r="M131" s="66">
        <f>IF(VLOOKUP($D131,$C$5:$AU$503,3,)=0,0,(VLOOKUP($D131,$C$5:$AU$503,11,)/VLOOKUP($D131,$C$5:$AU$503,3,))*$E131)</f>
        <v>1524.147160033365</v>
      </c>
      <c r="N131" s="66">
        <f>IF(VLOOKUP($D131,$C$5:$AU$503,3,)=0,0,(VLOOKUP($D131,$C$5:$AU$503,12,)/VLOOKUP($D131,$C$5:$AU$503,3,))*$E131)</f>
        <v>1316.7551136642967</v>
      </c>
      <c r="O131" s="66">
        <f>IF(VLOOKUP($D131,$C$5:$AU$503,3,)=0,0,(VLOOKUP($D131,$C$5:$AU$503,13,)/VLOOKUP($D131,$C$5:$AU$503,3,))*$E131)</f>
        <v>0</v>
      </c>
      <c r="P131" s="66">
        <f>IF(VLOOKUP($D131,$C$5:$AU$503,3,)=0,0,(VLOOKUP($D131,$C$5:$AU$503,14,)/VLOOKUP($D131,$C$5:$AU$503,3,))*$E131)</f>
        <v>0</v>
      </c>
      <c r="Q131" s="66">
        <f>IF(VLOOKUP($D131,$C$5:$AU$503,3,)=0,0,(VLOOKUP($D131,$C$5:$AU$503,15,)/VLOOKUP($D131,$C$5:$AU$503,3,))*$E131)</f>
        <v>0</v>
      </c>
      <c r="R131" s="66">
        <f>IF(VLOOKUP($D131,$C$5:$AU$503,3,)=0,0,(VLOOKUP($D131,$C$5:$AU$503,16,)/VLOOKUP($D131,$C$5:$AU$503,3,))*$E131)</f>
        <v>0</v>
      </c>
      <c r="S131" s="66">
        <f>IF(VLOOKUP($D131,$C$5:$AU$503,3,)=0,0,(VLOOKUP($D131,$C$5:$AU$503,17,)/VLOOKUP($D131,$C$5:$AU$503,3,))*$E131)</f>
        <v>0</v>
      </c>
      <c r="T131" s="66">
        <f>IF(VLOOKUP($D131,$C$5:$AU$503,3,)=0,0,(VLOOKUP($D131,$C$5:$AU$503,18,)/VLOOKUP($D131,$C$5:$AU$503,3,))*$E131)</f>
        <v>0</v>
      </c>
      <c r="U131" s="66">
        <f>IF(VLOOKUP($D131,$C$5:$AU$503,3,)=0,0,(VLOOKUP($D131,$C$5:$AU$503,19,)/VLOOKUP($D131,$C$5:$AU$503,3,))*$E131)</f>
        <v>0</v>
      </c>
      <c r="V131" s="66">
        <f>IF(VLOOKUP($D131,$C$5:$AU$503,3,)=0,0,(VLOOKUP($D131,$C$5:$AU$503,20,)/VLOOKUP($D131,$C$5:$AU$503,3,))*$E131)</f>
        <v>0</v>
      </c>
      <c r="W131" s="66">
        <f>IF(VLOOKUP($D131,$C$5:$AU$503,3,)=0,0,(VLOOKUP($D131,$C$5:$AU$503,21,)/VLOOKUP($D131,$C$5:$AU$503,3,))*$E131)</f>
        <v>0</v>
      </c>
      <c r="X131" s="66">
        <f>IF(VLOOKUP($D131,$C$5:$AU$503,3,)=0,0,(VLOOKUP($D131,$C$5:$AU$503,22,)/VLOOKUP($D131,$C$5:$AU$503,3,))*$E131)</f>
        <v>0</v>
      </c>
      <c r="Y131" s="66">
        <f>IF(VLOOKUP($D131,$C$5:$AU$503,3,)=0,0,(VLOOKUP($D131,$C$5:$AU$503,23,)/VLOOKUP($D131,$C$5:$AU$503,3,))*$E131)</f>
        <v>0</v>
      </c>
      <c r="Z131" s="66">
        <f>IF(VLOOKUP($D131,$C$5:$AU$503,3,)=0,0,(VLOOKUP($D131,$C$5:$AU$503,24,)/VLOOKUP($D131,$C$5:$AU$503,3,))*$E131)</f>
        <v>0</v>
      </c>
      <c r="AA131" s="66">
        <f>IF(VLOOKUP($D131,$C$5:$AU$503,3,)=0,0,(VLOOKUP($D131,$C$5:$AU$503,25,)/VLOOKUP($D131,$C$5:$AU$503,3,))*$E131)</f>
        <v>0</v>
      </c>
      <c r="AB131" s="66">
        <f>IF(VLOOKUP($D131,$C$5:$AU$503,3,)=0,0,(VLOOKUP($D131,$C$5:$AU$503,26,)/VLOOKUP($D131,$C$5:$AU$503,3,))*$E131)</f>
        <v>0</v>
      </c>
      <c r="AC131" s="66">
        <f>IF(VLOOKUP($D131,$C$5:$AU$503,3,)=0,0,(VLOOKUP($D131,$C$5:$AU$503,27,)/VLOOKUP($D131,$C$5:$AU$503,3,))*$E131)</f>
        <v>0</v>
      </c>
      <c r="AD131" s="66">
        <f>IF(VLOOKUP($D131,$C$5:$AU$503,3,)=0,0,(VLOOKUP($D131,$C$5:$AU$503,28,)/VLOOKUP($D131,$C$5:$AU$503,3,))*$E131)</f>
        <v>0</v>
      </c>
      <c r="AE131" s="66">
        <f>IF(VLOOKUP($D131,$C$5:$AU$503,3,)=0,0,(VLOOKUP($D131,$C$5:$AU$503,29,)/VLOOKUP($D131,$C$5:$AU$503,3,))*$E131)</f>
        <v>0</v>
      </c>
      <c r="AF131" s="66">
        <f>IF(VLOOKUP($D131,$C$5:$AU$503,3,)=0,0,(VLOOKUP($D131,$C$5:$AU$503,30,)/VLOOKUP($D131,$C$5:$AU$503,3,))*$E131)</f>
        <v>0</v>
      </c>
      <c r="AG131" s="93">
        <f>SUM(F131:AF131)</f>
        <v>225172.45589137109</v>
      </c>
      <c r="AH131" s="30" t="str">
        <f>IF(ABS(E131-AG131)&lt;0.01,"ok","err")</f>
        <v>ok</v>
      </c>
      <c r="AJ131" s="48">
        <f>H131/I131</f>
        <v>27.960010020727911</v>
      </c>
    </row>
    <row r="132" spans="1:36" x14ac:dyDescent="0.2">
      <c r="E132" s="234"/>
    </row>
    <row r="133" spans="1:36" x14ac:dyDescent="0.2">
      <c r="A133" s="13" t="s">
        <v>2</v>
      </c>
      <c r="E133" s="234"/>
    </row>
    <row r="134" spans="1:36" x14ac:dyDescent="0.2">
      <c r="A134" s="96" t="s">
        <v>209</v>
      </c>
      <c r="C134" s="14" t="s">
        <v>266</v>
      </c>
      <c r="D134" s="14" t="s">
        <v>627</v>
      </c>
      <c r="E134" s="233">
        <f>'Func &amp; Classif'!O285</f>
        <v>16060820.186804712</v>
      </c>
      <c r="F134" s="66">
        <f>IF(VLOOKUP($D134,$C$5:$AU$503,3,)=0,0,(VLOOKUP($D134,$C$5:$AU$503,4,)/VLOOKUP($D134,$C$5:$AU$503,3,))*$E134)</f>
        <v>12711772.300895944</v>
      </c>
      <c r="G134" s="66">
        <f>IF(VLOOKUP($D134,$C$5:$AU$503,3,)=0,0,(VLOOKUP($D134,$C$5:$AU$503,5,)/VLOOKUP($D134,$C$5:$AU$503,3,))*$E134)</f>
        <v>906186.75759715342</v>
      </c>
      <c r="H134" s="66">
        <f>IF(VLOOKUP($D134,$C$5:$AU$503,3,)=0,0,(VLOOKUP($D134,$C$5:$AU$503,6,)/VLOOKUP($D134,$C$5:$AU$503,3,))*$E134)</f>
        <v>1318982.2035818221</v>
      </c>
      <c r="I134" s="66">
        <f>IF(VLOOKUP($D134,$C$5:$AU$503,3,)=0,0,(VLOOKUP($D134,$C$5:$AU$503,7,)/VLOOKUP($D134,$C$5:$AU$503,3,))*$E134)</f>
        <v>45302.191494453327</v>
      </c>
      <c r="J134" s="66">
        <f>IF(VLOOKUP($D134,$C$5:$AU$503,3,)=0,0,(VLOOKUP($D134,$C$5:$AU$503,8,)/VLOOKUP($D134,$C$5:$AU$503,3,))*$E134)</f>
        <v>360291.76568461937</v>
      </c>
      <c r="K134" s="66">
        <f>IF(VLOOKUP($D134,$C$5:$AU$503,3,)=0,0,(VLOOKUP($D134,$C$5:$AU$503,9,)/VLOOKUP($D134,$C$5:$AU$503,3,))*$E134)</f>
        <v>390200.60145277681</v>
      </c>
      <c r="L134" s="66">
        <f>IF(VLOOKUP($D134,$C$5:$AU$503,3,)=0,0,(VLOOKUP($D134,$C$5:$AU$503,10,)/VLOOKUP($D134,$C$5:$AU$503,3,))*$E134)</f>
        <v>146361.72944933968</v>
      </c>
      <c r="M134" s="66">
        <f>IF(VLOOKUP($D134,$C$5:$AU$503,3,)=0,0,(VLOOKUP($D134,$C$5:$AU$503,11,)/VLOOKUP($D134,$C$5:$AU$503,3,))*$E134)</f>
        <v>102982.49981227813</v>
      </c>
      <c r="N134" s="66">
        <f>IF(VLOOKUP($D134,$C$5:$AU$503,3,)=0,0,(VLOOKUP($D134,$C$5:$AU$503,12,)/VLOOKUP($D134,$C$5:$AU$503,3,))*$E134)</f>
        <v>78740.136836321224</v>
      </c>
      <c r="O134" s="66">
        <f>IF(VLOOKUP($D134,$C$5:$AU$503,3,)=0,0,(VLOOKUP($D134,$C$5:$AU$503,13,)/VLOOKUP($D134,$C$5:$AU$503,3,))*$E134)</f>
        <v>0</v>
      </c>
      <c r="P134" s="66">
        <f>IF(VLOOKUP($D134,$C$5:$AU$503,3,)=0,0,(VLOOKUP($D134,$C$5:$AU$503,14,)/VLOOKUP($D134,$C$5:$AU$503,3,))*$E134)</f>
        <v>0</v>
      </c>
      <c r="Q134" s="66">
        <f>IF(VLOOKUP($D134,$C$5:$AU$503,3,)=0,0,(VLOOKUP($D134,$C$5:$AU$503,15,)/VLOOKUP($D134,$C$5:$AU$503,3,))*$E134)</f>
        <v>0</v>
      </c>
      <c r="R134" s="66">
        <f>IF(VLOOKUP($D134,$C$5:$AU$503,3,)=0,0,(VLOOKUP($D134,$C$5:$AU$503,16,)/VLOOKUP($D134,$C$5:$AU$503,3,))*$E134)</f>
        <v>0</v>
      </c>
      <c r="S134" s="66">
        <f>IF(VLOOKUP($D134,$C$5:$AU$503,3,)=0,0,(VLOOKUP($D134,$C$5:$AU$503,17,)/VLOOKUP($D134,$C$5:$AU$503,3,))*$E134)</f>
        <v>0</v>
      </c>
      <c r="T134" s="66">
        <f>IF(VLOOKUP($D134,$C$5:$AU$503,3,)=0,0,(VLOOKUP($D134,$C$5:$AU$503,18,)/VLOOKUP($D134,$C$5:$AU$503,3,))*$E134)</f>
        <v>0</v>
      </c>
      <c r="U134" s="66">
        <f>IF(VLOOKUP($D134,$C$5:$AU$503,3,)=0,0,(VLOOKUP($D134,$C$5:$AU$503,19,)/VLOOKUP($D134,$C$5:$AU$503,3,))*$E134)</f>
        <v>0</v>
      </c>
      <c r="V134" s="66">
        <f>IF(VLOOKUP($D134,$C$5:$AU$503,3,)=0,0,(VLOOKUP($D134,$C$5:$AU$503,20,)/VLOOKUP($D134,$C$5:$AU$503,3,))*$E134)</f>
        <v>0</v>
      </c>
      <c r="W134" s="66">
        <f>IF(VLOOKUP($D134,$C$5:$AU$503,3,)=0,0,(VLOOKUP($D134,$C$5:$AU$503,21,)/VLOOKUP($D134,$C$5:$AU$503,3,))*$E134)</f>
        <v>0</v>
      </c>
      <c r="X134" s="66">
        <f>IF(VLOOKUP($D134,$C$5:$AU$503,3,)=0,0,(VLOOKUP($D134,$C$5:$AU$503,22,)/VLOOKUP($D134,$C$5:$AU$503,3,))*$E134)</f>
        <v>0</v>
      </c>
      <c r="Y134" s="66">
        <f>IF(VLOOKUP($D134,$C$5:$AU$503,3,)=0,0,(VLOOKUP($D134,$C$5:$AU$503,23,)/VLOOKUP($D134,$C$5:$AU$503,3,))*$E134)</f>
        <v>0</v>
      </c>
      <c r="Z134" s="66">
        <f>IF(VLOOKUP($D134,$C$5:$AU$503,3,)=0,0,(VLOOKUP($D134,$C$5:$AU$503,24,)/VLOOKUP($D134,$C$5:$AU$503,3,))*$E134)</f>
        <v>0</v>
      </c>
      <c r="AA134" s="66">
        <f>IF(VLOOKUP($D134,$C$5:$AU$503,3,)=0,0,(VLOOKUP($D134,$C$5:$AU$503,25,)/VLOOKUP($D134,$C$5:$AU$503,3,))*$E134)</f>
        <v>0</v>
      </c>
      <c r="AB134" s="66">
        <f>IF(VLOOKUP($D134,$C$5:$AU$503,3,)=0,0,(VLOOKUP($D134,$C$5:$AU$503,26,)/VLOOKUP($D134,$C$5:$AU$503,3,))*$E134)</f>
        <v>0</v>
      </c>
      <c r="AC134" s="66">
        <f>IF(VLOOKUP($D134,$C$5:$AU$503,3,)=0,0,(VLOOKUP($D134,$C$5:$AU$503,27,)/VLOOKUP($D134,$C$5:$AU$503,3,))*$E134)</f>
        <v>0</v>
      </c>
      <c r="AD134" s="66">
        <f>IF(VLOOKUP($D134,$C$5:$AU$503,3,)=0,0,(VLOOKUP($D134,$C$5:$AU$503,28,)/VLOOKUP($D134,$C$5:$AU$503,3,))*$E134)</f>
        <v>0</v>
      </c>
      <c r="AE134" s="66">
        <f>IF(VLOOKUP($D134,$C$5:$AU$503,3,)=0,0,(VLOOKUP($D134,$C$5:$AU$503,29,)/VLOOKUP($D134,$C$5:$AU$503,3,))*$E134)</f>
        <v>0</v>
      </c>
      <c r="AF134" s="66">
        <f>IF(VLOOKUP($D134,$C$5:$AU$503,3,)=0,0,(VLOOKUP($D134,$C$5:$AU$503,30,)/VLOOKUP($D134,$C$5:$AU$503,3,))*$E134)</f>
        <v>0</v>
      </c>
      <c r="AG134" s="93">
        <f>SUM(F134:AF134)</f>
        <v>16060820.186804712</v>
      </c>
      <c r="AH134" s="30" t="str">
        <f>IF(ABS(E134-AG134)&lt;0.01,"ok","err")</f>
        <v>ok</v>
      </c>
      <c r="AJ134" s="48">
        <f>H134/I134</f>
        <v>29.115196419213287</v>
      </c>
    </row>
    <row r="135" spans="1:36" x14ac:dyDescent="0.2">
      <c r="A135" s="96" t="s">
        <v>221</v>
      </c>
      <c r="C135" s="14" t="s">
        <v>267</v>
      </c>
      <c r="D135" s="14" t="s">
        <v>223</v>
      </c>
      <c r="E135" s="234">
        <f>'Func &amp; Classif'!P285</f>
        <v>6866854.6558203558</v>
      </c>
      <c r="F135" s="66">
        <f>IF(VLOOKUP($D135,$C$5:$AU$503,3,)=0,0,(VLOOKUP($D135,$C$5:$AU$503,4,)/VLOOKUP($D135,$C$5:$AU$503,3,))*$E135)</f>
        <v>6330776.5256628152</v>
      </c>
      <c r="G135" s="66">
        <f>IF(VLOOKUP($D135,$C$5:$AU$503,3,)=0,0,(VLOOKUP($D135,$C$5:$AU$503,5,)/VLOOKUP($D135,$C$5:$AU$503,3,))*$E135)</f>
        <v>473867.79411024624</v>
      </c>
      <c r="H135" s="66">
        <f>IF(VLOOKUP($D135,$C$5:$AU$503,3,)=0,0,(VLOOKUP($D135,$C$5:$AU$503,6,)/VLOOKUP($D135,$C$5:$AU$503,3,))*$E135)</f>
        <v>43352.827932957916</v>
      </c>
      <c r="I135" s="66">
        <f>IF(VLOOKUP($D135,$C$5:$AU$503,3,)=0,0,(VLOOKUP($D135,$C$5:$AU$503,7,)/VLOOKUP($D135,$C$5:$AU$503,3,))*$E135)</f>
        <v>97.203650073896668</v>
      </c>
      <c r="J135" s="66">
        <f>IF(VLOOKUP($D135,$C$5:$AU$503,3,)=0,0,(VLOOKUP($D135,$C$5:$AU$503,8,)/VLOOKUP($D135,$C$5:$AU$503,3,))*$E135)</f>
        <v>194.40730014779334</v>
      </c>
      <c r="K135" s="66">
        <f>IF(VLOOKUP($D135,$C$5:$AU$503,3,)=0,0,(VLOOKUP($D135,$C$5:$AU$503,9,)/VLOOKUP($D135,$C$5:$AU$503,3,))*$E135)</f>
        <v>874.83285066507005</v>
      </c>
      <c r="L135" s="66">
        <f>IF(VLOOKUP($D135,$C$5:$AU$503,3,)=0,0,(VLOOKUP($D135,$C$5:$AU$503,10,)/VLOOKUP($D135,$C$5:$AU$503,3,))*$E135)</f>
        <v>13802.918310493327</v>
      </c>
      <c r="M135" s="66">
        <f>IF(VLOOKUP($D135,$C$5:$AU$503,3,)=0,0,(VLOOKUP($D135,$C$5:$AU$503,11,)/VLOOKUP($D135,$C$5:$AU$503,3,))*$E135)</f>
        <v>1652.4620512562433</v>
      </c>
      <c r="N135" s="66">
        <f>IF(VLOOKUP($D135,$C$5:$AU$503,3,)=0,0,(VLOOKUP($D135,$C$5:$AU$503,12,)/VLOOKUP($D135,$C$5:$AU$503,3,))*$E135)</f>
        <v>2235.6839516996233</v>
      </c>
      <c r="O135" s="66">
        <f>IF(VLOOKUP($D135,$C$5:$AU$503,3,)=0,0,(VLOOKUP($D135,$C$5:$AU$503,13,)/VLOOKUP($D135,$C$5:$AU$503,3,))*$E135)</f>
        <v>0</v>
      </c>
      <c r="P135" s="66">
        <f>IF(VLOOKUP($D135,$C$5:$AU$503,3,)=0,0,(VLOOKUP($D135,$C$5:$AU$503,14,)/VLOOKUP($D135,$C$5:$AU$503,3,))*$E135)</f>
        <v>0</v>
      </c>
      <c r="Q135" s="66">
        <f>IF(VLOOKUP($D135,$C$5:$AU$503,3,)=0,0,(VLOOKUP($D135,$C$5:$AU$503,15,)/VLOOKUP($D135,$C$5:$AU$503,3,))*$E135)</f>
        <v>0</v>
      </c>
      <c r="R135" s="66">
        <f>IF(VLOOKUP($D135,$C$5:$AU$503,3,)=0,0,(VLOOKUP($D135,$C$5:$AU$503,16,)/VLOOKUP($D135,$C$5:$AU$503,3,))*$E135)</f>
        <v>0</v>
      </c>
      <c r="S135" s="66">
        <f>IF(VLOOKUP($D135,$C$5:$AU$503,3,)=0,0,(VLOOKUP($D135,$C$5:$AU$503,17,)/VLOOKUP($D135,$C$5:$AU$503,3,))*$E135)</f>
        <v>0</v>
      </c>
      <c r="T135" s="66">
        <f>IF(VLOOKUP($D135,$C$5:$AU$503,3,)=0,0,(VLOOKUP($D135,$C$5:$AU$503,18,)/VLOOKUP($D135,$C$5:$AU$503,3,))*$E135)</f>
        <v>0</v>
      </c>
      <c r="U135" s="66">
        <f>IF(VLOOKUP($D135,$C$5:$AU$503,3,)=0,0,(VLOOKUP($D135,$C$5:$AU$503,19,)/VLOOKUP($D135,$C$5:$AU$503,3,))*$E135)</f>
        <v>0</v>
      </c>
      <c r="V135" s="66">
        <f>IF(VLOOKUP($D135,$C$5:$AU$503,3,)=0,0,(VLOOKUP($D135,$C$5:$AU$503,20,)/VLOOKUP($D135,$C$5:$AU$503,3,))*$E135)</f>
        <v>0</v>
      </c>
      <c r="W135" s="66">
        <f>IF(VLOOKUP($D135,$C$5:$AU$503,3,)=0,0,(VLOOKUP($D135,$C$5:$AU$503,21,)/VLOOKUP($D135,$C$5:$AU$503,3,))*$E135)</f>
        <v>0</v>
      </c>
      <c r="X135" s="66">
        <f>IF(VLOOKUP($D135,$C$5:$AU$503,3,)=0,0,(VLOOKUP($D135,$C$5:$AU$503,22,)/VLOOKUP($D135,$C$5:$AU$503,3,))*$E135)</f>
        <v>0</v>
      </c>
      <c r="Y135" s="66">
        <f>IF(VLOOKUP($D135,$C$5:$AU$503,3,)=0,0,(VLOOKUP($D135,$C$5:$AU$503,23,)/VLOOKUP($D135,$C$5:$AU$503,3,))*$E135)</f>
        <v>0</v>
      </c>
      <c r="Z135" s="66">
        <f>IF(VLOOKUP($D135,$C$5:$AU$503,3,)=0,0,(VLOOKUP($D135,$C$5:$AU$503,24,)/VLOOKUP($D135,$C$5:$AU$503,3,))*$E135)</f>
        <v>0</v>
      </c>
      <c r="AA135" s="66">
        <f>IF(VLOOKUP($D135,$C$5:$AU$503,3,)=0,0,(VLOOKUP($D135,$C$5:$AU$503,25,)/VLOOKUP($D135,$C$5:$AU$503,3,))*$E135)</f>
        <v>0</v>
      </c>
      <c r="AB135" s="66">
        <f>IF(VLOOKUP($D135,$C$5:$AU$503,3,)=0,0,(VLOOKUP($D135,$C$5:$AU$503,26,)/VLOOKUP($D135,$C$5:$AU$503,3,))*$E135)</f>
        <v>0</v>
      </c>
      <c r="AC135" s="66">
        <f>IF(VLOOKUP($D135,$C$5:$AU$503,3,)=0,0,(VLOOKUP($D135,$C$5:$AU$503,27,)/VLOOKUP($D135,$C$5:$AU$503,3,))*$E135)</f>
        <v>0</v>
      </c>
      <c r="AD135" s="66">
        <f>IF(VLOOKUP($D135,$C$5:$AU$503,3,)=0,0,(VLOOKUP($D135,$C$5:$AU$503,28,)/VLOOKUP($D135,$C$5:$AU$503,3,))*$E135)</f>
        <v>0</v>
      </c>
      <c r="AE135" s="66">
        <f>IF(VLOOKUP($D135,$C$5:$AU$503,3,)=0,0,(VLOOKUP($D135,$C$5:$AU$503,29,)/VLOOKUP($D135,$C$5:$AU$503,3,))*$E135)</f>
        <v>0</v>
      </c>
      <c r="AF135" s="66">
        <f>IF(VLOOKUP($D135,$C$5:$AU$503,3,)=0,0,(VLOOKUP($D135,$C$5:$AU$503,30,)/VLOOKUP($D135,$C$5:$AU$503,3,))*$E135)</f>
        <v>0</v>
      </c>
      <c r="AG135" s="93">
        <f>SUM(F135:AF135)</f>
        <v>6866854.6558203548</v>
      </c>
      <c r="AH135" s="30" t="str">
        <f>IF(ABS(E135-AG135)&lt;0.01,"ok","err")</f>
        <v>ok</v>
      </c>
      <c r="AJ135" s="48">
        <f>H135/I135</f>
        <v>446</v>
      </c>
    </row>
    <row r="136" spans="1:36" x14ac:dyDescent="0.2">
      <c r="A136" s="14" t="s">
        <v>224</v>
      </c>
      <c r="E136" s="233">
        <f t="shared" ref="E136:T136" si="27">E134+E135</f>
        <v>22927674.842625067</v>
      </c>
      <c r="F136" s="66">
        <f t="shared" si="27"/>
        <v>19042548.826558761</v>
      </c>
      <c r="G136" s="66">
        <f t="shared" si="27"/>
        <v>1380054.5517073995</v>
      </c>
      <c r="H136" s="66">
        <f t="shared" si="27"/>
        <v>1362335.0315147801</v>
      </c>
      <c r="I136" s="66">
        <f t="shared" si="27"/>
        <v>45399.395144527225</v>
      </c>
      <c r="J136" s="66">
        <f t="shared" si="27"/>
        <v>360486.17298476718</v>
      </c>
      <c r="K136" s="66">
        <f t="shared" si="27"/>
        <v>391075.4343034419</v>
      </c>
      <c r="L136" s="66">
        <f t="shared" si="27"/>
        <v>160164.64775983299</v>
      </c>
      <c r="M136" s="66">
        <f t="shared" si="27"/>
        <v>104634.96186353436</v>
      </c>
      <c r="N136" s="66">
        <f t="shared" si="27"/>
        <v>80975.82078802085</v>
      </c>
      <c r="O136" s="66">
        <f t="shared" si="27"/>
        <v>0</v>
      </c>
      <c r="P136" s="66">
        <f t="shared" si="27"/>
        <v>0</v>
      </c>
      <c r="Q136" s="66">
        <f t="shared" si="27"/>
        <v>0</v>
      </c>
      <c r="R136" s="66">
        <f t="shared" si="27"/>
        <v>0</v>
      </c>
      <c r="S136" s="66">
        <f t="shared" si="27"/>
        <v>0</v>
      </c>
      <c r="T136" s="66">
        <f t="shared" si="27"/>
        <v>0</v>
      </c>
      <c r="U136" s="66">
        <f t="shared" ref="U136:AF136" si="28">U134+U135</f>
        <v>0</v>
      </c>
      <c r="V136" s="66">
        <f t="shared" si="28"/>
        <v>0</v>
      </c>
      <c r="W136" s="66">
        <f t="shared" si="28"/>
        <v>0</v>
      </c>
      <c r="X136" s="66">
        <f t="shared" si="28"/>
        <v>0</v>
      </c>
      <c r="Y136" s="66">
        <f t="shared" si="28"/>
        <v>0</v>
      </c>
      <c r="Z136" s="66">
        <f t="shared" si="28"/>
        <v>0</v>
      </c>
      <c r="AA136" s="66">
        <f t="shared" si="28"/>
        <v>0</v>
      </c>
      <c r="AB136" s="66">
        <f t="shared" si="28"/>
        <v>0</v>
      </c>
      <c r="AC136" s="66">
        <f t="shared" si="28"/>
        <v>0</v>
      </c>
      <c r="AD136" s="66">
        <f t="shared" si="28"/>
        <v>0</v>
      </c>
      <c r="AE136" s="66">
        <f t="shared" si="28"/>
        <v>0</v>
      </c>
      <c r="AF136" s="66">
        <f t="shared" si="28"/>
        <v>0</v>
      </c>
      <c r="AG136" s="93">
        <f>SUM(F136:AF136)</f>
        <v>22927674.842625059</v>
      </c>
      <c r="AH136" s="30" t="str">
        <f>IF(ABS(E136-AG136)&lt;0.01,"ok","err")</f>
        <v>ok</v>
      </c>
      <c r="AJ136" s="48">
        <f>H136/I136</f>
        <v>30.007779336659421</v>
      </c>
    </row>
    <row r="137" spans="1:36" x14ac:dyDescent="0.2">
      <c r="E137" s="234"/>
    </row>
    <row r="138" spans="1:36" x14ac:dyDescent="0.2">
      <c r="A138" s="13" t="s">
        <v>3</v>
      </c>
      <c r="E138" s="234"/>
    </row>
    <row r="139" spans="1:36" x14ac:dyDescent="0.2">
      <c r="A139" s="96" t="s">
        <v>209</v>
      </c>
      <c r="C139" s="14" t="s">
        <v>268</v>
      </c>
      <c r="D139" s="14" t="s">
        <v>699</v>
      </c>
      <c r="E139" s="233">
        <f>'Func &amp; Classif'!R285</f>
        <v>0</v>
      </c>
      <c r="F139" s="66">
        <f>IF(VLOOKUP($D139,$C$5:$AU$503,3,)=0,0,(VLOOKUP($D139,$C$5:$AU$503,4,)/VLOOKUP($D139,$C$5:$AU$503,3,))*$E139)</f>
        <v>0</v>
      </c>
      <c r="G139" s="66">
        <f>IF(VLOOKUP($D139,$C$5:$AU$503,3,)=0,0,(VLOOKUP($D139,$C$5:$AU$503,5,)/VLOOKUP($D139,$C$5:$AU$503,3,))*$E139)</f>
        <v>0</v>
      </c>
      <c r="H139" s="66">
        <f>IF(VLOOKUP($D139,$C$5:$AU$503,3,)=0,0,(VLOOKUP($D139,$C$5:$AU$503,6,)/VLOOKUP($D139,$C$5:$AU$503,3,))*$E139)</f>
        <v>0</v>
      </c>
      <c r="I139" s="66">
        <f>IF(VLOOKUP($D139,$C$5:$AU$503,3,)=0,0,(VLOOKUP($D139,$C$5:$AU$503,7,)/VLOOKUP($D139,$C$5:$AU$503,3,))*$E139)</f>
        <v>0</v>
      </c>
      <c r="J139" s="66">
        <f>IF(VLOOKUP($D139,$C$5:$AU$503,3,)=0,0,(VLOOKUP($D139,$C$5:$AU$503,8,)/VLOOKUP($D139,$C$5:$AU$503,3,))*$E139)</f>
        <v>0</v>
      </c>
      <c r="K139" s="66">
        <f>IF(VLOOKUP($D139,$C$5:$AU$503,3,)=0,0,(VLOOKUP($D139,$C$5:$AU$503,9,)/VLOOKUP($D139,$C$5:$AU$503,3,))*$E139)</f>
        <v>0</v>
      </c>
      <c r="L139" s="66">
        <f>IF(VLOOKUP($D139,$C$5:$AU$503,3,)=0,0,(VLOOKUP($D139,$C$5:$AU$503,10,)/VLOOKUP($D139,$C$5:$AU$503,3,))*$E139)</f>
        <v>0</v>
      </c>
      <c r="M139" s="66">
        <f>IF(VLOOKUP($D139,$C$5:$AU$503,3,)=0,0,(VLOOKUP($D139,$C$5:$AU$503,11,)/VLOOKUP($D139,$C$5:$AU$503,3,))*$E139)</f>
        <v>0</v>
      </c>
      <c r="N139" s="66">
        <f>IF(VLOOKUP($D139,$C$5:$AU$503,3,)=0,0,(VLOOKUP($D139,$C$5:$AU$503,12,)/VLOOKUP($D139,$C$5:$AU$503,3,))*$E139)</f>
        <v>0</v>
      </c>
      <c r="O139" s="66">
        <f>IF(VLOOKUP($D139,$C$5:$AU$503,3,)=0,0,(VLOOKUP($D139,$C$5:$AU$503,13,)/VLOOKUP($D139,$C$5:$AU$503,3,))*$E139)</f>
        <v>0</v>
      </c>
      <c r="P139" s="66">
        <f>IF(VLOOKUP($D139,$C$5:$AU$503,3,)=0,0,(VLOOKUP($D139,$C$5:$AU$503,14,)/VLOOKUP($D139,$C$5:$AU$503,3,))*$E139)</f>
        <v>0</v>
      </c>
      <c r="Q139" s="66">
        <f>IF(VLOOKUP($D139,$C$5:$AU$503,3,)=0,0,(VLOOKUP($D139,$C$5:$AU$503,15,)/VLOOKUP($D139,$C$5:$AU$503,3,))*$E139)</f>
        <v>0</v>
      </c>
      <c r="R139" s="66">
        <f>IF(VLOOKUP($D139,$C$5:$AU$503,3,)=0,0,(VLOOKUP($D139,$C$5:$AU$503,16,)/VLOOKUP($D139,$C$5:$AU$503,3,))*$E139)</f>
        <v>0</v>
      </c>
      <c r="S139" s="66">
        <f>IF(VLOOKUP($D139,$C$5:$AU$503,3,)=0,0,(VLOOKUP($D139,$C$5:$AU$503,17,)/VLOOKUP($D139,$C$5:$AU$503,3,))*$E139)</f>
        <v>0</v>
      </c>
      <c r="T139" s="66">
        <f>IF(VLOOKUP($D139,$C$5:$AU$503,3,)=0,0,(VLOOKUP($D139,$C$5:$AU$503,18,)/VLOOKUP($D139,$C$5:$AU$503,3,))*$E139)</f>
        <v>0</v>
      </c>
      <c r="U139" s="66">
        <f>IF(VLOOKUP($D139,$C$5:$AU$503,3,)=0,0,(VLOOKUP($D139,$C$5:$AU$503,19,)/VLOOKUP($D139,$C$5:$AU$503,3,))*$E139)</f>
        <v>0</v>
      </c>
      <c r="V139" s="66">
        <f>IF(VLOOKUP($D139,$C$5:$AU$503,3,)=0,0,(VLOOKUP($D139,$C$5:$AU$503,20,)/VLOOKUP($D139,$C$5:$AU$503,3,))*$E139)</f>
        <v>0</v>
      </c>
      <c r="W139" s="66">
        <f>IF(VLOOKUP($D139,$C$5:$AU$503,3,)=0,0,(VLOOKUP($D139,$C$5:$AU$503,21,)/VLOOKUP($D139,$C$5:$AU$503,3,))*$E139)</f>
        <v>0</v>
      </c>
      <c r="X139" s="66">
        <f>IF(VLOOKUP($D139,$C$5:$AU$503,3,)=0,0,(VLOOKUP($D139,$C$5:$AU$503,22,)/VLOOKUP($D139,$C$5:$AU$503,3,))*$E139)</f>
        <v>0</v>
      </c>
      <c r="Y139" s="66">
        <f>IF(VLOOKUP($D139,$C$5:$AU$503,3,)=0,0,(VLOOKUP($D139,$C$5:$AU$503,23,)/VLOOKUP($D139,$C$5:$AU$503,3,))*$E139)</f>
        <v>0</v>
      </c>
      <c r="Z139" s="66">
        <f>IF(VLOOKUP($D139,$C$5:$AU$503,3,)=0,0,(VLOOKUP($D139,$C$5:$AU$503,24,)/VLOOKUP($D139,$C$5:$AU$503,3,))*$E139)</f>
        <v>0</v>
      </c>
      <c r="AA139" s="66">
        <f>IF(VLOOKUP($D139,$C$5:$AU$503,3,)=0,0,(VLOOKUP($D139,$C$5:$AU$503,25,)/VLOOKUP($D139,$C$5:$AU$503,3,))*$E139)</f>
        <v>0</v>
      </c>
      <c r="AB139" s="66">
        <f>IF(VLOOKUP($D139,$C$5:$AU$503,3,)=0,0,(VLOOKUP($D139,$C$5:$AU$503,26,)/VLOOKUP($D139,$C$5:$AU$503,3,))*$E139)</f>
        <v>0</v>
      </c>
      <c r="AC139" s="66">
        <f>IF(VLOOKUP($D139,$C$5:$AU$503,3,)=0,0,(VLOOKUP($D139,$C$5:$AU$503,27,)/VLOOKUP($D139,$C$5:$AU$503,3,))*$E139)</f>
        <v>0</v>
      </c>
      <c r="AD139" s="66">
        <f>IF(VLOOKUP($D139,$C$5:$AU$503,3,)=0,0,(VLOOKUP($D139,$C$5:$AU$503,28,)/VLOOKUP($D139,$C$5:$AU$503,3,))*$E139)</f>
        <v>0</v>
      </c>
      <c r="AE139" s="66">
        <f>IF(VLOOKUP($D139,$C$5:$AU$503,3,)=0,0,(VLOOKUP($D139,$C$5:$AU$503,29,)/VLOOKUP($D139,$C$5:$AU$503,3,))*$E139)</f>
        <v>0</v>
      </c>
      <c r="AF139" s="66">
        <f>IF(VLOOKUP($D139,$C$5:$AU$503,3,)=0,0,(VLOOKUP($D139,$C$5:$AU$503,30,)/VLOOKUP($D139,$C$5:$AU$503,3,))*$E139)</f>
        <v>0</v>
      </c>
      <c r="AG139" s="93">
        <f>SUM(F139:AF139)</f>
        <v>0</v>
      </c>
      <c r="AH139" s="30" t="str">
        <f>IF(ABS(E139-AG139)&lt;0.01,"ok","err")</f>
        <v>ok</v>
      </c>
      <c r="AJ139" s="48" t="e">
        <f>H139/I139</f>
        <v>#DIV/0!</v>
      </c>
    </row>
    <row r="140" spans="1:36" x14ac:dyDescent="0.2">
      <c r="A140" s="96" t="s">
        <v>221</v>
      </c>
      <c r="C140" s="14" t="s">
        <v>269</v>
      </c>
      <c r="D140" s="14" t="s">
        <v>699</v>
      </c>
      <c r="E140" s="234">
        <f>'Func &amp; Classif'!S285</f>
        <v>695208.52735763881</v>
      </c>
      <c r="F140" s="66">
        <f>IF(VLOOKUP($D140,$C$5:$AU$503,3,)=0,0,(VLOOKUP($D140,$C$5:$AU$503,4,)/VLOOKUP($D140,$C$5:$AU$503,3,))*$E140)</f>
        <v>639000.51565902156</v>
      </c>
      <c r="G140" s="66">
        <f>IF(VLOOKUP($D140,$C$5:$AU$503,3,)=0,0,(VLOOKUP($D140,$C$5:$AU$503,5,)/VLOOKUP($D140,$C$5:$AU$503,3,))*$E140)</f>
        <v>47830.114293751329</v>
      </c>
      <c r="H140" s="66">
        <f>IF(VLOOKUP($D140,$C$5:$AU$503,3,)=0,0,(VLOOKUP($D140,$C$5:$AU$503,6,)/VLOOKUP($D140,$C$5:$AU$503,3,))*$E140)</f>
        <v>6943.3545119783121</v>
      </c>
      <c r="I140" s="66">
        <f>IF(VLOOKUP($D140,$C$5:$AU$503,3,)=0,0,(VLOOKUP($D140,$C$5:$AU$503,7,)/VLOOKUP($D140,$C$5:$AU$503,3,))*$E140)</f>
        <v>15.56805944389756</v>
      </c>
      <c r="J140" s="66">
        <f>IF(VLOOKUP($D140,$C$5:$AU$503,3,)=0,0,(VLOOKUP($D140,$C$5:$AU$503,8,)/VLOOKUP($D140,$C$5:$AU$503,3,))*$E140)</f>
        <v>41.0301703339168</v>
      </c>
      <c r="K140" s="66">
        <f>IF(VLOOKUP($D140,$C$5:$AU$503,3,)=0,0,(VLOOKUP($D140,$C$5:$AU$503,9,)/VLOOKUP($D140,$C$5:$AU$503,3,))*$E140)</f>
        <v>53.034243504211389</v>
      </c>
      <c r="L140" s="66">
        <f>IF(VLOOKUP($D140,$C$5:$AU$503,3,)=0,0,(VLOOKUP($D140,$C$5:$AU$503,10,)/VLOOKUP($D140,$C$5:$AU$503,3,))*$E140)</f>
        <v>836.76250862200186</v>
      </c>
      <c r="M140" s="66">
        <f>IF(VLOOKUP($D140,$C$5:$AU$503,3,)=0,0,(VLOOKUP($D140,$C$5:$AU$503,11,)/VLOOKUP($D140,$C$5:$AU$503,3,))*$E140)</f>
        <v>100.17579328573262</v>
      </c>
      <c r="N140" s="66">
        <f>IF(VLOOKUP($D140,$C$5:$AU$503,3,)=0,0,(VLOOKUP($D140,$C$5:$AU$503,12,)/VLOOKUP($D140,$C$5:$AU$503,3,))*$E140)</f>
        <v>387.97211769792091</v>
      </c>
      <c r="O140" s="66">
        <f>IF(VLOOKUP($D140,$C$5:$AU$503,3,)=0,0,(VLOOKUP($D140,$C$5:$AU$503,13,)/VLOOKUP($D140,$C$5:$AU$503,3,))*$E140)</f>
        <v>0</v>
      </c>
      <c r="P140" s="66">
        <f>IF(VLOOKUP($D140,$C$5:$AU$503,3,)=0,0,(VLOOKUP($D140,$C$5:$AU$503,14,)/VLOOKUP($D140,$C$5:$AU$503,3,))*$E140)</f>
        <v>0</v>
      </c>
      <c r="Q140" s="66">
        <f>IF(VLOOKUP($D140,$C$5:$AU$503,3,)=0,0,(VLOOKUP($D140,$C$5:$AU$503,15,)/VLOOKUP($D140,$C$5:$AU$503,3,))*$E140)</f>
        <v>0</v>
      </c>
      <c r="R140" s="66">
        <f>IF(VLOOKUP($D140,$C$5:$AU$503,3,)=0,0,(VLOOKUP($D140,$C$5:$AU$503,16,)/VLOOKUP($D140,$C$5:$AU$503,3,))*$E140)</f>
        <v>0</v>
      </c>
      <c r="S140" s="66">
        <f>IF(VLOOKUP($D140,$C$5:$AU$503,3,)=0,0,(VLOOKUP($D140,$C$5:$AU$503,17,)/VLOOKUP($D140,$C$5:$AU$503,3,))*$E140)</f>
        <v>0</v>
      </c>
      <c r="T140" s="66">
        <f>IF(VLOOKUP($D140,$C$5:$AU$503,3,)=0,0,(VLOOKUP($D140,$C$5:$AU$503,18,)/VLOOKUP($D140,$C$5:$AU$503,3,))*$E140)</f>
        <v>0</v>
      </c>
      <c r="U140" s="66">
        <f>IF(VLOOKUP($D140,$C$5:$AU$503,3,)=0,0,(VLOOKUP($D140,$C$5:$AU$503,19,)/VLOOKUP($D140,$C$5:$AU$503,3,))*$E140)</f>
        <v>0</v>
      </c>
      <c r="V140" s="66">
        <f>IF(VLOOKUP($D140,$C$5:$AU$503,3,)=0,0,(VLOOKUP($D140,$C$5:$AU$503,20,)/VLOOKUP($D140,$C$5:$AU$503,3,))*$E140)</f>
        <v>0</v>
      </c>
      <c r="W140" s="66">
        <f>IF(VLOOKUP($D140,$C$5:$AU$503,3,)=0,0,(VLOOKUP($D140,$C$5:$AU$503,21,)/VLOOKUP($D140,$C$5:$AU$503,3,))*$E140)</f>
        <v>0</v>
      </c>
      <c r="X140" s="66">
        <f>IF(VLOOKUP($D140,$C$5:$AU$503,3,)=0,0,(VLOOKUP($D140,$C$5:$AU$503,22,)/VLOOKUP($D140,$C$5:$AU$503,3,))*$E140)</f>
        <v>0</v>
      </c>
      <c r="Y140" s="66">
        <f>IF(VLOOKUP($D140,$C$5:$AU$503,3,)=0,0,(VLOOKUP($D140,$C$5:$AU$503,23,)/VLOOKUP($D140,$C$5:$AU$503,3,))*$E140)</f>
        <v>0</v>
      </c>
      <c r="Z140" s="66">
        <f>IF(VLOOKUP($D140,$C$5:$AU$503,3,)=0,0,(VLOOKUP($D140,$C$5:$AU$503,24,)/VLOOKUP($D140,$C$5:$AU$503,3,))*$E140)</f>
        <v>0</v>
      </c>
      <c r="AA140" s="66">
        <f>IF(VLOOKUP($D140,$C$5:$AU$503,3,)=0,0,(VLOOKUP($D140,$C$5:$AU$503,25,)/VLOOKUP($D140,$C$5:$AU$503,3,))*$E140)</f>
        <v>0</v>
      </c>
      <c r="AB140" s="66">
        <f>IF(VLOOKUP($D140,$C$5:$AU$503,3,)=0,0,(VLOOKUP($D140,$C$5:$AU$503,26,)/VLOOKUP($D140,$C$5:$AU$503,3,))*$E140)</f>
        <v>0</v>
      </c>
      <c r="AC140" s="66">
        <f>IF(VLOOKUP($D140,$C$5:$AU$503,3,)=0,0,(VLOOKUP($D140,$C$5:$AU$503,27,)/VLOOKUP($D140,$C$5:$AU$503,3,))*$E140)</f>
        <v>0</v>
      </c>
      <c r="AD140" s="66">
        <f>IF(VLOOKUP($D140,$C$5:$AU$503,3,)=0,0,(VLOOKUP($D140,$C$5:$AU$503,28,)/VLOOKUP($D140,$C$5:$AU$503,3,))*$E140)</f>
        <v>0</v>
      </c>
      <c r="AE140" s="66">
        <f>IF(VLOOKUP($D140,$C$5:$AU$503,3,)=0,0,(VLOOKUP($D140,$C$5:$AU$503,29,)/VLOOKUP($D140,$C$5:$AU$503,3,))*$E140)</f>
        <v>0</v>
      </c>
      <c r="AF140" s="66">
        <f>IF(VLOOKUP($D140,$C$5:$AU$503,3,)=0,0,(VLOOKUP($D140,$C$5:$AU$503,30,)/VLOOKUP($D140,$C$5:$AU$503,3,))*$E140)</f>
        <v>0</v>
      </c>
      <c r="AG140" s="93">
        <f>SUM(F140:AF140)</f>
        <v>695208.52735763881</v>
      </c>
      <c r="AH140" s="30" t="str">
        <f>IF(ABS(E140-AG140)&lt;0.01,"ok","err")</f>
        <v>ok</v>
      </c>
      <c r="AJ140" s="48">
        <f>H140/I140</f>
        <v>446</v>
      </c>
    </row>
    <row r="141" spans="1:36" x14ac:dyDescent="0.2">
      <c r="A141" s="14" t="s">
        <v>228</v>
      </c>
      <c r="E141" s="233">
        <f t="shared" ref="E141:T141" si="29">E139+E140</f>
        <v>695208.52735763881</v>
      </c>
      <c r="F141" s="66">
        <f t="shared" si="29"/>
        <v>639000.51565902156</v>
      </c>
      <c r="G141" s="66">
        <f t="shared" si="29"/>
        <v>47830.114293751329</v>
      </c>
      <c r="H141" s="66">
        <f t="shared" si="29"/>
        <v>6943.3545119783121</v>
      </c>
      <c r="I141" s="66">
        <f t="shared" si="29"/>
        <v>15.56805944389756</v>
      </c>
      <c r="J141" s="66">
        <f t="shared" si="29"/>
        <v>41.0301703339168</v>
      </c>
      <c r="K141" s="66">
        <f t="shared" si="29"/>
        <v>53.034243504211389</v>
      </c>
      <c r="L141" s="66">
        <f t="shared" si="29"/>
        <v>836.76250862200186</v>
      </c>
      <c r="M141" s="66">
        <f t="shared" si="29"/>
        <v>100.17579328573262</v>
      </c>
      <c r="N141" s="66">
        <f t="shared" si="29"/>
        <v>387.97211769792091</v>
      </c>
      <c r="O141" s="66">
        <f t="shared" si="29"/>
        <v>0</v>
      </c>
      <c r="P141" s="66">
        <f t="shared" si="29"/>
        <v>0</v>
      </c>
      <c r="Q141" s="66">
        <f t="shared" si="29"/>
        <v>0</v>
      </c>
      <c r="R141" s="66">
        <f t="shared" si="29"/>
        <v>0</v>
      </c>
      <c r="S141" s="66">
        <f t="shared" si="29"/>
        <v>0</v>
      </c>
      <c r="T141" s="66">
        <f t="shared" si="29"/>
        <v>0</v>
      </c>
      <c r="U141" s="66">
        <f t="shared" ref="U141:AF141" si="30">U139+U140</f>
        <v>0</v>
      </c>
      <c r="V141" s="66">
        <f t="shared" si="30"/>
        <v>0</v>
      </c>
      <c r="W141" s="66">
        <f t="shared" si="30"/>
        <v>0</v>
      </c>
      <c r="X141" s="66">
        <f t="shared" si="30"/>
        <v>0</v>
      </c>
      <c r="Y141" s="66">
        <f t="shared" si="30"/>
        <v>0</v>
      </c>
      <c r="Z141" s="66">
        <f t="shared" si="30"/>
        <v>0</v>
      </c>
      <c r="AA141" s="66">
        <f t="shared" si="30"/>
        <v>0</v>
      </c>
      <c r="AB141" s="66">
        <f t="shared" si="30"/>
        <v>0</v>
      </c>
      <c r="AC141" s="66">
        <f t="shared" si="30"/>
        <v>0</v>
      </c>
      <c r="AD141" s="66">
        <f t="shared" si="30"/>
        <v>0</v>
      </c>
      <c r="AE141" s="66">
        <f t="shared" si="30"/>
        <v>0</v>
      </c>
      <c r="AF141" s="66">
        <f t="shared" si="30"/>
        <v>0</v>
      </c>
      <c r="AG141" s="93">
        <f>SUM(F141:AF141)</f>
        <v>695208.52735763881</v>
      </c>
      <c r="AH141" s="30" t="str">
        <f>IF(ABS(E141-AG141)&lt;0.01,"ok","err")</f>
        <v>ok</v>
      </c>
      <c r="AJ141" s="48">
        <f>H141/I141</f>
        <v>446</v>
      </c>
    </row>
    <row r="142" spans="1:36" x14ac:dyDescent="0.2">
      <c r="E142" s="234"/>
    </row>
    <row r="143" spans="1:36" x14ac:dyDescent="0.2">
      <c r="A143" s="13" t="s">
        <v>4</v>
      </c>
      <c r="E143" s="234"/>
    </row>
    <row r="144" spans="1:36" x14ac:dyDescent="0.2">
      <c r="A144" s="96" t="s">
        <v>221</v>
      </c>
      <c r="C144" s="14" t="s">
        <v>270</v>
      </c>
      <c r="D144" s="14" t="s">
        <v>230</v>
      </c>
      <c r="E144" s="233">
        <f>'Func &amp; Classif'!U285</f>
        <v>1942280.4194495096</v>
      </c>
      <c r="F144" s="66">
        <f>IF(VLOOKUP($D144,$C$5:$AU$503,3,)=0,0,(VLOOKUP($D144,$C$5:$AU$503,4,)/VLOOKUP($D144,$C$5:$AU$503,3,))*$E144)</f>
        <v>1270954.2963586054</v>
      </c>
      <c r="G144" s="66">
        <f>IF(VLOOKUP($D144,$C$5:$AU$503,3,)=0,0,(VLOOKUP($D144,$C$5:$AU$503,5,)/VLOOKUP($D144,$C$5:$AU$503,3,))*$E144)</f>
        <v>520318.00880968035</v>
      </c>
      <c r="H144" s="66">
        <f>IF(VLOOKUP($D144,$C$5:$AU$503,3,)=0,0,(VLOOKUP($D144,$C$5:$AU$503,6,)/VLOOKUP($D144,$C$5:$AU$503,3,))*$E144)</f>
        <v>119627.74114371267</v>
      </c>
      <c r="I144" s="66">
        <f>IF(VLOOKUP($D144,$C$5:$AU$503,3,)=0,0,(VLOOKUP($D144,$C$5:$AU$503,7,)/VLOOKUP($D144,$C$5:$AU$503,3,))*$E144)</f>
        <v>1210.690200368487</v>
      </c>
      <c r="J144" s="66">
        <f>IF(VLOOKUP($D144,$C$5:$AU$503,3,)=0,0,(VLOOKUP($D144,$C$5:$AU$503,8,)/VLOOKUP($D144,$C$5:$AU$503,3,))*$E144)</f>
        <v>2421.380400736974</v>
      </c>
      <c r="K144" s="66">
        <f>IF(VLOOKUP($D144,$C$5:$AU$503,3,)=0,0,(VLOOKUP($D144,$C$5:$AU$503,9,)/VLOOKUP($D144,$C$5:$AU$503,3,))*$E144)</f>
        <v>10896.211803316384</v>
      </c>
      <c r="L144" s="66">
        <f>IF(VLOOKUP($D144,$C$5:$AU$503,3,)=0,0,(VLOOKUP($D144,$C$5:$AU$503,10,)/VLOOKUP($D144,$C$5:$AU$503,3,))*$E144)</f>
        <v>11536.603198774452</v>
      </c>
      <c r="M144" s="66">
        <f>IF(VLOOKUP($D144,$C$5:$AU$503,3,)=0,0,(VLOOKUP($D144,$C$5:$AU$503,11,)/VLOOKUP($D144,$C$5:$AU$503,3,))*$E144)</f>
        <v>4559.8017924733522</v>
      </c>
      <c r="N144" s="66">
        <f>IF(VLOOKUP($D144,$C$5:$AU$503,3,)=0,0,(VLOOKUP($D144,$C$5:$AU$503,12,)/VLOOKUP($D144,$C$5:$AU$503,3,))*$E144)</f>
        <v>755.68574184184342</v>
      </c>
      <c r="O144" s="66">
        <f>IF(VLOOKUP($D144,$C$5:$AU$503,3,)=0,0,(VLOOKUP($D144,$C$5:$AU$503,13,)/VLOOKUP($D144,$C$5:$AU$503,3,))*$E144)</f>
        <v>0</v>
      </c>
      <c r="P144" s="66">
        <f>IF(VLOOKUP($D144,$C$5:$AU$503,3,)=0,0,(VLOOKUP($D144,$C$5:$AU$503,14,)/VLOOKUP($D144,$C$5:$AU$503,3,))*$E144)</f>
        <v>0</v>
      </c>
      <c r="Q144" s="66">
        <f>IF(VLOOKUP($D144,$C$5:$AU$503,3,)=0,0,(VLOOKUP($D144,$C$5:$AU$503,15,)/VLOOKUP($D144,$C$5:$AU$503,3,))*$E144)</f>
        <v>0</v>
      </c>
      <c r="R144" s="66">
        <f>IF(VLOOKUP($D144,$C$5:$AU$503,3,)=0,0,(VLOOKUP($D144,$C$5:$AU$503,16,)/VLOOKUP($D144,$C$5:$AU$503,3,))*$E144)</f>
        <v>0</v>
      </c>
      <c r="S144" s="66">
        <f>IF(VLOOKUP($D144,$C$5:$AU$503,3,)=0,0,(VLOOKUP($D144,$C$5:$AU$503,17,)/VLOOKUP($D144,$C$5:$AU$503,3,))*$E144)</f>
        <v>0</v>
      </c>
      <c r="T144" s="66">
        <f>IF(VLOOKUP($D144,$C$5:$AU$503,3,)=0,0,(VLOOKUP($D144,$C$5:$AU$503,18,)/VLOOKUP($D144,$C$5:$AU$503,3,))*$E144)</f>
        <v>0</v>
      </c>
      <c r="U144" s="66">
        <f>IF(VLOOKUP($D144,$C$5:$AU$503,3,)=0,0,(VLOOKUP($D144,$C$5:$AU$503,19,)/VLOOKUP($D144,$C$5:$AU$503,3,))*$E144)</f>
        <v>0</v>
      </c>
      <c r="V144" s="66">
        <f>IF(VLOOKUP($D144,$C$5:$AU$503,3,)=0,0,(VLOOKUP($D144,$C$5:$AU$503,20,)/VLOOKUP($D144,$C$5:$AU$503,3,))*$E144)</f>
        <v>0</v>
      </c>
      <c r="W144" s="66">
        <f>IF(VLOOKUP($D144,$C$5:$AU$503,3,)=0,0,(VLOOKUP($D144,$C$5:$AU$503,21,)/VLOOKUP($D144,$C$5:$AU$503,3,))*$E144)</f>
        <v>0</v>
      </c>
      <c r="X144" s="66">
        <f>IF(VLOOKUP($D144,$C$5:$AU$503,3,)=0,0,(VLOOKUP($D144,$C$5:$AU$503,22,)/VLOOKUP($D144,$C$5:$AU$503,3,))*$E144)</f>
        <v>0</v>
      </c>
      <c r="Y144" s="66">
        <f>IF(VLOOKUP($D144,$C$5:$AU$503,3,)=0,0,(VLOOKUP($D144,$C$5:$AU$503,23,)/VLOOKUP($D144,$C$5:$AU$503,3,))*$E144)</f>
        <v>0</v>
      </c>
      <c r="Z144" s="66">
        <f>IF(VLOOKUP($D144,$C$5:$AU$503,3,)=0,0,(VLOOKUP($D144,$C$5:$AU$503,24,)/VLOOKUP($D144,$C$5:$AU$503,3,))*$E144)</f>
        <v>0</v>
      </c>
      <c r="AA144" s="66">
        <f>IF(VLOOKUP($D144,$C$5:$AU$503,3,)=0,0,(VLOOKUP($D144,$C$5:$AU$503,25,)/VLOOKUP($D144,$C$5:$AU$503,3,))*$E144)</f>
        <v>0</v>
      </c>
      <c r="AB144" s="66">
        <f>IF(VLOOKUP($D144,$C$5:$AU$503,3,)=0,0,(VLOOKUP($D144,$C$5:$AU$503,26,)/VLOOKUP($D144,$C$5:$AU$503,3,))*$E144)</f>
        <v>0</v>
      </c>
      <c r="AC144" s="66">
        <f>IF(VLOOKUP($D144,$C$5:$AU$503,3,)=0,0,(VLOOKUP($D144,$C$5:$AU$503,27,)/VLOOKUP($D144,$C$5:$AU$503,3,))*$E144)</f>
        <v>0</v>
      </c>
      <c r="AD144" s="66">
        <f>IF(VLOOKUP($D144,$C$5:$AU$503,3,)=0,0,(VLOOKUP($D144,$C$5:$AU$503,28,)/VLOOKUP($D144,$C$5:$AU$503,3,))*$E144)</f>
        <v>0</v>
      </c>
      <c r="AE144" s="66">
        <f>IF(VLOOKUP($D144,$C$5:$AU$503,3,)=0,0,(VLOOKUP($D144,$C$5:$AU$503,29,)/VLOOKUP($D144,$C$5:$AU$503,3,))*$E144)</f>
        <v>0</v>
      </c>
      <c r="AF144" s="66">
        <f>IF(VLOOKUP($D144,$C$5:$AU$503,3,)=0,0,(VLOOKUP($D144,$C$5:$AU$503,30,)/VLOOKUP($D144,$C$5:$AU$503,3,))*$E144)</f>
        <v>0</v>
      </c>
      <c r="AG144" s="93">
        <f>SUM(F144:AF144)</f>
        <v>1942280.4194495098</v>
      </c>
      <c r="AH144" s="30" t="str">
        <f>IF(ABS(E144-AG144)&lt;0.01,"ok","err")</f>
        <v>ok</v>
      </c>
      <c r="AJ144" s="48">
        <f>H144/I144</f>
        <v>98.809539473684211</v>
      </c>
    </row>
    <row r="145" spans="1:36" x14ac:dyDescent="0.2">
      <c r="E145" s="234"/>
    </row>
    <row r="146" spans="1:36" x14ac:dyDescent="0.2">
      <c r="A146" s="13" t="s">
        <v>5</v>
      </c>
      <c r="E146" s="234"/>
    </row>
    <row r="147" spans="1:36" x14ac:dyDescent="0.2">
      <c r="A147" s="96" t="s">
        <v>221</v>
      </c>
      <c r="C147" s="14" t="s">
        <v>271</v>
      </c>
      <c r="D147" s="14" t="s">
        <v>232</v>
      </c>
      <c r="E147" s="233">
        <f>'Func &amp; Classif'!W285</f>
        <v>283565.87079901312</v>
      </c>
      <c r="F147" s="66">
        <f>IF(VLOOKUP($D147,$C$5:$AU$503,3,)=0,0,(VLOOKUP($D147,$C$5:$AU$503,4,)/VLOOKUP($D147,$C$5:$AU$503,3,))*$E147)</f>
        <v>0</v>
      </c>
      <c r="G147" s="66">
        <f>IF(VLOOKUP($D147,$C$5:$AU$503,3,)=0,0,(VLOOKUP($D147,$C$5:$AU$503,5,)/VLOOKUP($D147,$C$5:$AU$503,3,))*$E147)</f>
        <v>0</v>
      </c>
      <c r="H147" s="66">
        <f>IF(VLOOKUP($D147,$C$5:$AU$503,3,)=0,0,(VLOOKUP($D147,$C$5:$AU$503,6,)/VLOOKUP($D147,$C$5:$AU$503,3,))*$E147)</f>
        <v>0</v>
      </c>
      <c r="I147" s="66">
        <f>IF(VLOOKUP($D147,$C$5:$AU$503,3,)=0,0,(VLOOKUP($D147,$C$5:$AU$503,7,)/VLOOKUP($D147,$C$5:$AU$503,3,))*$E147)</f>
        <v>0</v>
      </c>
      <c r="J147" s="66">
        <f>IF(VLOOKUP($D147,$C$5:$AU$503,3,)=0,0,(VLOOKUP($D147,$C$5:$AU$503,8,)/VLOOKUP($D147,$C$5:$AU$503,3,))*$E147)</f>
        <v>0</v>
      </c>
      <c r="K147" s="66">
        <f>IF(VLOOKUP($D147,$C$5:$AU$503,3,)=0,0,(VLOOKUP($D147,$C$5:$AU$503,9,)/VLOOKUP($D147,$C$5:$AU$503,3,))*$E147)</f>
        <v>0</v>
      </c>
      <c r="L147" s="66">
        <f>IF(VLOOKUP($D147,$C$5:$AU$503,3,)=0,0,(VLOOKUP($D147,$C$5:$AU$503,10,)/VLOOKUP($D147,$C$5:$AU$503,3,))*$E147)</f>
        <v>0</v>
      </c>
      <c r="M147" s="66">
        <f>IF(VLOOKUP($D147,$C$5:$AU$503,3,)=0,0,(VLOOKUP($D147,$C$5:$AU$503,11,)/VLOOKUP($D147,$C$5:$AU$503,3,))*$E147)</f>
        <v>0</v>
      </c>
      <c r="N147" s="66">
        <f>IF(VLOOKUP($D147,$C$5:$AU$503,3,)=0,0,(VLOOKUP($D147,$C$5:$AU$503,12,)/VLOOKUP($D147,$C$5:$AU$503,3,))*$E147)</f>
        <v>283565.87079901312</v>
      </c>
      <c r="O147" s="66">
        <f>IF(VLOOKUP($D147,$C$5:$AU$503,3,)=0,0,(VLOOKUP($D147,$C$5:$AU$503,13,)/VLOOKUP($D147,$C$5:$AU$503,3,))*$E147)</f>
        <v>0</v>
      </c>
      <c r="P147" s="66">
        <f>IF(VLOOKUP($D147,$C$5:$AU$503,3,)=0,0,(VLOOKUP($D147,$C$5:$AU$503,14,)/VLOOKUP($D147,$C$5:$AU$503,3,))*$E147)</f>
        <v>0</v>
      </c>
      <c r="Q147" s="66">
        <f>IF(VLOOKUP($D147,$C$5:$AU$503,3,)=0,0,(VLOOKUP($D147,$C$5:$AU$503,15,)/VLOOKUP($D147,$C$5:$AU$503,3,))*$E147)</f>
        <v>0</v>
      </c>
      <c r="R147" s="66">
        <f>IF(VLOOKUP($D147,$C$5:$AU$503,3,)=0,0,(VLOOKUP($D147,$C$5:$AU$503,16,)/VLOOKUP($D147,$C$5:$AU$503,3,))*$E147)</f>
        <v>0</v>
      </c>
      <c r="S147" s="66">
        <f>IF(VLOOKUP($D147,$C$5:$AU$503,3,)=0,0,(VLOOKUP($D147,$C$5:$AU$503,17,)/VLOOKUP($D147,$C$5:$AU$503,3,))*$E147)</f>
        <v>0</v>
      </c>
      <c r="T147" s="66">
        <f>IF(VLOOKUP($D147,$C$5:$AU$503,3,)=0,0,(VLOOKUP($D147,$C$5:$AU$503,18,)/VLOOKUP($D147,$C$5:$AU$503,3,))*$E147)</f>
        <v>0</v>
      </c>
      <c r="U147" s="66">
        <f>IF(VLOOKUP($D147,$C$5:$AU$503,3,)=0,0,(VLOOKUP($D147,$C$5:$AU$503,19,)/VLOOKUP($D147,$C$5:$AU$503,3,))*$E147)</f>
        <v>0</v>
      </c>
      <c r="V147" s="66">
        <f>IF(VLOOKUP($D147,$C$5:$AU$503,3,)=0,0,(VLOOKUP($D147,$C$5:$AU$503,20,)/VLOOKUP($D147,$C$5:$AU$503,3,))*$E147)</f>
        <v>0</v>
      </c>
      <c r="W147" s="66">
        <f>IF(VLOOKUP($D147,$C$5:$AU$503,3,)=0,0,(VLOOKUP($D147,$C$5:$AU$503,21,)/VLOOKUP($D147,$C$5:$AU$503,3,))*$E147)</f>
        <v>0</v>
      </c>
      <c r="X147" s="66">
        <f>IF(VLOOKUP($D147,$C$5:$AU$503,3,)=0,0,(VLOOKUP($D147,$C$5:$AU$503,22,)/VLOOKUP($D147,$C$5:$AU$503,3,))*$E147)</f>
        <v>0</v>
      </c>
      <c r="Y147" s="66">
        <f>IF(VLOOKUP($D147,$C$5:$AU$503,3,)=0,0,(VLOOKUP($D147,$C$5:$AU$503,23,)/VLOOKUP($D147,$C$5:$AU$503,3,))*$E147)</f>
        <v>0</v>
      </c>
      <c r="Z147" s="66">
        <f>IF(VLOOKUP($D147,$C$5:$AU$503,3,)=0,0,(VLOOKUP($D147,$C$5:$AU$503,24,)/VLOOKUP($D147,$C$5:$AU$503,3,))*$E147)</f>
        <v>0</v>
      </c>
      <c r="AA147" s="66">
        <f>IF(VLOOKUP($D147,$C$5:$AU$503,3,)=0,0,(VLOOKUP($D147,$C$5:$AU$503,25,)/VLOOKUP($D147,$C$5:$AU$503,3,))*$E147)</f>
        <v>0</v>
      </c>
      <c r="AB147" s="66">
        <f>IF(VLOOKUP($D147,$C$5:$AU$503,3,)=0,0,(VLOOKUP($D147,$C$5:$AU$503,26,)/VLOOKUP($D147,$C$5:$AU$503,3,))*$E147)</f>
        <v>0</v>
      </c>
      <c r="AC147" s="66">
        <f>IF(VLOOKUP($D147,$C$5:$AU$503,3,)=0,0,(VLOOKUP($D147,$C$5:$AU$503,27,)/VLOOKUP($D147,$C$5:$AU$503,3,))*$E147)</f>
        <v>0</v>
      </c>
      <c r="AD147" s="66">
        <f>IF(VLOOKUP($D147,$C$5:$AU$503,3,)=0,0,(VLOOKUP($D147,$C$5:$AU$503,28,)/VLOOKUP($D147,$C$5:$AU$503,3,))*$E147)</f>
        <v>0</v>
      </c>
      <c r="AE147" s="66">
        <f>IF(VLOOKUP($D147,$C$5:$AU$503,3,)=0,0,(VLOOKUP($D147,$C$5:$AU$503,29,)/VLOOKUP($D147,$C$5:$AU$503,3,))*$E147)</f>
        <v>0</v>
      </c>
      <c r="AF147" s="66">
        <f>IF(VLOOKUP($D147,$C$5:$AU$503,3,)=0,0,(VLOOKUP($D147,$C$5:$AU$503,30,)/VLOOKUP($D147,$C$5:$AU$503,3,))*$E147)</f>
        <v>0</v>
      </c>
      <c r="AG147" s="93">
        <f>SUM(F147:AF147)</f>
        <v>283565.87079901312</v>
      </c>
      <c r="AH147" s="30" t="str">
        <f>IF(ABS(E147-AG147)&lt;0.01,"ok","err")</f>
        <v>ok</v>
      </c>
      <c r="AJ147" s="48" t="e">
        <f>H147/I147</f>
        <v>#DIV/0!</v>
      </c>
    </row>
    <row r="148" spans="1:36" x14ac:dyDescent="0.2">
      <c r="E148" s="234"/>
    </row>
    <row r="149" spans="1:36" x14ac:dyDescent="0.2">
      <c r="A149" s="13" t="s">
        <v>545</v>
      </c>
      <c r="E149" s="234"/>
    </row>
    <row r="150" spans="1:36" x14ac:dyDescent="0.2">
      <c r="A150" s="96" t="s">
        <v>221</v>
      </c>
      <c r="C150" s="14" t="s">
        <v>272</v>
      </c>
      <c r="D150" s="14" t="s">
        <v>234</v>
      </c>
      <c r="E150" s="233">
        <f>'Func &amp; Classif'!Y285</f>
        <v>5597618.9548276588</v>
      </c>
      <c r="F150" s="66">
        <f>IF(VLOOKUP($D150,$C$5:$AU$503,3,)=0,0,(VLOOKUP($D150,$C$5:$AU$503,4,)/VLOOKUP($D150,$C$5:$AU$503,3,))*$E150)</f>
        <v>5160626.8743130425</v>
      </c>
      <c r="G150" s="66">
        <f>IF(VLOOKUP($D150,$C$5:$AU$503,3,)=0,0,(VLOOKUP($D150,$C$5:$AU$503,5,)/VLOOKUP($D150,$C$5:$AU$503,3,))*$E150)</f>
        <v>386280.39755371772</v>
      </c>
      <c r="H150" s="66">
        <f>IF(VLOOKUP($D150,$C$5:$AU$503,3,)=0,0,(VLOOKUP($D150,$C$5:$AU$503,6,)/VLOOKUP($D150,$C$5:$AU$503,3,))*$E150)</f>
        <v>35339.704063376026</v>
      </c>
      <c r="I150" s="66">
        <f>IF(VLOOKUP($D150,$C$5:$AU$503,3,)=0,0,(VLOOKUP($D150,$C$5:$AU$503,7,)/VLOOKUP($D150,$C$5:$AU$503,3,))*$E150)</f>
        <v>79.237004626403646</v>
      </c>
      <c r="J150" s="66">
        <f>IF(VLOOKUP($D150,$C$5:$AU$503,3,)=0,0,(VLOOKUP($D150,$C$5:$AU$503,8,)/VLOOKUP($D150,$C$5:$AU$503,3,))*$E150)</f>
        <v>158.47400925280729</v>
      </c>
      <c r="K150" s="66">
        <f>IF(VLOOKUP($D150,$C$5:$AU$503,3,)=0,0,(VLOOKUP($D150,$C$5:$AU$503,9,)/VLOOKUP($D150,$C$5:$AU$503,3,))*$E150)</f>
        <v>713.1330416376328</v>
      </c>
      <c r="L150" s="66">
        <f>IF(VLOOKUP($D150,$C$5:$AU$503,3,)=0,0,(VLOOKUP($D150,$C$5:$AU$503,10,)/VLOOKUP($D150,$C$5:$AU$503,3,))*$E150)</f>
        <v>11251.654656949318</v>
      </c>
      <c r="M150" s="66">
        <f>IF(VLOOKUP($D150,$C$5:$AU$503,3,)=0,0,(VLOOKUP($D150,$C$5:$AU$503,11,)/VLOOKUP($D150,$C$5:$AU$503,3,))*$E150)</f>
        <v>1347.029078648862</v>
      </c>
      <c r="N150" s="66">
        <f>IF(VLOOKUP($D150,$C$5:$AU$503,3,)=0,0,(VLOOKUP($D150,$C$5:$AU$503,12,)/VLOOKUP($D150,$C$5:$AU$503,3,))*$E150)</f>
        <v>1822.4511064072838</v>
      </c>
      <c r="O150" s="66">
        <f>IF(VLOOKUP($D150,$C$5:$AU$503,3,)=0,0,(VLOOKUP($D150,$C$5:$AU$503,13,)/VLOOKUP($D150,$C$5:$AU$503,3,))*$E150)</f>
        <v>0</v>
      </c>
      <c r="P150" s="66">
        <f>IF(VLOOKUP($D150,$C$5:$AU$503,3,)=0,0,(VLOOKUP($D150,$C$5:$AU$503,14,)/VLOOKUP($D150,$C$5:$AU$503,3,))*$E150)</f>
        <v>0</v>
      </c>
      <c r="Q150" s="66">
        <f>IF(VLOOKUP($D150,$C$5:$AU$503,3,)=0,0,(VLOOKUP($D150,$C$5:$AU$503,15,)/VLOOKUP($D150,$C$5:$AU$503,3,))*$E150)</f>
        <v>0</v>
      </c>
      <c r="R150" s="66">
        <f>IF(VLOOKUP($D150,$C$5:$AU$503,3,)=0,0,(VLOOKUP($D150,$C$5:$AU$503,16,)/VLOOKUP($D150,$C$5:$AU$503,3,))*$E150)</f>
        <v>0</v>
      </c>
      <c r="S150" s="66">
        <f>IF(VLOOKUP($D150,$C$5:$AU$503,3,)=0,0,(VLOOKUP($D150,$C$5:$AU$503,17,)/VLOOKUP($D150,$C$5:$AU$503,3,))*$E150)</f>
        <v>0</v>
      </c>
      <c r="T150" s="66">
        <f>IF(VLOOKUP($D150,$C$5:$AU$503,3,)=0,0,(VLOOKUP($D150,$C$5:$AU$503,18,)/VLOOKUP($D150,$C$5:$AU$503,3,))*$E150)</f>
        <v>0</v>
      </c>
      <c r="U150" s="66">
        <f>IF(VLOOKUP($D150,$C$5:$AU$503,3,)=0,0,(VLOOKUP($D150,$C$5:$AU$503,19,)/VLOOKUP($D150,$C$5:$AU$503,3,))*$E150)</f>
        <v>0</v>
      </c>
      <c r="V150" s="66">
        <f>IF(VLOOKUP($D150,$C$5:$AU$503,3,)=0,0,(VLOOKUP($D150,$C$5:$AU$503,20,)/VLOOKUP($D150,$C$5:$AU$503,3,))*$E150)</f>
        <v>0</v>
      </c>
      <c r="W150" s="66">
        <f>IF(VLOOKUP($D150,$C$5:$AU$503,3,)=0,0,(VLOOKUP($D150,$C$5:$AU$503,21,)/VLOOKUP($D150,$C$5:$AU$503,3,))*$E150)</f>
        <v>0</v>
      </c>
      <c r="X150" s="66">
        <f>IF(VLOOKUP($D150,$C$5:$AU$503,3,)=0,0,(VLOOKUP($D150,$C$5:$AU$503,22,)/VLOOKUP($D150,$C$5:$AU$503,3,))*$E150)</f>
        <v>0</v>
      </c>
      <c r="Y150" s="66">
        <f>IF(VLOOKUP($D150,$C$5:$AU$503,3,)=0,0,(VLOOKUP($D150,$C$5:$AU$503,23,)/VLOOKUP($D150,$C$5:$AU$503,3,))*$E150)</f>
        <v>0</v>
      </c>
      <c r="Z150" s="66">
        <f>IF(VLOOKUP($D150,$C$5:$AU$503,3,)=0,0,(VLOOKUP($D150,$C$5:$AU$503,24,)/VLOOKUP($D150,$C$5:$AU$503,3,))*$E150)</f>
        <v>0</v>
      </c>
      <c r="AA150" s="66">
        <f>IF(VLOOKUP($D150,$C$5:$AU$503,3,)=0,0,(VLOOKUP($D150,$C$5:$AU$503,25,)/VLOOKUP($D150,$C$5:$AU$503,3,))*$E150)</f>
        <v>0</v>
      </c>
      <c r="AB150" s="66">
        <f>IF(VLOOKUP($D150,$C$5:$AU$503,3,)=0,0,(VLOOKUP($D150,$C$5:$AU$503,26,)/VLOOKUP($D150,$C$5:$AU$503,3,))*$E150)</f>
        <v>0</v>
      </c>
      <c r="AC150" s="66">
        <f>IF(VLOOKUP($D150,$C$5:$AU$503,3,)=0,0,(VLOOKUP($D150,$C$5:$AU$503,27,)/VLOOKUP($D150,$C$5:$AU$503,3,))*$E150)</f>
        <v>0</v>
      </c>
      <c r="AD150" s="66">
        <f>IF(VLOOKUP($D150,$C$5:$AU$503,3,)=0,0,(VLOOKUP($D150,$C$5:$AU$503,28,)/VLOOKUP($D150,$C$5:$AU$503,3,))*$E150)</f>
        <v>0</v>
      </c>
      <c r="AE150" s="66">
        <f>IF(VLOOKUP($D150,$C$5:$AU$503,3,)=0,0,(VLOOKUP($D150,$C$5:$AU$503,29,)/VLOOKUP($D150,$C$5:$AU$503,3,))*$E150)</f>
        <v>0</v>
      </c>
      <c r="AF150" s="66">
        <f>IF(VLOOKUP($D150,$C$5:$AU$503,3,)=0,0,(VLOOKUP($D150,$C$5:$AU$503,30,)/VLOOKUP($D150,$C$5:$AU$503,3,))*$E150)</f>
        <v>0</v>
      </c>
      <c r="AG150" s="93">
        <f>SUM(F150:AF150)</f>
        <v>5597618.9548276598</v>
      </c>
      <c r="AH150" s="30" t="str">
        <f>IF(ABS(E150-AG150)&lt;0.01,"ok","err")</f>
        <v>ok</v>
      </c>
      <c r="AJ150" s="48">
        <f>H150/I150</f>
        <v>446</v>
      </c>
    </row>
    <row r="151" spans="1:36" x14ac:dyDescent="0.2">
      <c r="E151" s="234"/>
    </row>
    <row r="152" spans="1:36" x14ac:dyDescent="0.2">
      <c r="A152" s="13" t="s">
        <v>470</v>
      </c>
      <c r="E152" s="234"/>
    </row>
    <row r="153" spans="1:36" x14ac:dyDescent="0.2">
      <c r="A153" s="96" t="s">
        <v>221</v>
      </c>
      <c r="C153" s="14" t="s">
        <v>269</v>
      </c>
      <c r="D153" s="14" t="s">
        <v>235</v>
      </c>
      <c r="E153" s="233">
        <f>'Func &amp; Classif'!AA285</f>
        <v>410703.27504973591</v>
      </c>
      <c r="F153" s="66">
        <f>IF(VLOOKUP($D153,$C$5:$AU$503,3,)=0,0,(VLOOKUP($D153,$C$5:$AU$503,4,)/VLOOKUP($D153,$C$5:$AU$503,3,))*$E153)</f>
        <v>378640.69985723129</v>
      </c>
      <c r="G153" s="66">
        <f>IF(VLOOKUP($D153,$C$5:$AU$503,3,)=0,0,(VLOOKUP($D153,$C$5:$AU$503,5,)/VLOOKUP($D153,$C$5:$AU$503,3,))*$E153)</f>
        <v>28341.80490724566</v>
      </c>
      <c r="H153" s="66">
        <f>IF(VLOOKUP($D153,$C$5:$AU$503,3,)=0,0,(VLOOKUP($D153,$C$5:$AU$503,6,)/VLOOKUP($D153,$C$5:$AU$503,3,))*$E153)</f>
        <v>2592.9117925398086</v>
      </c>
      <c r="I153" s="66">
        <f>IF(VLOOKUP($D153,$C$5:$AU$503,3,)=0,0,(VLOOKUP($D153,$C$5:$AU$503,7,)/VLOOKUP($D153,$C$5:$AU$503,3,))*$E153)</f>
        <v>5.8137035707170588</v>
      </c>
      <c r="J153" s="66">
        <f>IF(VLOOKUP($D153,$C$5:$AU$503,3,)=0,0,(VLOOKUP($D153,$C$5:$AU$503,8,)/VLOOKUP($D153,$C$5:$AU$503,3,))*$E153)</f>
        <v>11.627407141434118</v>
      </c>
      <c r="K153" s="66">
        <f>IF(VLOOKUP($D153,$C$5:$AU$503,3,)=0,0,(VLOOKUP($D153,$C$5:$AU$503,9,)/VLOOKUP($D153,$C$5:$AU$503,3,))*$E153)</f>
        <v>52.32333213645353</v>
      </c>
      <c r="L153" s="66">
        <f>IF(VLOOKUP($D153,$C$5:$AU$503,3,)=0,0,(VLOOKUP($D153,$C$5:$AU$503,10,)/VLOOKUP($D153,$C$5:$AU$503,3,))*$E153)</f>
        <v>825.54590704182249</v>
      </c>
      <c r="M153" s="66">
        <f>IF(VLOOKUP($D153,$C$5:$AU$503,3,)=0,0,(VLOOKUP($D153,$C$5:$AU$503,11,)/VLOOKUP($D153,$C$5:$AU$503,3,))*$E153)</f>
        <v>98.832960702189993</v>
      </c>
      <c r="N153" s="66">
        <f>IF(VLOOKUP($D153,$C$5:$AU$503,3,)=0,0,(VLOOKUP($D153,$C$5:$AU$503,12,)/VLOOKUP($D153,$C$5:$AU$503,3,))*$E153)</f>
        <v>133.71518212649235</v>
      </c>
      <c r="O153" s="66">
        <f>IF(VLOOKUP($D153,$C$5:$AU$503,3,)=0,0,(VLOOKUP($D153,$C$5:$AU$503,13,)/VLOOKUP($D153,$C$5:$AU$503,3,))*$E153)</f>
        <v>0</v>
      </c>
      <c r="P153" s="66">
        <f>IF(VLOOKUP($D153,$C$5:$AU$503,3,)=0,0,(VLOOKUP($D153,$C$5:$AU$503,14,)/VLOOKUP($D153,$C$5:$AU$503,3,))*$E153)</f>
        <v>0</v>
      </c>
      <c r="Q153" s="66">
        <f>IF(VLOOKUP($D153,$C$5:$AU$503,3,)=0,0,(VLOOKUP($D153,$C$5:$AU$503,15,)/VLOOKUP($D153,$C$5:$AU$503,3,))*$E153)</f>
        <v>0</v>
      </c>
      <c r="R153" s="66">
        <f>IF(VLOOKUP($D153,$C$5:$AU$503,3,)=0,0,(VLOOKUP($D153,$C$5:$AU$503,16,)/VLOOKUP($D153,$C$5:$AU$503,3,))*$E153)</f>
        <v>0</v>
      </c>
      <c r="S153" s="66">
        <f>IF(VLOOKUP($D153,$C$5:$AU$503,3,)=0,0,(VLOOKUP($D153,$C$5:$AU$503,17,)/VLOOKUP($D153,$C$5:$AU$503,3,))*$E153)</f>
        <v>0</v>
      </c>
      <c r="T153" s="66">
        <f>IF(VLOOKUP($D153,$C$5:$AU$503,3,)=0,0,(VLOOKUP($D153,$C$5:$AU$503,18,)/VLOOKUP($D153,$C$5:$AU$503,3,))*$E153)</f>
        <v>0</v>
      </c>
      <c r="U153" s="66">
        <f>IF(VLOOKUP($D153,$C$5:$AU$503,3,)=0,0,(VLOOKUP($D153,$C$5:$AU$503,19,)/VLOOKUP($D153,$C$5:$AU$503,3,))*$E153)</f>
        <v>0</v>
      </c>
      <c r="V153" s="66">
        <f>IF(VLOOKUP($D153,$C$5:$AU$503,3,)=0,0,(VLOOKUP($D153,$C$5:$AU$503,20,)/VLOOKUP($D153,$C$5:$AU$503,3,))*$E153)</f>
        <v>0</v>
      </c>
      <c r="W153" s="66">
        <f>IF(VLOOKUP($D153,$C$5:$AU$503,3,)=0,0,(VLOOKUP($D153,$C$5:$AU$503,21,)/VLOOKUP($D153,$C$5:$AU$503,3,))*$E153)</f>
        <v>0</v>
      </c>
      <c r="X153" s="66">
        <f>IF(VLOOKUP($D153,$C$5:$AU$503,3,)=0,0,(VLOOKUP($D153,$C$5:$AU$503,22,)/VLOOKUP($D153,$C$5:$AU$503,3,))*$E153)</f>
        <v>0</v>
      </c>
      <c r="Y153" s="66">
        <f>IF(VLOOKUP($D153,$C$5:$AU$503,3,)=0,0,(VLOOKUP($D153,$C$5:$AU$503,23,)/VLOOKUP($D153,$C$5:$AU$503,3,))*$E153)</f>
        <v>0</v>
      </c>
      <c r="Z153" s="66">
        <f>IF(VLOOKUP($D153,$C$5:$AU$503,3,)=0,0,(VLOOKUP($D153,$C$5:$AU$503,24,)/VLOOKUP($D153,$C$5:$AU$503,3,))*$E153)</f>
        <v>0</v>
      </c>
      <c r="AA153" s="66">
        <f>IF(VLOOKUP($D153,$C$5:$AU$503,3,)=0,0,(VLOOKUP($D153,$C$5:$AU$503,25,)/VLOOKUP($D153,$C$5:$AU$503,3,))*$E153)</f>
        <v>0</v>
      </c>
      <c r="AB153" s="66">
        <f>IF(VLOOKUP($D153,$C$5:$AU$503,3,)=0,0,(VLOOKUP($D153,$C$5:$AU$503,26,)/VLOOKUP($D153,$C$5:$AU$503,3,))*$E153)</f>
        <v>0</v>
      </c>
      <c r="AC153" s="66">
        <f>IF(VLOOKUP($D153,$C$5:$AU$503,3,)=0,0,(VLOOKUP($D153,$C$5:$AU$503,27,)/VLOOKUP($D153,$C$5:$AU$503,3,))*$E153)</f>
        <v>0</v>
      </c>
      <c r="AD153" s="66">
        <f>IF(VLOOKUP($D153,$C$5:$AU$503,3,)=0,0,(VLOOKUP($D153,$C$5:$AU$503,28,)/VLOOKUP($D153,$C$5:$AU$503,3,))*$E153)</f>
        <v>0</v>
      </c>
      <c r="AE153" s="66">
        <f>IF(VLOOKUP($D153,$C$5:$AU$503,3,)=0,0,(VLOOKUP($D153,$C$5:$AU$503,29,)/VLOOKUP($D153,$C$5:$AU$503,3,))*$E153)</f>
        <v>0</v>
      </c>
      <c r="AF153" s="66">
        <f>IF(VLOOKUP($D153,$C$5:$AU$503,3,)=0,0,(VLOOKUP($D153,$C$5:$AU$503,30,)/VLOOKUP($D153,$C$5:$AU$503,3,))*$E153)</f>
        <v>0</v>
      </c>
      <c r="AG153" s="93">
        <f>SUM(F153:AF153)</f>
        <v>410703.27504973585</v>
      </c>
      <c r="AH153" s="30" t="str">
        <f>IF(ABS(E153-AG153)&lt;0.01,"ok","err")</f>
        <v>ok</v>
      </c>
      <c r="AJ153" s="48">
        <f>H153/I153</f>
        <v>446.00000000000006</v>
      </c>
    </row>
    <row r="154" spans="1:36" x14ac:dyDescent="0.2">
      <c r="E154" s="234"/>
    </row>
    <row r="155" spans="1:36" x14ac:dyDescent="0.2">
      <c r="A155" s="14" t="s">
        <v>0</v>
      </c>
      <c r="C155" s="14" t="s">
        <v>273</v>
      </c>
      <c r="E155" s="233">
        <f>E125+E128+E131+E136+E141+E144+E147+E150+E153</f>
        <v>141123429.34600005</v>
      </c>
      <c r="F155" s="66">
        <f t="shared" ref="F155:R155" si="31">F125+F128+F131+F136+F141+F144+F147+F150+F153</f>
        <v>100300161.27749009</v>
      </c>
      <c r="G155" s="66">
        <f t="shared" si="31"/>
        <v>6879198.5786439767</v>
      </c>
      <c r="H155" s="66">
        <f t="shared" si="31"/>
        <v>17201961.654668048</v>
      </c>
      <c r="I155" s="66">
        <f t="shared" si="31"/>
        <v>772877.37463915162</v>
      </c>
      <c r="J155" s="66">
        <f t="shared" si="31"/>
        <v>5982013.3345473949</v>
      </c>
      <c r="K155" s="66">
        <f t="shared" si="31"/>
        <v>6380601.0071332548</v>
      </c>
      <c r="L155" s="66">
        <f t="shared" si="31"/>
        <v>1197821.2819699133</v>
      </c>
      <c r="M155" s="66">
        <f t="shared" si="31"/>
        <v>1001233.4006733692</v>
      </c>
      <c r="N155" s="66">
        <f t="shared" si="31"/>
        <v>1407561.4362348171</v>
      </c>
      <c r="O155" s="66">
        <f t="shared" si="31"/>
        <v>0</v>
      </c>
      <c r="P155" s="66">
        <f t="shared" si="31"/>
        <v>0</v>
      </c>
      <c r="Q155" s="66">
        <f t="shared" si="31"/>
        <v>0</v>
      </c>
      <c r="R155" s="66">
        <f t="shared" si="31"/>
        <v>0</v>
      </c>
      <c r="S155" s="66">
        <f t="shared" ref="S155:AF155" si="32">S125+S131+S136+S141+S144+S147+S150+S153</f>
        <v>0</v>
      </c>
      <c r="T155" s="66">
        <f t="shared" si="32"/>
        <v>0</v>
      </c>
      <c r="U155" s="66">
        <f t="shared" si="32"/>
        <v>0</v>
      </c>
      <c r="V155" s="66">
        <f t="shared" si="32"/>
        <v>0</v>
      </c>
      <c r="W155" s="66">
        <f t="shared" si="32"/>
        <v>0</v>
      </c>
      <c r="X155" s="66">
        <f t="shared" si="32"/>
        <v>0</v>
      </c>
      <c r="Y155" s="66">
        <f t="shared" si="32"/>
        <v>0</v>
      </c>
      <c r="Z155" s="66">
        <f t="shared" si="32"/>
        <v>0</v>
      </c>
      <c r="AA155" s="66">
        <f t="shared" si="32"/>
        <v>0</v>
      </c>
      <c r="AB155" s="66">
        <f t="shared" si="32"/>
        <v>0</v>
      </c>
      <c r="AC155" s="66">
        <f t="shared" si="32"/>
        <v>0</v>
      </c>
      <c r="AD155" s="66">
        <f t="shared" si="32"/>
        <v>0</v>
      </c>
      <c r="AE155" s="66">
        <f t="shared" si="32"/>
        <v>0</v>
      </c>
      <c r="AF155" s="66">
        <f t="shared" si="32"/>
        <v>0</v>
      </c>
      <c r="AG155" s="93">
        <f>SUM(F155:AF155)</f>
        <v>141123429.34600002</v>
      </c>
      <c r="AH155" s="30" t="str">
        <f>IF(ABS(E155-AG155)&lt;0.01,"ok","err")</f>
        <v>ok</v>
      </c>
      <c r="AJ155" s="48">
        <f>H155/I155</f>
        <v>22.257038721956977</v>
      </c>
    </row>
    <row r="158" spans="1:36" x14ac:dyDescent="0.2">
      <c r="A158" s="28" t="s">
        <v>183</v>
      </c>
    </row>
    <row r="160" spans="1:36" x14ac:dyDescent="0.2">
      <c r="A160" s="13" t="s">
        <v>893</v>
      </c>
    </row>
    <row r="161" spans="1:34" x14ac:dyDescent="0.2">
      <c r="A161" s="96" t="s">
        <v>209</v>
      </c>
      <c r="C161" s="14" t="s">
        <v>274</v>
      </c>
      <c r="D161" s="14" t="s">
        <v>655</v>
      </c>
      <c r="E161" s="233">
        <f>'Func &amp; Classif'!H462</f>
        <v>0</v>
      </c>
      <c r="F161" s="66">
        <f>IF(VLOOKUP($D161,$C$5:$AU$503,3,)=0,0,(VLOOKUP($D161,$C$5:$AU$503,4,)/VLOOKUP($D161,$C$5:$AU$503,3,))*$E161)</f>
        <v>0</v>
      </c>
      <c r="G161" s="66">
        <f>IF(VLOOKUP($D161,$C$5:$AU$503,3,)=0,0,(VLOOKUP($D161,$C$5:$AU$503,5,)/VLOOKUP($D161,$C$5:$AU$503,3,))*$E161)</f>
        <v>0</v>
      </c>
      <c r="H161" s="66">
        <f>IF(VLOOKUP($D161,$C$5:$AU$503,3,)=0,0,(VLOOKUP($D161,$C$5:$AU$503,6,)/VLOOKUP($D161,$C$5:$AU$503,3,))*$E161)</f>
        <v>0</v>
      </c>
      <c r="I161" s="66">
        <f>IF(VLOOKUP($D161,$C$5:$AU$503,3,)=0,0,(VLOOKUP($D161,$C$5:$AU$503,7,)/VLOOKUP($D161,$C$5:$AU$503,3,))*$E161)</f>
        <v>0</v>
      </c>
      <c r="J161" s="66">
        <f>IF(VLOOKUP($D161,$C$5:$AU$503,3,)=0,0,(VLOOKUP($D161,$C$5:$AU$503,8,)/VLOOKUP($D161,$C$5:$AU$503,3,))*$E161)</f>
        <v>0</v>
      </c>
      <c r="K161" s="66">
        <f>IF(VLOOKUP($D161,$C$5:$AU$503,3,)=0,0,(VLOOKUP($D161,$C$5:$AU$503,9,)/VLOOKUP($D161,$C$5:$AU$503,3,))*$E161)</f>
        <v>0</v>
      </c>
      <c r="L161" s="66">
        <f>IF(VLOOKUP($D161,$C$5:$AU$503,3,)=0,0,(VLOOKUP($D161,$C$5:$AU$503,10,)/VLOOKUP($D161,$C$5:$AU$503,3,))*$E161)</f>
        <v>0</v>
      </c>
      <c r="M161" s="66">
        <f>IF(VLOOKUP($D161,$C$5:$AU$503,3,)=0,0,(VLOOKUP($D161,$C$5:$AU$503,11,)/VLOOKUP($D161,$C$5:$AU$503,3,))*$E161)</f>
        <v>0</v>
      </c>
      <c r="N161" s="66">
        <f>IF(VLOOKUP($D161,$C$5:$AU$503,3,)=0,0,(VLOOKUP($D161,$C$5:$AU$503,12,)/VLOOKUP($D161,$C$5:$AU$503,3,))*$E161)</f>
        <v>0</v>
      </c>
      <c r="O161" s="66">
        <f>IF(VLOOKUP($D161,$C$5:$AU$503,3,)=0,0,(VLOOKUP($D161,$C$5:$AU$503,13,)/VLOOKUP($D161,$C$5:$AU$503,3,))*$E161)</f>
        <v>0</v>
      </c>
      <c r="P161" s="66">
        <f>IF(VLOOKUP($D161,$C$5:$AU$503,3,)=0,0,(VLOOKUP($D161,$C$5:$AU$503,14,)/VLOOKUP($D161,$C$5:$AU$503,3,))*$E161)</f>
        <v>0</v>
      </c>
      <c r="Q161" s="66">
        <f>IF(VLOOKUP($D161,$C$5:$AU$503,3,)=0,0,(VLOOKUP($D161,$C$5:$AU$503,15,)/VLOOKUP($D161,$C$5:$AU$503,3,))*$E161)</f>
        <v>0</v>
      </c>
      <c r="R161" s="66">
        <f>IF(VLOOKUP($D161,$C$5:$AU$503,3,)=0,0,(VLOOKUP($D161,$C$5:$AU$503,16,)/VLOOKUP($D161,$C$5:$AU$503,3,))*$E161)</f>
        <v>0</v>
      </c>
      <c r="S161" s="66">
        <f>IF(VLOOKUP($D161,$C$5:$AU$503,3,)=0,0,(VLOOKUP($D161,$C$5:$AU$503,17,)/VLOOKUP($D161,$C$5:$AU$503,3,))*$E161)</f>
        <v>0</v>
      </c>
      <c r="T161" s="66">
        <f>IF(VLOOKUP($D161,$C$5:$AU$503,3,)=0,0,(VLOOKUP($D161,$C$5:$AU$503,18,)/VLOOKUP($D161,$C$5:$AU$503,3,))*$E161)</f>
        <v>0</v>
      </c>
      <c r="U161" s="66">
        <f>IF(VLOOKUP($D161,$C$5:$AU$503,3,)=0,0,(VLOOKUP($D161,$C$5:$AU$503,19,)/VLOOKUP($D161,$C$5:$AU$503,3,))*$E161)</f>
        <v>0</v>
      </c>
      <c r="V161" s="66">
        <f>IF(VLOOKUP($D161,$C$5:$AU$503,3,)=0,0,(VLOOKUP($D161,$C$5:$AU$503,20,)/VLOOKUP($D161,$C$5:$AU$503,3,))*$E161)</f>
        <v>0</v>
      </c>
      <c r="W161" s="66">
        <f>IF(VLOOKUP($D161,$C$5:$AU$503,3,)=0,0,(VLOOKUP($D161,$C$5:$AU$503,21,)/VLOOKUP($D161,$C$5:$AU$503,3,))*$E161)</f>
        <v>0</v>
      </c>
      <c r="X161" s="66">
        <f>IF(VLOOKUP($D161,$C$5:$AU$503,3,)=0,0,(VLOOKUP($D161,$C$5:$AU$503,22,)/VLOOKUP($D161,$C$5:$AU$503,3,))*$E161)</f>
        <v>0</v>
      </c>
      <c r="Y161" s="66">
        <f>IF(VLOOKUP($D161,$C$5:$AU$503,3,)=0,0,(VLOOKUP($D161,$C$5:$AU$503,23,)/VLOOKUP($D161,$C$5:$AU$503,3,))*$E161)</f>
        <v>0</v>
      </c>
      <c r="Z161" s="66">
        <f>IF(VLOOKUP($D161,$C$5:$AU$503,3,)=0,0,(VLOOKUP($D161,$C$5:$AU$503,24,)/VLOOKUP($D161,$C$5:$AU$503,3,))*$E161)</f>
        <v>0</v>
      </c>
      <c r="AA161" s="66">
        <f>IF(VLOOKUP($D161,$C$5:$AU$503,3,)=0,0,(VLOOKUP($D161,$C$5:$AU$503,25,)/VLOOKUP($D161,$C$5:$AU$503,3,))*$E161)</f>
        <v>0</v>
      </c>
      <c r="AB161" s="66">
        <f>IF(VLOOKUP($D161,$C$5:$AU$503,3,)=0,0,(VLOOKUP($D161,$C$5:$AU$503,26,)/VLOOKUP($D161,$C$5:$AU$503,3,))*$E161)</f>
        <v>0</v>
      </c>
      <c r="AC161" s="66">
        <f>IF(VLOOKUP($D161,$C$5:$AU$503,3,)=0,0,(VLOOKUP($D161,$C$5:$AU$503,27,)/VLOOKUP($D161,$C$5:$AU$503,3,))*$E161)</f>
        <v>0</v>
      </c>
      <c r="AD161" s="66">
        <f>IF(VLOOKUP($D161,$C$5:$AU$503,3,)=0,0,(VLOOKUP($D161,$C$5:$AU$503,28,)/VLOOKUP($D161,$C$5:$AU$503,3,))*$E161)</f>
        <v>0</v>
      </c>
      <c r="AE161" s="66">
        <f>IF(VLOOKUP($D161,$C$5:$AU$503,3,)=0,0,(VLOOKUP($D161,$C$5:$AU$503,29,)/VLOOKUP($D161,$C$5:$AU$503,3,))*$E161)</f>
        <v>0</v>
      </c>
      <c r="AF161" s="66">
        <f>IF(VLOOKUP($D161,$C$5:$AU$503,3,)=0,0,(VLOOKUP($D161,$C$5:$AU$503,30,)/VLOOKUP($D161,$C$5:$AU$503,3,))*$E161)</f>
        <v>0</v>
      </c>
      <c r="AG161" s="93">
        <f>SUM(F161:AF161)</f>
        <v>0</v>
      </c>
      <c r="AH161" s="30" t="str">
        <f>IF(ABS(E161-AG161)&lt;0.01,"ok","err")</f>
        <v>ok</v>
      </c>
    </row>
    <row r="162" spans="1:34" x14ac:dyDescent="0.2">
      <c r="A162" s="96" t="s">
        <v>212</v>
      </c>
      <c r="C162" s="14" t="s">
        <v>275</v>
      </c>
      <c r="D162" s="14" t="s">
        <v>664</v>
      </c>
      <c r="E162" s="234">
        <f>'Func &amp; Classif'!I462</f>
        <v>0</v>
      </c>
      <c r="F162" s="66">
        <f>IF(VLOOKUP($D162,$C$5:$AU$503,3,)=0,0,(VLOOKUP($D162,$C$5:$AU$503,4,)/VLOOKUP($D162,$C$5:$AU$503,3,))*$E162)</f>
        <v>0</v>
      </c>
      <c r="G162" s="66">
        <f>IF(VLOOKUP($D162,$C$5:$AU$503,3,)=0,0,(VLOOKUP($D162,$C$5:$AU$503,5,)/VLOOKUP($D162,$C$5:$AU$503,3,))*$E162)</f>
        <v>0</v>
      </c>
      <c r="H162" s="66">
        <f>IF(VLOOKUP($D162,$C$5:$AU$503,3,)=0,0,(VLOOKUP($D162,$C$5:$AU$503,6,)/VLOOKUP($D162,$C$5:$AU$503,3,))*$E162)</f>
        <v>0</v>
      </c>
      <c r="I162" s="66">
        <f>IF(VLOOKUP($D162,$C$5:$AU$503,3,)=0,0,(VLOOKUP($D162,$C$5:$AU$503,7,)/VLOOKUP($D162,$C$5:$AU$503,3,))*$E162)</f>
        <v>0</v>
      </c>
      <c r="J162" s="66">
        <f>IF(VLOOKUP($D162,$C$5:$AU$503,3,)=0,0,(VLOOKUP($D162,$C$5:$AU$503,8,)/VLOOKUP($D162,$C$5:$AU$503,3,))*$E162)</f>
        <v>0</v>
      </c>
      <c r="K162" s="66">
        <f>IF(VLOOKUP($D162,$C$5:$AU$503,3,)=0,0,(VLOOKUP($D162,$C$5:$AU$503,9,)/VLOOKUP($D162,$C$5:$AU$503,3,))*$E162)</f>
        <v>0</v>
      </c>
      <c r="L162" s="66">
        <f>IF(VLOOKUP($D162,$C$5:$AU$503,3,)=0,0,(VLOOKUP($D162,$C$5:$AU$503,10,)/VLOOKUP($D162,$C$5:$AU$503,3,))*$E162)</f>
        <v>0</v>
      </c>
      <c r="M162" s="66">
        <f>IF(VLOOKUP($D162,$C$5:$AU$503,3,)=0,0,(VLOOKUP($D162,$C$5:$AU$503,11,)/VLOOKUP($D162,$C$5:$AU$503,3,))*$E162)</f>
        <v>0</v>
      </c>
      <c r="N162" s="66">
        <f>IF(VLOOKUP($D162,$C$5:$AU$503,3,)=0,0,(VLOOKUP($D162,$C$5:$AU$503,12,)/VLOOKUP($D162,$C$5:$AU$503,3,))*$E162)</f>
        <v>0</v>
      </c>
      <c r="O162" s="66">
        <f>IF(VLOOKUP($D162,$C$5:$AU$503,3,)=0,0,(VLOOKUP($D162,$C$5:$AU$503,13,)/VLOOKUP($D162,$C$5:$AU$503,3,))*$E162)</f>
        <v>0</v>
      </c>
      <c r="P162" s="66">
        <f>IF(VLOOKUP($D162,$C$5:$AU$503,3,)=0,0,(VLOOKUP($D162,$C$5:$AU$503,14,)/VLOOKUP($D162,$C$5:$AU$503,3,))*$E162)</f>
        <v>0</v>
      </c>
      <c r="Q162" s="66">
        <f>IF(VLOOKUP($D162,$C$5:$AU$503,3,)=0,0,(VLOOKUP($D162,$C$5:$AU$503,15,)/VLOOKUP($D162,$C$5:$AU$503,3,))*$E162)</f>
        <v>0</v>
      </c>
      <c r="R162" s="66">
        <f>IF(VLOOKUP($D162,$C$5:$AU$503,3,)=0,0,(VLOOKUP($D162,$C$5:$AU$503,16,)/VLOOKUP($D162,$C$5:$AU$503,3,))*$E162)</f>
        <v>0</v>
      </c>
      <c r="S162" s="66">
        <f>IF(VLOOKUP($D162,$C$5:$AU$503,3,)=0,0,(VLOOKUP($D162,$C$5:$AU$503,17,)/VLOOKUP($D162,$C$5:$AU$503,3,))*$E162)</f>
        <v>0</v>
      </c>
      <c r="T162" s="66">
        <f>IF(VLOOKUP($D162,$C$5:$AU$503,3,)=0,0,(VLOOKUP($D162,$C$5:$AU$503,18,)/VLOOKUP($D162,$C$5:$AU$503,3,))*$E162)</f>
        <v>0</v>
      </c>
      <c r="U162" s="66">
        <f>IF(VLOOKUP($D162,$C$5:$AU$503,3,)=0,0,(VLOOKUP($D162,$C$5:$AU$503,19,)/VLOOKUP($D162,$C$5:$AU$503,3,))*$E162)</f>
        <v>0</v>
      </c>
      <c r="V162" s="66">
        <f>IF(VLOOKUP($D162,$C$5:$AU$503,3,)=0,0,(VLOOKUP($D162,$C$5:$AU$503,20,)/VLOOKUP($D162,$C$5:$AU$503,3,))*$E162)</f>
        <v>0</v>
      </c>
      <c r="W162" s="66">
        <f>IF(VLOOKUP($D162,$C$5:$AU$503,3,)=0,0,(VLOOKUP($D162,$C$5:$AU$503,21,)/VLOOKUP($D162,$C$5:$AU$503,3,))*$E162)</f>
        <v>0</v>
      </c>
      <c r="X162" s="66">
        <f>IF(VLOOKUP($D162,$C$5:$AU$503,3,)=0,0,(VLOOKUP($D162,$C$5:$AU$503,22,)/VLOOKUP($D162,$C$5:$AU$503,3,))*$E162)</f>
        <v>0</v>
      </c>
      <c r="Y162" s="66">
        <f>IF(VLOOKUP($D162,$C$5:$AU$503,3,)=0,0,(VLOOKUP($D162,$C$5:$AU$503,23,)/VLOOKUP($D162,$C$5:$AU$503,3,))*$E162)</f>
        <v>0</v>
      </c>
      <c r="Z162" s="66">
        <f>IF(VLOOKUP($D162,$C$5:$AU$503,3,)=0,0,(VLOOKUP($D162,$C$5:$AU$503,24,)/VLOOKUP($D162,$C$5:$AU$503,3,))*$E162)</f>
        <v>0</v>
      </c>
      <c r="AA162" s="66">
        <f>IF(VLOOKUP($D162,$C$5:$AU$503,3,)=0,0,(VLOOKUP($D162,$C$5:$AU$503,25,)/VLOOKUP($D162,$C$5:$AU$503,3,))*$E162)</f>
        <v>0</v>
      </c>
      <c r="AB162" s="66">
        <f>IF(VLOOKUP($D162,$C$5:$AU$503,3,)=0,0,(VLOOKUP($D162,$C$5:$AU$503,26,)/VLOOKUP($D162,$C$5:$AU$503,3,))*$E162)</f>
        <v>0</v>
      </c>
      <c r="AC162" s="66">
        <f>IF(VLOOKUP($D162,$C$5:$AU$503,3,)=0,0,(VLOOKUP($D162,$C$5:$AU$503,27,)/VLOOKUP($D162,$C$5:$AU$503,3,))*$E162)</f>
        <v>0</v>
      </c>
      <c r="AD162" s="66">
        <f>IF(VLOOKUP($D162,$C$5:$AU$503,3,)=0,0,(VLOOKUP($D162,$C$5:$AU$503,28,)/VLOOKUP($D162,$C$5:$AU$503,3,))*$E162)</f>
        <v>0</v>
      </c>
      <c r="AE162" s="66">
        <f>IF(VLOOKUP($D162,$C$5:$AU$503,3,)=0,0,(VLOOKUP($D162,$C$5:$AU$503,29,)/VLOOKUP($D162,$C$5:$AU$503,3,))*$E162)</f>
        <v>0</v>
      </c>
      <c r="AF162" s="66">
        <f>IF(VLOOKUP($D162,$C$5:$AU$503,3,)=0,0,(VLOOKUP($D162,$C$5:$AU$503,30,)/VLOOKUP($D162,$C$5:$AU$503,3,))*$E162)</f>
        <v>0</v>
      </c>
      <c r="AG162" s="93">
        <f>SUM(F162:AF162)</f>
        <v>0</v>
      </c>
      <c r="AH162" s="30" t="str">
        <f>IF(ABS(E162-AG162)&lt;0.01,"ok","err")</f>
        <v>ok</v>
      </c>
    </row>
    <row r="163" spans="1:34" x14ac:dyDescent="0.2">
      <c r="A163" s="14" t="s">
        <v>215</v>
      </c>
      <c r="C163" s="14" t="s">
        <v>276</v>
      </c>
      <c r="E163" s="234">
        <f t="shared" ref="E163:T163" si="33">E161+E162</f>
        <v>0</v>
      </c>
      <c r="F163" s="66">
        <f t="shared" si="33"/>
        <v>0</v>
      </c>
      <c r="G163" s="66">
        <f t="shared" si="33"/>
        <v>0</v>
      </c>
      <c r="H163" s="66">
        <f t="shared" si="33"/>
        <v>0</v>
      </c>
      <c r="I163" s="66">
        <f t="shared" si="33"/>
        <v>0</v>
      </c>
      <c r="J163" s="66">
        <f t="shared" si="33"/>
        <v>0</v>
      </c>
      <c r="K163" s="66">
        <f t="shared" si="33"/>
        <v>0</v>
      </c>
      <c r="L163" s="66">
        <f t="shared" si="33"/>
        <v>0</v>
      </c>
      <c r="M163" s="66">
        <f t="shared" si="33"/>
        <v>0</v>
      </c>
      <c r="N163" s="66">
        <f t="shared" si="33"/>
        <v>0</v>
      </c>
      <c r="O163" s="66">
        <f t="shared" si="33"/>
        <v>0</v>
      </c>
      <c r="P163" s="66">
        <f t="shared" si="33"/>
        <v>0</v>
      </c>
      <c r="Q163" s="66">
        <f t="shared" si="33"/>
        <v>0</v>
      </c>
      <c r="R163" s="66">
        <f t="shared" si="33"/>
        <v>0</v>
      </c>
      <c r="S163" s="66">
        <f t="shared" si="33"/>
        <v>0</v>
      </c>
      <c r="T163" s="66">
        <f t="shared" si="33"/>
        <v>0</v>
      </c>
      <c r="U163" s="66">
        <f t="shared" ref="U163:AF163" si="34">U161+U162</f>
        <v>0</v>
      </c>
      <c r="V163" s="66">
        <f t="shared" si="34"/>
        <v>0</v>
      </c>
      <c r="W163" s="66">
        <f t="shared" si="34"/>
        <v>0</v>
      </c>
      <c r="X163" s="66">
        <f t="shared" si="34"/>
        <v>0</v>
      </c>
      <c r="Y163" s="66">
        <f t="shared" si="34"/>
        <v>0</v>
      </c>
      <c r="Z163" s="66">
        <f t="shared" si="34"/>
        <v>0</v>
      </c>
      <c r="AA163" s="66">
        <f t="shared" si="34"/>
        <v>0</v>
      </c>
      <c r="AB163" s="66">
        <f t="shared" si="34"/>
        <v>0</v>
      </c>
      <c r="AC163" s="66">
        <f t="shared" si="34"/>
        <v>0</v>
      </c>
      <c r="AD163" s="66">
        <f t="shared" si="34"/>
        <v>0</v>
      </c>
      <c r="AE163" s="66">
        <f t="shared" si="34"/>
        <v>0</v>
      </c>
      <c r="AF163" s="66">
        <f t="shared" si="34"/>
        <v>0</v>
      </c>
      <c r="AG163" s="93">
        <f>SUM(F163:AF163)</f>
        <v>0</v>
      </c>
      <c r="AH163" s="30" t="str">
        <f>IF(ABS(E163-AG163)&lt;0.01,"ok","err")</f>
        <v>ok</v>
      </c>
    </row>
    <row r="164" spans="1:34" x14ac:dyDescent="0.2">
      <c r="E164" s="234"/>
      <c r="F164" s="50"/>
    </row>
    <row r="165" spans="1:34" x14ac:dyDescent="0.2">
      <c r="A165" s="13" t="s">
        <v>350</v>
      </c>
      <c r="E165" s="234"/>
      <c r="F165" s="50"/>
    </row>
    <row r="166" spans="1:34" x14ac:dyDescent="0.2">
      <c r="A166" s="96" t="s">
        <v>209</v>
      </c>
      <c r="C166" s="14" t="s">
        <v>886</v>
      </c>
      <c r="D166" s="14" t="s">
        <v>623</v>
      </c>
      <c r="E166" s="233">
        <f>'Func &amp; Classif'!K462</f>
        <v>0</v>
      </c>
      <c r="F166" s="66">
        <f>IF(VLOOKUP($D166,$C$5:$AU$503,3,)=0,0,(VLOOKUP($D166,$C$5:$AU$503,4,)/VLOOKUP($D166,$C$5:$AU$503,3,))*$E166)</f>
        <v>0</v>
      </c>
      <c r="G166" s="66">
        <f>IF(VLOOKUP($D166,$C$5:$AU$503,3,)=0,0,(VLOOKUP($D166,$C$5:$AU$503,5,)/VLOOKUP($D166,$C$5:$AU$503,3,))*$E166)</f>
        <v>0</v>
      </c>
      <c r="H166" s="66">
        <f>IF(VLOOKUP($D166,$C$5:$AU$503,3,)=0,0,(VLOOKUP($D166,$C$5:$AU$503,6,)/VLOOKUP($D166,$C$5:$AU$503,3,))*$E166)</f>
        <v>0</v>
      </c>
      <c r="I166" s="66">
        <f>IF(VLOOKUP($D166,$C$5:$AU$503,3,)=0,0,(VLOOKUP($D166,$C$5:$AU$503,7,)/VLOOKUP($D166,$C$5:$AU$503,3,))*$E166)</f>
        <v>0</v>
      </c>
      <c r="J166" s="66">
        <f>IF(VLOOKUP($D166,$C$5:$AU$503,3,)=0,0,(VLOOKUP($D166,$C$5:$AU$503,8,)/VLOOKUP($D166,$C$5:$AU$503,3,))*$E166)</f>
        <v>0</v>
      </c>
      <c r="K166" s="66">
        <f>IF(VLOOKUP($D166,$C$5:$AU$503,3,)=0,0,(VLOOKUP($D166,$C$5:$AU$503,9,)/VLOOKUP($D166,$C$5:$AU$503,3,))*$E166)</f>
        <v>0</v>
      </c>
      <c r="L166" s="66">
        <f>IF(VLOOKUP($D166,$C$5:$AU$503,3,)=0,0,(VLOOKUP($D166,$C$5:$AU$503,10,)/VLOOKUP($D166,$C$5:$AU$503,3,))*$E166)</f>
        <v>0</v>
      </c>
      <c r="M166" s="66">
        <f>IF(VLOOKUP($D166,$C$5:$AU$503,3,)=0,0,(VLOOKUP($D166,$C$5:$AU$503,11,)/VLOOKUP($D166,$C$5:$AU$503,3,))*$E166)</f>
        <v>0</v>
      </c>
      <c r="N166" s="66">
        <f>IF(VLOOKUP($D166,$C$5:$AU$503,3,)=0,0,(VLOOKUP($D166,$C$5:$AU$503,12,)/VLOOKUP($D166,$C$5:$AU$503,3,))*$E166)</f>
        <v>0</v>
      </c>
      <c r="O166" s="66">
        <f>IF(VLOOKUP($D166,$C$5:$AU$503,3,)=0,0,(VLOOKUP($D166,$C$5:$AU$503,13,)/VLOOKUP($D166,$C$5:$AU$503,3,))*$E166)</f>
        <v>0</v>
      </c>
      <c r="P166" s="66">
        <f>IF(VLOOKUP($D166,$C$5:$AU$503,3,)=0,0,(VLOOKUP($D166,$C$5:$AU$503,14,)/VLOOKUP($D166,$C$5:$AU$503,3,))*$E166)</f>
        <v>0</v>
      </c>
      <c r="Q166" s="66">
        <f>IF(VLOOKUP($D166,$C$5:$AU$503,3,)=0,0,(VLOOKUP($D166,$C$5:$AU$503,15,)/VLOOKUP($D166,$C$5:$AU$503,3,))*$E166)</f>
        <v>0</v>
      </c>
      <c r="R166" s="66">
        <f>IF(VLOOKUP($D166,$C$5:$AU$503,3,)=0,0,(VLOOKUP($D166,$C$5:$AU$503,16,)/VLOOKUP($D166,$C$5:$AU$503,3,))*$E166)</f>
        <v>0</v>
      </c>
      <c r="S166" s="66">
        <f>IF(VLOOKUP($D166,$C$5:$AU$503,3,)=0,0,(VLOOKUP($D166,$C$5:$AU$503,17,)/VLOOKUP($D166,$C$5:$AU$503,3,))*$E166)</f>
        <v>0</v>
      </c>
      <c r="T166" s="66">
        <f>IF(VLOOKUP($D166,$C$5:$AU$503,3,)=0,0,(VLOOKUP($D166,$C$5:$AU$503,18,)/VLOOKUP($D166,$C$5:$AU$503,3,))*$E166)</f>
        <v>0</v>
      </c>
      <c r="U166" s="66">
        <f>IF(VLOOKUP($D166,$C$5:$AU$503,3,)=0,0,(VLOOKUP($D166,$C$5:$AU$503,19,)/VLOOKUP($D166,$C$5:$AU$503,3,))*$E166)</f>
        <v>0</v>
      </c>
      <c r="V166" s="66">
        <f>IF(VLOOKUP($D166,$C$5:$AU$503,3,)=0,0,(VLOOKUP($D166,$C$5:$AU$503,20,)/VLOOKUP($D166,$C$5:$AU$503,3,))*$E166)</f>
        <v>0</v>
      </c>
      <c r="W166" s="66">
        <f>IF(VLOOKUP($D166,$C$5:$AU$503,3,)=0,0,(VLOOKUP($D166,$C$5:$AU$503,21,)/VLOOKUP($D166,$C$5:$AU$503,3,))*$E166)</f>
        <v>0</v>
      </c>
      <c r="X166" s="66">
        <f>IF(VLOOKUP($D166,$C$5:$AU$503,3,)=0,0,(VLOOKUP($D166,$C$5:$AU$503,22,)/VLOOKUP($D166,$C$5:$AU$503,3,))*$E166)</f>
        <v>0</v>
      </c>
      <c r="Y166" s="66">
        <f>IF(VLOOKUP($D166,$C$5:$AU$503,3,)=0,0,(VLOOKUP($D166,$C$5:$AU$503,23,)/VLOOKUP($D166,$C$5:$AU$503,3,))*$E166)</f>
        <v>0</v>
      </c>
      <c r="Z166" s="66">
        <f>IF(VLOOKUP($D166,$C$5:$AU$503,3,)=0,0,(VLOOKUP($D166,$C$5:$AU$503,24,)/VLOOKUP($D166,$C$5:$AU$503,3,))*$E166)</f>
        <v>0</v>
      </c>
      <c r="AA166" s="66">
        <f>IF(VLOOKUP($D166,$C$5:$AU$503,3,)=0,0,(VLOOKUP($D166,$C$5:$AU$503,25,)/VLOOKUP($D166,$C$5:$AU$503,3,))*$E166)</f>
        <v>0</v>
      </c>
      <c r="AB166" s="66">
        <f>IF(VLOOKUP($D166,$C$5:$AU$503,3,)=0,0,(VLOOKUP($D166,$C$5:$AU$503,26,)/VLOOKUP($D166,$C$5:$AU$503,3,))*$E166)</f>
        <v>0</v>
      </c>
      <c r="AC166" s="66">
        <f>IF(VLOOKUP($D166,$C$5:$AU$503,3,)=0,0,(VLOOKUP($D166,$C$5:$AU$503,27,)/VLOOKUP($D166,$C$5:$AU$503,3,))*$E166)</f>
        <v>0</v>
      </c>
      <c r="AD166" s="66">
        <f>IF(VLOOKUP($D166,$C$5:$AU$503,3,)=0,0,(VLOOKUP($D166,$C$5:$AU$503,28,)/VLOOKUP($D166,$C$5:$AU$503,3,))*$E166)</f>
        <v>0</v>
      </c>
      <c r="AE166" s="66">
        <f>IF(VLOOKUP($D166,$C$5:$AU$503,3,)=0,0,(VLOOKUP($D166,$C$5:$AU$503,29,)/VLOOKUP($D166,$C$5:$AU$503,3,))*$E166)</f>
        <v>0</v>
      </c>
      <c r="AF166" s="66">
        <f>IF(VLOOKUP($D166,$C$5:$AU$503,3,)=0,0,(VLOOKUP($D166,$C$5:$AU$503,30,)/VLOOKUP($D166,$C$5:$AU$503,3,))*$E166)</f>
        <v>0</v>
      </c>
      <c r="AG166" s="93">
        <f>SUM(F166:AF166)</f>
        <v>0</v>
      </c>
      <c r="AH166" s="30" t="str">
        <f>IF(ABS(E166-AG166)&lt;0.01,"ok","err")</f>
        <v>ok</v>
      </c>
    </row>
    <row r="167" spans="1:34" x14ac:dyDescent="0.2">
      <c r="E167" s="234"/>
    </row>
    <row r="168" spans="1:34" x14ac:dyDescent="0.2">
      <c r="A168" s="13" t="s">
        <v>1</v>
      </c>
      <c r="E168" s="234"/>
      <c r="F168" s="50"/>
    </row>
    <row r="169" spans="1:34" x14ac:dyDescent="0.2">
      <c r="A169" s="96" t="s">
        <v>209</v>
      </c>
      <c r="C169" s="14" t="s">
        <v>277</v>
      </c>
      <c r="D169" s="14" t="s">
        <v>630</v>
      </c>
      <c r="E169" s="233">
        <f>'Func &amp; Classif'!M462</f>
        <v>16113.645992795915</v>
      </c>
      <c r="F169" s="66">
        <f>IF(VLOOKUP($D169,$C$5:$AU$503,3,)=0,0,(VLOOKUP($D169,$C$5:$AU$503,4,)/VLOOKUP($D169,$C$5:$AU$503,3,))*$E169)</f>
        <v>12335.274171981693</v>
      </c>
      <c r="G169" s="66">
        <f>IF(VLOOKUP($D169,$C$5:$AU$503,3,)=0,0,(VLOOKUP($D169,$C$5:$AU$503,5,)/VLOOKUP($D169,$C$5:$AU$503,3,))*$E169)</f>
        <v>0</v>
      </c>
      <c r="H169" s="66">
        <f>IF(VLOOKUP($D169,$C$5:$AU$503,3,)=0,0,(VLOOKUP($D169,$C$5:$AU$503,6,)/VLOOKUP($D169,$C$5:$AU$503,3,))*$E169)</f>
        <v>1956.1781303475307</v>
      </c>
      <c r="I169" s="66">
        <f>IF(VLOOKUP($D169,$C$5:$AU$503,3,)=0,0,(VLOOKUP($D169,$C$5:$AU$503,7,)/VLOOKUP($D169,$C$5:$AU$503,3,))*$E169)</f>
        <v>69.963427369923508</v>
      </c>
      <c r="J169" s="66">
        <f>IF(VLOOKUP($D169,$C$5:$AU$503,3,)=0,0,(VLOOKUP($D169,$C$5:$AU$503,8,)/VLOOKUP($D169,$C$5:$AU$503,3,))*$E169)</f>
        <v>626.85239061041841</v>
      </c>
      <c r="K169" s="66">
        <f>IF(VLOOKUP($D169,$C$5:$AU$503,3,)=0,0,(VLOOKUP($D169,$C$5:$AU$503,9,)/VLOOKUP($D169,$C$5:$AU$503,3,))*$E169)</f>
        <v>798.75856787023667</v>
      </c>
      <c r="L169" s="66">
        <f>IF(VLOOKUP($D169,$C$5:$AU$503,3,)=0,0,(VLOOKUP($D169,$C$5:$AU$503,10,)/VLOOKUP($D169,$C$5:$AU$503,3,))*$E169)</f>
        <v>123.32048923801307</v>
      </c>
      <c r="M169" s="66">
        <f>IF(VLOOKUP($D169,$C$5:$AU$503,3,)=0,0,(VLOOKUP($D169,$C$5:$AU$503,11,)/VLOOKUP($D169,$C$5:$AU$503,3,))*$E169)</f>
        <v>109.07003558886024</v>
      </c>
      <c r="N169" s="66">
        <f>IF(VLOOKUP($D169,$C$5:$AU$503,3,)=0,0,(VLOOKUP($D169,$C$5:$AU$503,12,)/VLOOKUP($D169,$C$5:$AU$503,3,))*$E169)</f>
        <v>94.228779789239397</v>
      </c>
      <c r="O169" s="66">
        <f>IF(VLOOKUP($D169,$C$5:$AU$503,3,)=0,0,(VLOOKUP($D169,$C$5:$AU$503,13,)/VLOOKUP($D169,$C$5:$AU$503,3,))*$E169)</f>
        <v>0</v>
      </c>
      <c r="P169" s="66">
        <f>IF(VLOOKUP($D169,$C$5:$AU$503,3,)=0,0,(VLOOKUP($D169,$C$5:$AU$503,14,)/VLOOKUP($D169,$C$5:$AU$503,3,))*$E169)</f>
        <v>0</v>
      </c>
      <c r="Q169" s="66">
        <f>IF(VLOOKUP($D169,$C$5:$AU$503,3,)=0,0,(VLOOKUP($D169,$C$5:$AU$503,15,)/VLOOKUP($D169,$C$5:$AU$503,3,))*$E169)</f>
        <v>0</v>
      </c>
      <c r="R169" s="66">
        <f>IF(VLOOKUP($D169,$C$5:$AU$503,3,)=0,0,(VLOOKUP($D169,$C$5:$AU$503,16,)/VLOOKUP($D169,$C$5:$AU$503,3,))*$E169)</f>
        <v>0</v>
      </c>
      <c r="S169" s="66">
        <f>IF(VLOOKUP($D169,$C$5:$AU$503,3,)=0,0,(VLOOKUP($D169,$C$5:$AU$503,17,)/VLOOKUP($D169,$C$5:$AU$503,3,))*$E169)</f>
        <v>0</v>
      </c>
      <c r="T169" s="66">
        <f>IF(VLOOKUP($D169,$C$5:$AU$503,3,)=0,0,(VLOOKUP($D169,$C$5:$AU$503,18,)/VLOOKUP($D169,$C$5:$AU$503,3,))*$E169)</f>
        <v>0</v>
      </c>
      <c r="U169" s="66">
        <f>IF(VLOOKUP($D169,$C$5:$AU$503,3,)=0,0,(VLOOKUP($D169,$C$5:$AU$503,19,)/VLOOKUP($D169,$C$5:$AU$503,3,))*$E169)</f>
        <v>0</v>
      </c>
      <c r="V169" s="66">
        <f>IF(VLOOKUP($D169,$C$5:$AU$503,3,)=0,0,(VLOOKUP($D169,$C$5:$AU$503,20,)/VLOOKUP($D169,$C$5:$AU$503,3,))*$E169)</f>
        <v>0</v>
      </c>
      <c r="W169" s="66">
        <f>IF(VLOOKUP($D169,$C$5:$AU$503,3,)=0,0,(VLOOKUP($D169,$C$5:$AU$503,21,)/VLOOKUP($D169,$C$5:$AU$503,3,))*$E169)</f>
        <v>0</v>
      </c>
      <c r="X169" s="66">
        <f>IF(VLOOKUP($D169,$C$5:$AU$503,3,)=0,0,(VLOOKUP($D169,$C$5:$AU$503,22,)/VLOOKUP($D169,$C$5:$AU$503,3,))*$E169)</f>
        <v>0</v>
      </c>
      <c r="Y169" s="66">
        <f>IF(VLOOKUP($D169,$C$5:$AU$503,3,)=0,0,(VLOOKUP($D169,$C$5:$AU$503,23,)/VLOOKUP($D169,$C$5:$AU$503,3,))*$E169)</f>
        <v>0</v>
      </c>
      <c r="Z169" s="66">
        <f>IF(VLOOKUP($D169,$C$5:$AU$503,3,)=0,0,(VLOOKUP($D169,$C$5:$AU$503,24,)/VLOOKUP($D169,$C$5:$AU$503,3,))*$E169)</f>
        <v>0</v>
      </c>
      <c r="AA169" s="66">
        <f>IF(VLOOKUP($D169,$C$5:$AU$503,3,)=0,0,(VLOOKUP($D169,$C$5:$AU$503,25,)/VLOOKUP($D169,$C$5:$AU$503,3,))*$E169)</f>
        <v>0</v>
      </c>
      <c r="AB169" s="66">
        <f>IF(VLOOKUP($D169,$C$5:$AU$503,3,)=0,0,(VLOOKUP($D169,$C$5:$AU$503,26,)/VLOOKUP($D169,$C$5:$AU$503,3,))*$E169)</f>
        <v>0</v>
      </c>
      <c r="AC169" s="66">
        <f>IF(VLOOKUP($D169,$C$5:$AU$503,3,)=0,0,(VLOOKUP($D169,$C$5:$AU$503,27,)/VLOOKUP($D169,$C$5:$AU$503,3,))*$E169)</f>
        <v>0</v>
      </c>
      <c r="AD169" s="66">
        <f>IF(VLOOKUP($D169,$C$5:$AU$503,3,)=0,0,(VLOOKUP($D169,$C$5:$AU$503,28,)/VLOOKUP($D169,$C$5:$AU$503,3,))*$E169)</f>
        <v>0</v>
      </c>
      <c r="AE169" s="66">
        <f>IF(VLOOKUP($D169,$C$5:$AU$503,3,)=0,0,(VLOOKUP($D169,$C$5:$AU$503,29,)/VLOOKUP($D169,$C$5:$AU$503,3,))*$E169)</f>
        <v>0</v>
      </c>
      <c r="AF169" s="66">
        <f>IF(VLOOKUP($D169,$C$5:$AU$503,3,)=0,0,(VLOOKUP($D169,$C$5:$AU$503,30,)/VLOOKUP($D169,$C$5:$AU$503,3,))*$E169)</f>
        <v>0</v>
      </c>
      <c r="AG169" s="93">
        <f>SUM(F169:AF169)</f>
        <v>16113.645992795913</v>
      </c>
      <c r="AH169" s="30" t="str">
        <f>IF(ABS(E169-AG169)&lt;0.01,"ok","err")</f>
        <v>ok</v>
      </c>
    </row>
    <row r="170" spans="1:34" x14ac:dyDescent="0.2">
      <c r="E170" s="234"/>
    </row>
    <row r="171" spans="1:34" x14ac:dyDescent="0.2">
      <c r="A171" s="13" t="s">
        <v>2</v>
      </c>
      <c r="E171" s="234"/>
    </row>
    <row r="172" spans="1:34" x14ac:dyDescent="0.2">
      <c r="A172" s="96" t="s">
        <v>209</v>
      </c>
      <c r="C172" s="14" t="s">
        <v>278</v>
      </c>
      <c r="D172" s="14" t="s">
        <v>627</v>
      </c>
      <c r="E172" s="233">
        <f>'Func &amp; Classif'!O462</f>
        <v>5081221.9394357707</v>
      </c>
      <c r="F172" s="66">
        <f>IF(VLOOKUP($D172,$C$5:$AU$503,3,)=0,0,(VLOOKUP($D172,$C$5:$AU$503,4,)/VLOOKUP($D172,$C$5:$AU$503,3,))*$E172)</f>
        <v>4021671.0948231346</v>
      </c>
      <c r="G172" s="66">
        <f>IF(VLOOKUP($D172,$C$5:$AU$503,3,)=0,0,(VLOOKUP($D172,$C$5:$AU$503,5,)/VLOOKUP($D172,$C$5:$AU$503,3,))*$E172)</f>
        <v>286693.70432973449</v>
      </c>
      <c r="H172" s="66">
        <f>IF(VLOOKUP($D172,$C$5:$AU$503,3,)=0,0,(VLOOKUP($D172,$C$5:$AU$503,6,)/VLOOKUP($D172,$C$5:$AU$503,3,))*$E172)</f>
        <v>417291.34830060374</v>
      </c>
      <c r="I172" s="66">
        <f>IF(VLOOKUP($D172,$C$5:$AU$503,3,)=0,0,(VLOOKUP($D172,$C$5:$AU$503,7,)/VLOOKUP($D172,$C$5:$AU$503,3,))*$E172)</f>
        <v>14332.424287724563</v>
      </c>
      <c r="J172" s="66">
        <f>IF(VLOOKUP($D172,$C$5:$AU$503,3,)=0,0,(VLOOKUP($D172,$C$5:$AU$503,8,)/VLOOKUP($D172,$C$5:$AU$503,3,))*$E172)</f>
        <v>113986.85765119451</v>
      </c>
      <c r="K172" s="66">
        <f>IF(VLOOKUP($D172,$C$5:$AU$503,3,)=0,0,(VLOOKUP($D172,$C$5:$AU$503,9,)/VLOOKUP($D172,$C$5:$AU$503,3,))*$E172)</f>
        <v>123449.22823504561</v>
      </c>
      <c r="L172" s="66">
        <f>IF(VLOOKUP($D172,$C$5:$AU$503,3,)=0,0,(VLOOKUP($D172,$C$5:$AU$503,10,)/VLOOKUP($D172,$C$5:$AU$503,3,))*$E172)</f>
        <v>46305.009465379313</v>
      </c>
      <c r="M172" s="66">
        <f>IF(VLOOKUP($D172,$C$5:$AU$503,3,)=0,0,(VLOOKUP($D172,$C$5:$AU$503,11,)/VLOOKUP($D172,$C$5:$AU$503,3,))*$E172)</f>
        <v>32580.959835040238</v>
      </c>
      <c r="N172" s="66">
        <f>IF(VLOOKUP($D172,$C$5:$AU$503,3,)=0,0,(VLOOKUP($D172,$C$5:$AU$503,12,)/VLOOKUP($D172,$C$5:$AU$503,3,))*$E172)</f>
        <v>24911.312507913019</v>
      </c>
      <c r="O172" s="66">
        <f>IF(VLOOKUP($D172,$C$5:$AU$503,3,)=0,0,(VLOOKUP($D172,$C$5:$AU$503,13,)/VLOOKUP($D172,$C$5:$AU$503,3,))*$E172)</f>
        <v>0</v>
      </c>
      <c r="P172" s="66">
        <f>IF(VLOOKUP($D172,$C$5:$AU$503,3,)=0,0,(VLOOKUP($D172,$C$5:$AU$503,14,)/VLOOKUP($D172,$C$5:$AU$503,3,))*$E172)</f>
        <v>0</v>
      </c>
      <c r="Q172" s="66">
        <f>IF(VLOOKUP($D172,$C$5:$AU$503,3,)=0,0,(VLOOKUP($D172,$C$5:$AU$503,15,)/VLOOKUP($D172,$C$5:$AU$503,3,))*$E172)</f>
        <v>0</v>
      </c>
      <c r="R172" s="66">
        <f>IF(VLOOKUP($D172,$C$5:$AU$503,3,)=0,0,(VLOOKUP($D172,$C$5:$AU$503,16,)/VLOOKUP($D172,$C$5:$AU$503,3,))*$E172)</f>
        <v>0</v>
      </c>
      <c r="S172" s="66">
        <f>IF(VLOOKUP($D172,$C$5:$AU$503,3,)=0,0,(VLOOKUP($D172,$C$5:$AU$503,17,)/VLOOKUP($D172,$C$5:$AU$503,3,))*$E172)</f>
        <v>0</v>
      </c>
      <c r="T172" s="66">
        <f>IF(VLOOKUP($D172,$C$5:$AU$503,3,)=0,0,(VLOOKUP($D172,$C$5:$AU$503,18,)/VLOOKUP($D172,$C$5:$AU$503,3,))*$E172)</f>
        <v>0</v>
      </c>
      <c r="U172" s="66">
        <f>IF(VLOOKUP($D172,$C$5:$AU$503,3,)=0,0,(VLOOKUP($D172,$C$5:$AU$503,19,)/VLOOKUP($D172,$C$5:$AU$503,3,))*$E172)</f>
        <v>0</v>
      </c>
      <c r="V172" s="66">
        <f>IF(VLOOKUP($D172,$C$5:$AU$503,3,)=0,0,(VLOOKUP($D172,$C$5:$AU$503,20,)/VLOOKUP($D172,$C$5:$AU$503,3,))*$E172)</f>
        <v>0</v>
      </c>
      <c r="W172" s="66">
        <f>IF(VLOOKUP($D172,$C$5:$AU$503,3,)=0,0,(VLOOKUP($D172,$C$5:$AU$503,21,)/VLOOKUP($D172,$C$5:$AU$503,3,))*$E172)</f>
        <v>0</v>
      </c>
      <c r="X172" s="66">
        <f>IF(VLOOKUP($D172,$C$5:$AU$503,3,)=0,0,(VLOOKUP($D172,$C$5:$AU$503,22,)/VLOOKUP($D172,$C$5:$AU$503,3,))*$E172)</f>
        <v>0</v>
      </c>
      <c r="Y172" s="66">
        <f>IF(VLOOKUP($D172,$C$5:$AU$503,3,)=0,0,(VLOOKUP($D172,$C$5:$AU$503,23,)/VLOOKUP($D172,$C$5:$AU$503,3,))*$E172)</f>
        <v>0</v>
      </c>
      <c r="Z172" s="66">
        <f>IF(VLOOKUP($D172,$C$5:$AU$503,3,)=0,0,(VLOOKUP($D172,$C$5:$AU$503,24,)/VLOOKUP($D172,$C$5:$AU$503,3,))*$E172)</f>
        <v>0</v>
      </c>
      <c r="AA172" s="66">
        <f>IF(VLOOKUP($D172,$C$5:$AU$503,3,)=0,0,(VLOOKUP($D172,$C$5:$AU$503,25,)/VLOOKUP($D172,$C$5:$AU$503,3,))*$E172)</f>
        <v>0</v>
      </c>
      <c r="AB172" s="66">
        <f>IF(VLOOKUP($D172,$C$5:$AU$503,3,)=0,0,(VLOOKUP($D172,$C$5:$AU$503,26,)/VLOOKUP($D172,$C$5:$AU$503,3,))*$E172)</f>
        <v>0</v>
      </c>
      <c r="AC172" s="66">
        <f>IF(VLOOKUP($D172,$C$5:$AU$503,3,)=0,0,(VLOOKUP($D172,$C$5:$AU$503,27,)/VLOOKUP($D172,$C$5:$AU$503,3,))*$E172)</f>
        <v>0</v>
      </c>
      <c r="AD172" s="66">
        <f>IF(VLOOKUP($D172,$C$5:$AU$503,3,)=0,0,(VLOOKUP($D172,$C$5:$AU$503,28,)/VLOOKUP($D172,$C$5:$AU$503,3,))*$E172)</f>
        <v>0</v>
      </c>
      <c r="AE172" s="66">
        <f>IF(VLOOKUP($D172,$C$5:$AU$503,3,)=0,0,(VLOOKUP($D172,$C$5:$AU$503,29,)/VLOOKUP($D172,$C$5:$AU$503,3,))*$E172)</f>
        <v>0</v>
      </c>
      <c r="AF172" s="66">
        <f>IF(VLOOKUP($D172,$C$5:$AU$503,3,)=0,0,(VLOOKUP($D172,$C$5:$AU$503,30,)/VLOOKUP($D172,$C$5:$AU$503,3,))*$E172)</f>
        <v>0</v>
      </c>
      <c r="AG172" s="93">
        <f>SUM(F172:AF172)</f>
        <v>5081221.9394357707</v>
      </c>
      <c r="AH172" s="30" t="str">
        <f>IF(ABS(E172-AG172)&lt;0.01,"ok","err")</f>
        <v>ok</v>
      </c>
    </row>
    <row r="173" spans="1:34" x14ac:dyDescent="0.2">
      <c r="A173" s="96" t="s">
        <v>221</v>
      </c>
      <c r="C173" s="14" t="s">
        <v>279</v>
      </c>
      <c r="D173" s="14" t="s">
        <v>223</v>
      </c>
      <c r="E173" s="234">
        <f>'Func &amp; Classif'!P462</f>
        <v>2132190.2816435173</v>
      </c>
      <c r="F173" s="66">
        <f>IF(VLOOKUP($D173,$C$5:$AU$503,3,)=0,0,(VLOOKUP($D173,$C$5:$AU$503,4,)/VLOOKUP($D173,$C$5:$AU$503,3,))*$E173)</f>
        <v>1965735.5310169389</v>
      </c>
      <c r="G173" s="66">
        <f>IF(VLOOKUP($D173,$C$5:$AU$503,3,)=0,0,(VLOOKUP($D173,$C$5:$AU$503,5,)/VLOOKUP($D173,$C$5:$AU$503,3,))*$E173)</f>
        <v>147138.15218577866</v>
      </c>
      <c r="H173" s="66">
        <f>IF(VLOOKUP($D173,$C$5:$AU$503,3,)=0,0,(VLOOKUP($D173,$C$5:$AU$503,6,)/VLOOKUP($D173,$C$5:$AU$503,3,))*$E173)</f>
        <v>13461.254538432262</v>
      </c>
      <c r="I173" s="66">
        <f>IF(VLOOKUP($D173,$C$5:$AU$503,3,)=0,0,(VLOOKUP($D173,$C$5:$AU$503,7,)/VLOOKUP($D173,$C$5:$AU$503,3,))*$E173)</f>
        <v>30.182185063749465</v>
      </c>
      <c r="J173" s="66">
        <f>IF(VLOOKUP($D173,$C$5:$AU$503,3,)=0,0,(VLOOKUP($D173,$C$5:$AU$503,8,)/VLOOKUP($D173,$C$5:$AU$503,3,))*$E173)</f>
        <v>60.36437012749893</v>
      </c>
      <c r="K173" s="66">
        <f>IF(VLOOKUP($D173,$C$5:$AU$503,3,)=0,0,(VLOOKUP($D173,$C$5:$AU$503,9,)/VLOOKUP($D173,$C$5:$AU$503,3,))*$E173)</f>
        <v>271.63966557374522</v>
      </c>
      <c r="L173" s="66">
        <f>IF(VLOOKUP($D173,$C$5:$AU$503,3,)=0,0,(VLOOKUP($D173,$C$5:$AU$503,10,)/VLOOKUP($D173,$C$5:$AU$503,3,))*$E173)</f>
        <v>4285.8702790524248</v>
      </c>
      <c r="M173" s="66">
        <f>IF(VLOOKUP($D173,$C$5:$AU$503,3,)=0,0,(VLOOKUP($D173,$C$5:$AU$503,11,)/VLOOKUP($D173,$C$5:$AU$503,3,))*$E173)</f>
        <v>513.09714608374088</v>
      </c>
      <c r="N173" s="66">
        <f>IF(VLOOKUP($D173,$C$5:$AU$503,3,)=0,0,(VLOOKUP($D173,$C$5:$AU$503,12,)/VLOOKUP($D173,$C$5:$AU$503,3,))*$E173)</f>
        <v>694.19025646623777</v>
      </c>
      <c r="O173" s="66">
        <f>IF(VLOOKUP($D173,$C$5:$AU$503,3,)=0,0,(VLOOKUP($D173,$C$5:$AU$503,13,)/VLOOKUP($D173,$C$5:$AU$503,3,))*$E173)</f>
        <v>0</v>
      </c>
      <c r="P173" s="66">
        <f>IF(VLOOKUP($D173,$C$5:$AU$503,3,)=0,0,(VLOOKUP($D173,$C$5:$AU$503,14,)/VLOOKUP($D173,$C$5:$AU$503,3,))*$E173)</f>
        <v>0</v>
      </c>
      <c r="Q173" s="66">
        <f>IF(VLOOKUP($D173,$C$5:$AU$503,3,)=0,0,(VLOOKUP($D173,$C$5:$AU$503,15,)/VLOOKUP($D173,$C$5:$AU$503,3,))*$E173)</f>
        <v>0</v>
      </c>
      <c r="R173" s="66">
        <f>IF(VLOOKUP($D173,$C$5:$AU$503,3,)=0,0,(VLOOKUP($D173,$C$5:$AU$503,16,)/VLOOKUP($D173,$C$5:$AU$503,3,))*$E173)</f>
        <v>0</v>
      </c>
      <c r="S173" s="66">
        <f>IF(VLOOKUP($D173,$C$5:$AU$503,3,)=0,0,(VLOOKUP($D173,$C$5:$AU$503,17,)/VLOOKUP($D173,$C$5:$AU$503,3,))*$E173)</f>
        <v>0</v>
      </c>
      <c r="T173" s="66">
        <f>IF(VLOOKUP($D173,$C$5:$AU$503,3,)=0,0,(VLOOKUP($D173,$C$5:$AU$503,18,)/VLOOKUP($D173,$C$5:$AU$503,3,))*$E173)</f>
        <v>0</v>
      </c>
      <c r="U173" s="66">
        <f>IF(VLOOKUP($D173,$C$5:$AU$503,3,)=0,0,(VLOOKUP($D173,$C$5:$AU$503,19,)/VLOOKUP($D173,$C$5:$AU$503,3,))*$E173)</f>
        <v>0</v>
      </c>
      <c r="V173" s="66">
        <f>IF(VLOOKUP($D173,$C$5:$AU$503,3,)=0,0,(VLOOKUP($D173,$C$5:$AU$503,20,)/VLOOKUP($D173,$C$5:$AU$503,3,))*$E173)</f>
        <v>0</v>
      </c>
      <c r="W173" s="66">
        <f>IF(VLOOKUP($D173,$C$5:$AU$503,3,)=0,0,(VLOOKUP($D173,$C$5:$AU$503,21,)/VLOOKUP($D173,$C$5:$AU$503,3,))*$E173)</f>
        <v>0</v>
      </c>
      <c r="X173" s="66">
        <f>IF(VLOOKUP($D173,$C$5:$AU$503,3,)=0,0,(VLOOKUP($D173,$C$5:$AU$503,22,)/VLOOKUP($D173,$C$5:$AU$503,3,))*$E173)</f>
        <v>0</v>
      </c>
      <c r="Y173" s="66">
        <f>IF(VLOOKUP($D173,$C$5:$AU$503,3,)=0,0,(VLOOKUP($D173,$C$5:$AU$503,23,)/VLOOKUP($D173,$C$5:$AU$503,3,))*$E173)</f>
        <v>0</v>
      </c>
      <c r="Z173" s="66">
        <f>IF(VLOOKUP($D173,$C$5:$AU$503,3,)=0,0,(VLOOKUP($D173,$C$5:$AU$503,24,)/VLOOKUP($D173,$C$5:$AU$503,3,))*$E173)</f>
        <v>0</v>
      </c>
      <c r="AA173" s="66">
        <f>IF(VLOOKUP($D173,$C$5:$AU$503,3,)=0,0,(VLOOKUP($D173,$C$5:$AU$503,25,)/VLOOKUP($D173,$C$5:$AU$503,3,))*$E173)</f>
        <v>0</v>
      </c>
      <c r="AB173" s="66">
        <f>IF(VLOOKUP($D173,$C$5:$AU$503,3,)=0,0,(VLOOKUP($D173,$C$5:$AU$503,26,)/VLOOKUP($D173,$C$5:$AU$503,3,))*$E173)</f>
        <v>0</v>
      </c>
      <c r="AC173" s="66">
        <f>IF(VLOOKUP($D173,$C$5:$AU$503,3,)=0,0,(VLOOKUP($D173,$C$5:$AU$503,27,)/VLOOKUP($D173,$C$5:$AU$503,3,))*$E173)</f>
        <v>0</v>
      </c>
      <c r="AD173" s="66">
        <f>IF(VLOOKUP($D173,$C$5:$AU$503,3,)=0,0,(VLOOKUP($D173,$C$5:$AU$503,28,)/VLOOKUP($D173,$C$5:$AU$503,3,))*$E173)</f>
        <v>0</v>
      </c>
      <c r="AE173" s="66">
        <f>IF(VLOOKUP($D173,$C$5:$AU$503,3,)=0,0,(VLOOKUP($D173,$C$5:$AU$503,29,)/VLOOKUP($D173,$C$5:$AU$503,3,))*$E173)</f>
        <v>0</v>
      </c>
      <c r="AF173" s="66">
        <f>IF(VLOOKUP($D173,$C$5:$AU$503,3,)=0,0,(VLOOKUP($D173,$C$5:$AU$503,30,)/VLOOKUP($D173,$C$5:$AU$503,3,))*$E173)</f>
        <v>0</v>
      </c>
      <c r="AG173" s="93">
        <f>SUM(F173:AF173)</f>
        <v>2132190.2816435168</v>
      </c>
      <c r="AH173" s="30" t="str">
        <f>IF(ABS(E173-AG173)&lt;0.01,"ok","err")</f>
        <v>ok</v>
      </c>
    </row>
    <row r="174" spans="1:34" x14ac:dyDescent="0.2">
      <c r="A174" s="14" t="s">
        <v>224</v>
      </c>
      <c r="E174" s="233">
        <f t="shared" ref="E174:T174" si="35">E172+E173</f>
        <v>7213412.2210792881</v>
      </c>
      <c r="F174" s="66">
        <f t="shared" si="35"/>
        <v>5987406.6258400735</v>
      </c>
      <c r="G174" s="66">
        <f t="shared" si="35"/>
        <v>433831.85651551315</v>
      </c>
      <c r="H174" s="66">
        <f t="shared" si="35"/>
        <v>430752.60283903603</v>
      </c>
      <c r="I174" s="66">
        <f t="shared" si="35"/>
        <v>14362.606472788313</v>
      </c>
      <c r="J174" s="66">
        <f t="shared" si="35"/>
        <v>114047.22202132201</v>
      </c>
      <c r="K174" s="66">
        <f t="shared" si="35"/>
        <v>123720.86790061936</v>
      </c>
      <c r="L174" s="66">
        <f t="shared" si="35"/>
        <v>50590.879744431739</v>
      </c>
      <c r="M174" s="66">
        <f t="shared" si="35"/>
        <v>33094.056981123977</v>
      </c>
      <c r="N174" s="66">
        <f t="shared" si="35"/>
        <v>25605.502764379256</v>
      </c>
      <c r="O174" s="66">
        <f t="shared" si="35"/>
        <v>0</v>
      </c>
      <c r="P174" s="66">
        <f t="shared" si="35"/>
        <v>0</v>
      </c>
      <c r="Q174" s="66">
        <f t="shared" si="35"/>
        <v>0</v>
      </c>
      <c r="R174" s="66">
        <f t="shared" si="35"/>
        <v>0</v>
      </c>
      <c r="S174" s="66">
        <f t="shared" si="35"/>
        <v>0</v>
      </c>
      <c r="T174" s="66">
        <f t="shared" si="35"/>
        <v>0</v>
      </c>
      <c r="U174" s="66">
        <f t="shared" ref="U174:AF174" si="36">U172+U173</f>
        <v>0</v>
      </c>
      <c r="V174" s="66">
        <f t="shared" si="36"/>
        <v>0</v>
      </c>
      <c r="W174" s="66">
        <f t="shared" si="36"/>
        <v>0</v>
      </c>
      <c r="X174" s="66">
        <f t="shared" si="36"/>
        <v>0</v>
      </c>
      <c r="Y174" s="66">
        <f t="shared" si="36"/>
        <v>0</v>
      </c>
      <c r="Z174" s="66">
        <f t="shared" si="36"/>
        <v>0</v>
      </c>
      <c r="AA174" s="66">
        <f t="shared" si="36"/>
        <v>0</v>
      </c>
      <c r="AB174" s="66">
        <f t="shared" si="36"/>
        <v>0</v>
      </c>
      <c r="AC174" s="66">
        <f t="shared" si="36"/>
        <v>0</v>
      </c>
      <c r="AD174" s="66">
        <f t="shared" si="36"/>
        <v>0</v>
      </c>
      <c r="AE174" s="66">
        <f t="shared" si="36"/>
        <v>0</v>
      </c>
      <c r="AF174" s="66">
        <f t="shared" si="36"/>
        <v>0</v>
      </c>
      <c r="AG174" s="93">
        <f>SUM(F174:AF174)</f>
        <v>7213412.2210792871</v>
      </c>
      <c r="AH174" s="30" t="str">
        <f>IF(ABS(E174-AG174)&lt;0.01,"ok","err")</f>
        <v>ok</v>
      </c>
    </row>
    <row r="175" spans="1:34" x14ac:dyDescent="0.2">
      <c r="E175" s="234"/>
    </row>
    <row r="176" spans="1:34" x14ac:dyDescent="0.2">
      <c r="A176" s="13" t="s">
        <v>3</v>
      </c>
      <c r="E176" s="234"/>
    </row>
    <row r="177" spans="1:34" x14ac:dyDescent="0.2">
      <c r="A177" s="96" t="s">
        <v>209</v>
      </c>
      <c r="C177" s="14" t="s">
        <v>280</v>
      </c>
      <c r="D177" s="14" t="s">
        <v>699</v>
      </c>
      <c r="E177" s="233">
        <f>'Func &amp; Classif'!R462</f>
        <v>0</v>
      </c>
      <c r="F177" s="66">
        <f>IF(VLOOKUP($D177,$C$5:$AU$503,3,)=0,0,(VLOOKUP($D177,$C$5:$AU$503,4,)/VLOOKUP($D177,$C$5:$AU$503,3,))*$E177)</f>
        <v>0</v>
      </c>
      <c r="G177" s="66">
        <f>IF(VLOOKUP($D177,$C$5:$AU$503,3,)=0,0,(VLOOKUP($D177,$C$5:$AU$503,5,)/VLOOKUP($D177,$C$5:$AU$503,3,))*$E177)</f>
        <v>0</v>
      </c>
      <c r="H177" s="66">
        <f>IF(VLOOKUP($D177,$C$5:$AU$503,3,)=0,0,(VLOOKUP($D177,$C$5:$AU$503,6,)/VLOOKUP($D177,$C$5:$AU$503,3,))*$E177)</f>
        <v>0</v>
      </c>
      <c r="I177" s="66">
        <f>IF(VLOOKUP($D177,$C$5:$AU$503,3,)=0,0,(VLOOKUP($D177,$C$5:$AU$503,7,)/VLOOKUP($D177,$C$5:$AU$503,3,))*$E177)</f>
        <v>0</v>
      </c>
      <c r="J177" s="66">
        <f>IF(VLOOKUP($D177,$C$5:$AU$503,3,)=0,0,(VLOOKUP($D177,$C$5:$AU$503,8,)/VLOOKUP($D177,$C$5:$AU$503,3,))*$E177)</f>
        <v>0</v>
      </c>
      <c r="K177" s="66">
        <f>IF(VLOOKUP($D177,$C$5:$AU$503,3,)=0,0,(VLOOKUP($D177,$C$5:$AU$503,9,)/VLOOKUP($D177,$C$5:$AU$503,3,))*$E177)</f>
        <v>0</v>
      </c>
      <c r="L177" s="66">
        <f>IF(VLOOKUP($D177,$C$5:$AU$503,3,)=0,0,(VLOOKUP($D177,$C$5:$AU$503,10,)/VLOOKUP($D177,$C$5:$AU$503,3,))*$E177)</f>
        <v>0</v>
      </c>
      <c r="M177" s="66">
        <f>IF(VLOOKUP($D177,$C$5:$AU$503,3,)=0,0,(VLOOKUP($D177,$C$5:$AU$503,11,)/VLOOKUP($D177,$C$5:$AU$503,3,))*$E177)</f>
        <v>0</v>
      </c>
      <c r="N177" s="66">
        <f>IF(VLOOKUP($D177,$C$5:$AU$503,3,)=0,0,(VLOOKUP($D177,$C$5:$AU$503,12,)/VLOOKUP($D177,$C$5:$AU$503,3,))*$E177)</f>
        <v>0</v>
      </c>
      <c r="O177" s="66">
        <f>IF(VLOOKUP($D177,$C$5:$AU$503,3,)=0,0,(VLOOKUP($D177,$C$5:$AU$503,13,)/VLOOKUP($D177,$C$5:$AU$503,3,))*$E177)</f>
        <v>0</v>
      </c>
      <c r="P177" s="66">
        <f>IF(VLOOKUP($D177,$C$5:$AU$503,3,)=0,0,(VLOOKUP($D177,$C$5:$AU$503,14,)/VLOOKUP($D177,$C$5:$AU$503,3,))*$E177)</f>
        <v>0</v>
      </c>
      <c r="Q177" s="66">
        <f>IF(VLOOKUP($D177,$C$5:$AU$503,3,)=0,0,(VLOOKUP($D177,$C$5:$AU$503,15,)/VLOOKUP($D177,$C$5:$AU$503,3,))*$E177)</f>
        <v>0</v>
      </c>
      <c r="R177" s="66">
        <f>IF(VLOOKUP($D177,$C$5:$AU$503,3,)=0,0,(VLOOKUP($D177,$C$5:$AU$503,16,)/VLOOKUP($D177,$C$5:$AU$503,3,))*$E177)</f>
        <v>0</v>
      </c>
      <c r="S177" s="66">
        <f>IF(VLOOKUP($D177,$C$5:$AU$503,3,)=0,0,(VLOOKUP($D177,$C$5:$AU$503,17,)/VLOOKUP($D177,$C$5:$AU$503,3,))*$E177)</f>
        <v>0</v>
      </c>
      <c r="T177" s="66">
        <f>IF(VLOOKUP($D177,$C$5:$AU$503,3,)=0,0,(VLOOKUP($D177,$C$5:$AU$503,18,)/VLOOKUP($D177,$C$5:$AU$503,3,))*$E177)</f>
        <v>0</v>
      </c>
      <c r="U177" s="66">
        <f>IF(VLOOKUP($D177,$C$5:$AU$503,3,)=0,0,(VLOOKUP($D177,$C$5:$AU$503,19,)/VLOOKUP($D177,$C$5:$AU$503,3,))*$E177)</f>
        <v>0</v>
      </c>
      <c r="V177" s="66">
        <f>IF(VLOOKUP($D177,$C$5:$AU$503,3,)=0,0,(VLOOKUP($D177,$C$5:$AU$503,20,)/VLOOKUP($D177,$C$5:$AU$503,3,))*$E177)</f>
        <v>0</v>
      </c>
      <c r="W177" s="66">
        <f>IF(VLOOKUP($D177,$C$5:$AU$503,3,)=0,0,(VLOOKUP($D177,$C$5:$AU$503,21,)/VLOOKUP($D177,$C$5:$AU$503,3,))*$E177)</f>
        <v>0</v>
      </c>
      <c r="X177" s="66">
        <f>IF(VLOOKUP($D177,$C$5:$AU$503,3,)=0,0,(VLOOKUP($D177,$C$5:$AU$503,22,)/VLOOKUP($D177,$C$5:$AU$503,3,))*$E177)</f>
        <v>0</v>
      </c>
      <c r="Y177" s="66">
        <f>IF(VLOOKUP($D177,$C$5:$AU$503,3,)=0,0,(VLOOKUP($D177,$C$5:$AU$503,23,)/VLOOKUP($D177,$C$5:$AU$503,3,))*$E177)</f>
        <v>0</v>
      </c>
      <c r="Z177" s="66">
        <f>IF(VLOOKUP($D177,$C$5:$AU$503,3,)=0,0,(VLOOKUP($D177,$C$5:$AU$503,24,)/VLOOKUP($D177,$C$5:$AU$503,3,))*$E177)</f>
        <v>0</v>
      </c>
      <c r="AA177" s="66">
        <f>IF(VLOOKUP($D177,$C$5:$AU$503,3,)=0,0,(VLOOKUP($D177,$C$5:$AU$503,25,)/VLOOKUP($D177,$C$5:$AU$503,3,))*$E177)</f>
        <v>0</v>
      </c>
      <c r="AB177" s="66">
        <f>IF(VLOOKUP($D177,$C$5:$AU$503,3,)=0,0,(VLOOKUP($D177,$C$5:$AU$503,26,)/VLOOKUP($D177,$C$5:$AU$503,3,))*$E177)</f>
        <v>0</v>
      </c>
      <c r="AC177" s="66">
        <f>IF(VLOOKUP($D177,$C$5:$AU$503,3,)=0,0,(VLOOKUP($D177,$C$5:$AU$503,27,)/VLOOKUP($D177,$C$5:$AU$503,3,))*$E177)</f>
        <v>0</v>
      </c>
      <c r="AD177" s="66">
        <f>IF(VLOOKUP($D177,$C$5:$AU$503,3,)=0,0,(VLOOKUP($D177,$C$5:$AU$503,28,)/VLOOKUP($D177,$C$5:$AU$503,3,))*$E177)</f>
        <v>0</v>
      </c>
      <c r="AE177" s="66">
        <f>IF(VLOOKUP($D177,$C$5:$AU$503,3,)=0,0,(VLOOKUP($D177,$C$5:$AU$503,29,)/VLOOKUP($D177,$C$5:$AU$503,3,))*$E177)</f>
        <v>0</v>
      </c>
      <c r="AF177" s="66">
        <f>IF(VLOOKUP($D177,$C$5:$AU$503,3,)=0,0,(VLOOKUP($D177,$C$5:$AU$503,30,)/VLOOKUP($D177,$C$5:$AU$503,3,))*$E177)</f>
        <v>0</v>
      </c>
      <c r="AG177" s="93">
        <f>SUM(F177:AF177)</f>
        <v>0</v>
      </c>
      <c r="AH177" s="30" t="str">
        <f>IF(ABS(E177-AG177)&lt;0.01,"ok","err")</f>
        <v>ok</v>
      </c>
    </row>
    <row r="178" spans="1:34" x14ac:dyDescent="0.2">
      <c r="A178" s="96" t="s">
        <v>221</v>
      </c>
      <c r="C178" s="14" t="s">
        <v>281</v>
      </c>
      <c r="D178" s="14" t="s">
        <v>699</v>
      </c>
      <c r="E178" s="234">
        <f>'Func &amp; Classif'!S462</f>
        <v>159013.30112941953</v>
      </c>
      <c r="F178" s="66">
        <f>IF(VLOOKUP($D178,$C$5:$AU$503,3,)=0,0,(VLOOKUP($D178,$C$5:$AU$503,4,)/VLOOKUP($D178,$C$5:$AU$503,3,))*$E178)</f>
        <v>146156.98372478527</v>
      </c>
      <c r="G178" s="66">
        <f>IF(VLOOKUP($D178,$C$5:$AU$503,3,)=0,0,(VLOOKUP($D178,$C$5:$AU$503,5,)/VLOOKUP($D178,$C$5:$AU$503,3,))*$E178)</f>
        <v>10940.061964076345</v>
      </c>
      <c r="H178" s="66">
        <f>IF(VLOOKUP($D178,$C$5:$AU$503,3,)=0,0,(VLOOKUP($D178,$C$5:$AU$503,6,)/VLOOKUP($D178,$C$5:$AU$503,3,))*$E178)</f>
        <v>1588.136046112596</v>
      </c>
      <c r="I178" s="66">
        <f>IF(VLOOKUP($D178,$C$5:$AU$503,3,)=0,0,(VLOOKUP($D178,$C$5:$AU$503,7,)/VLOOKUP($D178,$C$5:$AU$503,3,))*$E178)</f>
        <v>3.5608431527188253</v>
      </c>
      <c r="J178" s="66">
        <f>IF(VLOOKUP($D178,$C$5:$AU$503,3,)=0,0,(VLOOKUP($D178,$C$5:$AU$503,8,)/VLOOKUP($D178,$C$5:$AU$503,3,))*$E178)</f>
        <v>9.3847278535209124</v>
      </c>
      <c r="K178" s="66">
        <f>IF(VLOOKUP($D178,$C$5:$AU$503,3,)=0,0,(VLOOKUP($D178,$C$5:$AU$503,9,)/VLOOKUP($D178,$C$5:$AU$503,3,))*$E178)</f>
        <v>12.130389373328024</v>
      </c>
      <c r="L178" s="66">
        <f>IF(VLOOKUP($D178,$C$5:$AU$503,3,)=0,0,(VLOOKUP($D178,$C$5:$AU$503,10,)/VLOOKUP($D178,$C$5:$AU$503,3,))*$E178)</f>
        <v>191.39058789028661</v>
      </c>
      <c r="M178" s="66">
        <f>IF(VLOOKUP($D178,$C$5:$AU$503,3,)=0,0,(VLOOKUP($D178,$C$5:$AU$503,11,)/VLOOKUP($D178,$C$5:$AU$503,3,))*$E178)</f>
        <v>22.91295770517516</v>
      </c>
      <c r="N178" s="66">
        <f>IF(VLOOKUP($D178,$C$5:$AU$503,3,)=0,0,(VLOOKUP($D178,$C$5:$AU$503,12,)/VLOOKUP($D178,$C$5:$AU$503,3,))*$E178)</f>
        <v>88.73988847029959</v>
      </c>
      <c r="O178" s="66">
        <f>IF(VLOOKUP($D178,$C$5:$AU$503,3,)=0,0,(VLOOKUP($D178,$C$5:$AU$503,13,)/VLOOKUP($D178,$C$5:$AU$503,3,))*$E178)</f>
        <v>0</v>
      </c>
      <c r="P178" s="66">
        <f>IF(VLOOKUP($D178,$C$5:$AU$503,3,)=0,0,(VLOOKUP($D178,$C$5:$AU$503,14,)/VLOOKUP($D178,$C$5:$AU$503,3,))*$E178)</f>
        <v>0</v>
      </c>
      <c r="Q178" s="66">
        <f>IF(VLOOKUP($D178,$C$5:$AU$503,3,)=0,0,(VLOOKUP($D178,$C$5:$AU$503,15,)/VLOOKUP($D178,$C$5:$AU$503,3,))*$E178)</f>
        <v>0</v>
      </c>
      <c r="R178" s="66">
        <f>IF(VLOOKUP($D178,$C$5:$AU$503,3,)=0,0,(VLOOKUP($D178,$C$5:$AU$503,16,)/VLOOKUP($D178,$C$5:$AU$503,3,))*$E178)</f>
        <v>0</v>
      </c>
      <c r="S178" s="66">
        <f>IF(VLOOKUP($D178,$C$5:$AU$503,3,)=0,0,(VLOOKUP($D178,$C$5:$AU$503,17,)/VLOOKUP($D178,$C$5:$AU$503,3,))*$E178)</f>
        <v>0</v>
      </c>
      <c r="T178" s="66">
        <f>IF(VLOOKUP($D178,$C$5:$AU$503,3,)=0,0,(VLOOKUP($D178,$C$5:$AU$503,18,)/VLOOKUP($D178,$C$5:$AU$503,3,))*$E178)</f>
        <v>0</v>
      </c>
      <c r="U178" s="66">
        <f>IF(VLOOKUP($D178,$C$5:$AU$503,3,)=0,0,(VLOOKUP($D178,$C$5:$AU$503,19,)/VLOOKUP($D178,$C$5:$AU$503,3,))*$E178)</f>
        <v>0</v>
      </c>
      <c r="V178" s="66">
        <f>IF(VLOOKUP($D178,$C$5:$AU$503,3,)=0,0,(VLOOKUP($D178,$C$5:$AU$503,20,)/VLOOKUP($D178,$C$5:$AU$503,3,))*$E178)</f>
        <v>0</v>
      </c>
      <c r="W178" s="66">
        <f>IF(VLOOKUP($D178,$C$5:$AU$503,3,)=0,0,(VLOOKUP($D178,$C$5:$AU$503,21,)/VLOOKUP($D178,$C$5:$AU$503,3,))*$E178)</f>
        <v>0</v>
      </c>
      <c r="X178" s="66">
        <f>IF(VLOOKUP($D178,$C$5:$AU$503,3,)=0,0,(VLOOKUP($D178,$C$5:$AU$503,22,)/VLOOKUP($D178,$C$5:$AU$503,3,))*$E178)</f>
        <v>0</v>
      </c>
      <c r="Y178" s="66">
        <f>IF(VLOOKUP($D178,$C$5:$AU$503,3,)=0,0,(VLOOKUP($D178,$C$5:$AU$503,23,)/VLOOKUP($D178,$C$5:$AU$503,3,))*$E178)</f>
        <v>0</v>
      </c>
      <c r="Z178" s="66">
        <f>IF(VLOOKUP($D178,$C$5:$AU$503,3,)=0,0,(VLOOKUP($D178,$C$5:$AU$503,24,)/VLOOKUP($D178,$C$5:$AU$503,3,))*$E178)</f>
        <v>0</v>
      </c>
      <c r="AA178" s="66">
        <f>IF(VLOOKUP($D178,$C$5:$AU$503,3,)=0,0,(VLOOKUP($D178,$C$5:$AU$503,25,)/VLOOKUP($D178,$C$5:$AU$503,3,))*$E178)</f>
        <v>0</v>
      </c>
      <c r="AB178" s="66">
        <f>IF(VLOOKUP($D178,$C$5:$AU$503,3,)=0,0,(VLOOKUP($D178,$C$5:$AU$503,26,)/VLOOKUP($D178,$C$5:$AU$503,3,))*$E178)</f>
        <v>0</v>
      </c>
      <c r="AC178" s="66">
        <f>IF(VLOOKUP($D178,$C$5:$AU$503,3,)=0,0,(VLOOKUP($D178,$C$5:$AU$503,27,)/VLOOKUP($D178,$C$5:$AU$503,3,))*$E178)</f>
        <v>0</v>
      </c>
      <c r="AD178" s="66">
        <f>IF(VLOOKUP($D178,$C$5:$AU$503,3,)=0,0,(VLOOKUP($D178,$C$5:$AU$503,28,)/VLOOKUP($D178,$C$5:$AU$503,3,))*$E178)</f>
        <v>0</v>
      </c>
      <c r="AE178" s="66">
        <f>IF(VLOOKUP($D178,$C$5:$AU$503,3,)=0,0,(VLOOKUP($D178,$C$5:$AU$503,29,)/VLOOKUP($D178,$C$5:$AU$503,3,))*$E178)</f>
        <v>0</v>
      </c>
      <c r="AF178" s="66">
        <f>IF(VLOOKUP($D178,$C$5:$AU$503,3,)=0,0,(VLOOKUP($D178,$C$5:$AU$503,30,)/VLOOKUP($D178,$C$5:$AU$503,3,))*$E178)</f>
        <v>0</v>
      </c>
      <c r="AG178" s="93">
        <f>SUM(F178:AF178)</f>
        <v>159013.30112941956</v>
      </c>
      <c r="AH178" s="30" t="str">
        <f>IF(ABS(E178-AG178)&lt;0.01,"ok","err")</f>
        <v>ok</v>
      </c>
    </row>
    <row r="179" spans="1:34" x14ac:dyDescent="0.2">
      <c r="A179" s="14" t="s">
        <v>228</v>
      </c>
      <c r="E179" s="233">
        <f t="shared" ref="E179:T179" si="37">E177+E178</f>
        <v>159013.30112941953</v>
      </c>
      <c r="F179" s="66">
        <f t="shared" si="37"/>
        <v>146156.98372478527</v>
      </c>
      <c r="G179" s="66">
        <f t="shared" si="37"/>
        <v>10940.061964076345</v>
      </c>
      <c r="H179" s="66">
        <f t="shared" si="37"/>
        <v>1588.136046112596</v>
      </c>
      <c r="I179" s="66">
        <f t="shared" si="37"/>
        <v>3.5608431527188253</v>
      </c>
      <c r="J179" s="66">
        <f t="shared" si="37"/>
        <v>9.3847278535209124</v>
      </c>
      <c r="K179" s="66">
        <f t="shared" si="37"/>
        <v>12.130389373328024</v>
      </c>
      <c r="L179" s="66">
        <f t="shared" si="37"/>
        <v>191.39058789028661</v>
      </c>
      <c r="M179" s="66">
        <f t="shared" si="37"/>
        <v>22.91295770517516</v>
      </c>
      <c r="N179" s="66">
        <f t="shared" si="37"/>
        <v>88.73988847029959</v>
      </c>
      <c r="O179" s="66">
        <f t="shared" si="37"/>
        <v>0</v>
      </c>
      <c r="P179" s="66">
        <f t="shared" si="37"/>
        <v>0</v>
      </c>
      <c r="Q179" s="66">
        <f t="shared" si="37"/>
        <v>0</v>
      </c>
      <c r="R179" s="66">
        <f t="shared" si="37"/>
        <v>0</v>
      </c>
      <c r="S179" s="66">
        <f t="shared" si="37"/>
        <v>0</v>
      </c>
      <c r="T179" s="66">
        <f t="shared" si="37"/>
        <v>0</v>
      </c>
      <c r="U179" s="66">
        <f t="shared" ref="U179:AF179" si="38">U177+U178</f>
        <v>0</v>
      </c>
      <c r="V179" s="66">
        <f t="shared" si="38"/>
        <v>0</v>
      </c>
      <c r="W179" s="66">
        <f t="shared" si="38"/>
        <v>0</v>
      </c>
      <c r="X179" s="66">
        <f t="shared" si="38"/>
        <v>0</v>
      </c>
      <c r="Y179" s="66">
        <f t="shared" si="38"/>
        <v>0</v>
      </c>
      <c r="Z179" s="66">
        <f t="shared" si="38"/>
        <v>0</v>
      </c>
      <c r="AA179" s="66">
        <f t="shared" si="38"/>
        <v>0</v>
      </c>
      <c r="AB179" s="66">
        <f t="shared" si="38"/>
        <v>0</v>
      </c>
      <c r="AC179" s="66">
        <f t="shared" si="38"/>
        <v>0</v>
      </c>
      <c r="AD179" s="66">
        <f t="shared" si="38"/>
        <v>0</v>
      </c>
      <c r="AE179" s="66">
        <f t="shared" si="38"/>
        <v>0</v>
      </c>
      <c r="AF179" s="66">
        <f t="shared" si="38"/>
        <v>0</v>
      </c>
      <c r="AG179" s="93">
        <f>SUM(F179:AF179)</f>
        <v>159013.30112941956</v>
      </c>
      <c r="AH179" s="30" t="str">
        <f>IF(ABS(E179-AG179)&lt;0.01,"ok","err")</f>
        <v>ok</v>
      </c>
    </row>
    <row r="180" spans="1:34" x14ac:dyDescent="0.2">
      <c r="E180" s="234"/>
    </row>
    <row r="181" spans="1:34" x14ac:dyDescent="0.2">
      <c r="A181" s="13" t="s">
        <v>4</v>
      </c>
      <c r="E181" s="234"/>
    </row>
    <row r="182" spans="1:34" x14ac:dyDescent="0.2">
      <c r="A182" s="96" t="s">
        <v>221</v>
      </c>
      <c r="C182" s="14" t="s">
        <v>282</v>
      </c>
      <c r="D182" s="14" t="s">
        <v>230</v>
      </c>
      <c r="E182" s="233">
        <f>'Func &amp; Classif'!U462</f>
        <v>160940.2814948817</v>
      </c>
      <c r="F182" s="66">
        <f>IF(VLOOKUP($D182,$C$5:$AU$503,3,)=0,0,(VLOOKUP($D182,$C$5:$AU$503,4,)/VLOOKUP($D182,$C$5:$AU$503,3,))*$E182)</f>
        <v>105313.18761945669</v>
      </c>
      <c r="G182" s="66">
        <f>IF(VLOOKUP($D182,$C$5:$AU$503,3,)=0,0,(VLOOKUP($D182,$C$5:$AU$503,5,)/VLOOKUP($D182,$C$5:$AU$503,3,))*$E182)</f>
        <v>43114.334040612077</v>
      </c>
      <c r="H182" s="66">
        <f>IF(VLOOKUP($D182,$C$5:$AU$503,3,)=0,0,(VLOOKUP($D182,$C$5:$AU$503,6,)/VLOOKUP($D182,$C$5:$AU$503,3,))*$E182)</f>
        <v>9912.5348438217352</v>
      </c>
      <c r="I182" s="66">
        <f>IF(VLOOKUP($D182,$C$5:$AU$503,3,)=0,0,(VLOOKUP($D182,$C$5:$AU$503,7,)/VLOOKUP($D182,$C$5:$AU$503,3,))*$E182)</f>
        <v>100.31961384114865</v>
      </c>
      <c r="J182" s="66">
        <f>IF(VLOOKUP($D182,$C$5:$AU$503,3,)=0,0,(VLOOKUP($D182,$C$5:$AU$503,8,)/VLOOKUP($D182,$C$5:$AU$503,3,))*$E182)</f>
        <v>200.6392276822973</v>
      </c>
      <c r="K182" s="66">
        <f>IF(VLOOKUP($D182,$C$5:$AU$503,3,)=0,0,(VLOOKUP($D182,$C$5:$AU$503,9,)/VLOOKUP($D182,$C$5:$AU$503,3,))*$E182)</f>
        <v>902.87652457033789</v>
      </c>
      <c r="L182" s="66">
        <f>IF(VLOOKUP($D182,$C$5:$AU$503,3,)=0,0,(VLOOKUP($D182,$C$5:$AU$503,10,)/VLOOKUP($D182,$C$5:$AU$503,3,))*$E182)</f>
        <v>955.94032031262964</v>
      </c>
      <c r="M182" s="66">
        <f>IF(VLOOKUP($D182,$C$5:$AU$503,3,)=0,0,(VLOOKUP($D182,$C$5:$AU$503,11,)/VLOOKUP($D182,$C$5:$AU$503,3,))*$E182)</f>
        <v>377.83204561652349</v>
      </c>
      <c r="N182" s="66">
        <f>IF(VLOOKUP($D182,$C$5:$AU$503,3,)=0,0,(VLOOKUP($D182,$C$5:$AU$503,12,)/VLOOKUP($D182,$C$5:$AU$503,3,))*$E182)</f>
        <v>62.617258968282748</v>
      </c>
      <c r="O182" s="66">
        <f>IF(VLOOKUP($D182,$C$5:$AU$503,3,)=0,0,(VLOOKUP($D182,$C$5:$AU$503,13,)/VLOOKUP($D182,$C$5:$AU$503,3,))*$E182)</f>
        <v>0</v>
      </c>
      <c r="P182" s="66">
        <f>IF(VLOOKUP($D182,$C$5:$AU$503,3,)=0,0,(VLOOKUP($D182,$C$5:$AU$503,14,)/VLOOKUP($D182,$C$5:$AU$503,3,))*$E182)</f>
        <v>0</v>
      </c>
      <c r="Q182" s="66">
        <f>IF(VLOOKUP($D182,$C$5:$AU$503,3,)=0,0,(VLOOKUP($D182,$C$5:$AU$503,15,)/VLOOKUP($D182,$C$5:$AU$503,3,))*$E182)</f>
        <v>0</v>
      </c>
      <c r="R182" s="66">
        <f>IF(VLOOKUP($D182,$C$5:$AU$503,3,)=0,0,(VLOOKUP($D182,$C$5:$AU$503,16,)/VLOOKUP($D182,$C$5:$AU$503,3,))*$E182)</f>
        <v>0</v>
      </c>
      <c r="S182" s="66">
        <f>IF(VLOOKUP($D182,$C$5:$AU$503,3,)=0,0,(VLOOKUP($D182,$C$5:$AU$503,17,)/VLOOKUP($D182,$C$5:$AU$503,3,))*$E182)</f>
        <v>0</v>
      </c>
      <c r="T182" s="66">
        <f>IF(VLOOKUP($D182,$C$5:$AU$503,3,)=0,0,(VLOOKUP($D182,$C$5:$AU$503,18,)/VLOOKUP($D182,$C$5:$AU$503,3,))*$E182)</f>
        <v>0</v>
      </c>
      <c r="U182" s="66">
        <f>IF(VLOOKUP($D182,$C$5:$AU$503,3,)=0,0,(VLOOKUP($D182,$C$5:$AU$503,19,)/VLOOKUP($D182,$C$5:$AU$503,3,))*$E182)</f>
        <v>0</v>
      </c>
      <c r="V182" s="66">
        <f>IF(VLOOKUP($D182,$C$5:$AU$503,3,)=0,0,(VLOOKUP($D182,$C$5:$AU$503,20,)/VLOOKUP($D182,$C$5:$AU$503,3,))*$E182)</f>
        <v>0</v>
      </c>
      <c r="W182" s="66">
        <f>IF(VLOOKUP($D182,$C$5:$AU$503,3,)=0,0,(VLOOKUP($D182,$C$5:$AU$503,21,)/VLOOKUP($D182,$C$5:$AU$503,3,))*$E182)</f>
        <v>0</v>
      </c>
      <c r="X182" s="66">
        <f>IF(VLOOKUP($D182,$C$5:$AU$503,3,)=0,0,(VLOOKUP($D182,$C$5:$AU$503,22,)/VLOOKUP($D182,$C$5:$AU$503,3,))*$E182)</f>
        <v>0</v>
      </c>
      <c r="Y182" s="66">
        <f>IF(VLOOKUP($D182,$C$5:$AU$503,3,)=0,0,(VLOOKUP($D182,$C$5:$AU$503,23,)/VLOOKUP($D182,$C$5:$AU$503,3,))*$E182)</f>
        <v>0</v>
      </c>
      <c r="Z182" s="66">
        <f>IF(VLOOKUP($D182,$C$5:$AU$503,3,)=0,0,(VLOOKUP($D182,$C$5:$AU$503,24,)/VLOOKUP($D182,$C$5:$AU$503,3,))*$E182)</f>
        <v>0</v>
      </c>
      <c r="AA182" s="66">
        <f>IF(VLOOKUP($D182,$C$5:$AU$503,3,)=0,0,(VLOOKUP($D182,$C$5:$AU$503,25,)/VLOOKUP($D182,$C$5:$AU$503,3,))*$E182)</f>
        <v>0</v>
      </c>
      <c r="AB182" s="66">
        <f>IF(VLOOKUP($D182,$C$5:$AU$503,3,)=0,0,(VLOOKUP($D182,$C$5:$AU$503,26,)/VLOOKUP($D182,$C$5:$AU$503,3,))*$E182)</f>
        <v>0</v>
      </c>
      <c r="AC182" s="66">
        <f>IF(VLOOKUP($D182,$C$5:$AU$503,3,)=0,0,(VLOOKUP($D182,$C$5:$AU$503,27,)/VLOOKUP($D182,$C$5:$AU$503,3,))*$E182)</f>
        <v>0</v>
      </c>
      <c r="AD182" s="66">
        <f>IF(VLOOKUP($D182,$C$5:$AU$503,3,)=0,0,(VLOOKUP($D182,$C$5:$AU$503,28,)/VLOOKUP($D182,$C$5:$AU$503,3,))*$E182)</f>
        <v>0</v>
      </c>
      <c r="AE182" s="66">
        <f>IF(VLOOKUP($D182,$C$5:$AU$503,3,)=0,0,(VLOOKUP($D182,$C$5:$AU$503,29,)/VLOOKUP($D182,$C$5:$AU$503,3,))*$E182)</f>
        <v>0</v>
      </c>
      <c r="AF182" s="66">
        <f>IF(VLOOKUP($D182,$C$5:$AU$503,3,)=0,0,(VLOOKUP($D182,$C$5:$AU$503,30,)/VLOOKUP($D182,$C$5:$AU$503,3,))*$E182)</f>
        <v>0</v>
      </c>
      <c r="AG182" s="93">
        <f>SUM(F182:AF182)</f>
        <v>160940.28149488172</v>
      </c>
      <c r="AH182" s="30" t="str">
        <f>IF(ABS(E182-AG182)&lt;0.01,"ok","err")</f>
        <v>ok</v>
      </c>
    </row>
    <row r="183" spans="1:34" x14ac:dyDescent="0.2">
      <c r="E183" s="234"/>
    </row>
    <row r="184" spans="1:34" x14ac:dyDescent="0.2">
      <c r="A184" s="13" t="s">
        <v>5</v>
      </c>
      <c r="E184" s="234"/>
    </row>
    <row r="185" spans="1:34" x14ac:dyDescent="0.2">
      <c r="A185" s="96" t="s">
        <v>221</v>
      </c>
      <c r="C185" s="14" t="s">
        <v>283</v>
      </c>
      <c r="D185" s="14" t="s">
        <v>232</v>
      </c>
      <c r="E185" s="233">
        <f>'Func &amp; Classif'!W462</f>
        <v>1301093.5418674119</v>
      </c>
      <c r="F185" s="66">
        <f>IF(VLOOKUP($D185,$C$5:$AU$503,3,)=0,0,(VLOOKUP($D185,$C$5:$AU$503,4,)/VLOOKUP($D185,$C$5:$AU$503,3,))*$E185)</f>
        <v>0</v>
      </c>
      <c r="G185" s="66">
        <f>IF(VLOOKUP($D185,$C$5:$AU$503,3,)=0,0,(VLOOKUP($D185,$C$5:$AU$503,5,)/VLOOKUP($D185,$C$5:$AU$503,3,))*$E185)</f>
        <v>0</v>
      </c>
      <c r="H185" s="66">
        <f>IF(VLOOKUP($D185,$C$5:$AU$503,3,)=0,0,(VLOOKUP($D185,$C$5:$AU$503,6,)/VLOOKUP($D185,$C$5:$AU$503,3,))*$E185)</f>
        <v>0</v>
      </c>
      <c r="I185" s="66">
        <f>IF(VLOOKUP($D185,$C$5:$AU$503,3,)=0,0,(VLOOKUP($D185,$C$5:$AU$503,7,)/VLOOKUP($D185,$C$5:$AU$503,3,))*$E185)</f>
        <v>0</v>
      </c>
      <c r="J185" s="66">
        <f>IF(VLOOKUP($D185,$C$5:$AU$503,3,)=0,0,(VLOOKUP($D185,$C$5:$AU$503,8,)/VLOOKUP($D185,$C$5:$AU$503,3,))*$E185)</f>
        <v>0</v>
      </c>
      <c r="K185" s="66">
        <f>IF(VLOOKUP($D185,$C$5:$AU$503,3,)=0,0,(VLOOKUP($D185,$C$5:$AU$503,9,)/VLOOKUP($D185,$C$5:$AU$503,3,))*$E185)</f>
        <v>0</v>
      </c>
      <c r="L185" s="66">
        <f>IF(VLOOKUP($D185,$C$5:$AU$503,3,)=0,0,(VLOOKUP($D185,$C$5:$AU$503,10,)/VLOOKUP($D185,$C$5:$AU$503,3,))*$E185)</f>
        <v>0</v>
      </c>
      <c r="M185" s="66">
        <f>IF(VLOOKUP($D185,$C$5:$AU$503,3,)=0,0,(VLOOKUP($D185,$C$5:$AU$503,11,)/VLOOKUP($D185,$C$5:$AU$503,3,))*$E185)</f>
        <v>0</v>
      </c>
      <c r="N185" s="66">
        <f>IF(VLOOKUP($D185,$C$5:$AU$503,3,)=0,0,(VLOOKUP($D185,$C$5:$AU$503,12,)/VLOOKUP($D185,$C$5:$AU$503,3,))*$E185)</f>
        <v>1301093.5418674119</v>
      </c>
      <c r="O185" s="66">
        <f>IF(VLOOKUP($D185,$C$5:$AU$503,3,)=0,0,(VLOOKUP($D185,$C$5:$AU$503,13,)/VLOOKUP($D185,$C$5:$AU$503,3,))*$E185)</f>
        <v>0</v>
      </c>
      <c r="P185" s="66">
        <f>IF(VLOOKUP($D185,$C$5:$AU$503,3,)=0,0,(VLOOKUP($D185,$C$5:$AU$503,14,)/VLOOKUP($D185,$C$5:$AU$503,3,))*$E185)</f>
        <v>0</v>
      </c>
      <c r="Q185" s="66">
        <f>IF(VLOOKUP($D185,$C$5:$AU$503,3,)=0,0,(VLOOKUP($D185,$C$5:$AU$503,15,)/VLOOKUP($D185,$C$5:$AU$503,3,))*$E185)</f>
        <v>0</v>
      </c>
      <c r="R185" s="66">
        <f>IF(VLOOKUP($D185,$C$5:$AU$503,3,)=0,0,(VLOOKUP($D185,$C$5:$AU$503,16,)/VLOOKUP($D185,$C$5:$AU$503,3,))*$E185)</f>
        <v>0</v>
      </c>
      <c r="S185" s="66">
        <f>IF(VLOOKUP($D185,$C$5:$AU$503,3,)=0,0,(VLOOKUP($D185,$C$5:$AU$503,17,)/VLOOKUP($D185,$C$5:$AU$503,3,))*$E185)</f>
        <v>0</v>
      </c>
      <c r="T185" s="66">
        <f>IF(VLOOKUP($D185,$C$5:$AU$503,3,)=0,0,(VLOOKUP($D185,$C$5:$AU$503,18,)/VLOOKUP($D185,$C$5:$AU$503,3,))*$E185)</f>
        <v>0</v>
      </c>
      <c r="U185" s="66">
        <f>IF(VLOOKUP($D185,$C$5:$AU$503,3,)=0,0,(VLOOKUP($D185,$C$5:$AU$503,19,)/VLOOKUP($D185,$C$5:$AU$503,3,))*$E185)</f>
        <v>0</v>
      </c>
      <c r="V185" s="66">
        <f>IF(VLOOKUP($D185,$C$5:$AU$503,3,)=0,0,(VLOOKUP($D185,$C$5:$AU$503,20,)/VLOOKUP($D185,$C$5:$AU$503,3,))*$E185)</f>
        <v>0</v>
      </c>
      <c r="W185" s="66">
        <f>IF(VLOOKUP($D185,$C$5:$AU$503,3,)=0,0,(VLOOKUP($D185,$C$5:$AU$503,21,)/VLOOKUP($D185,$C$5:$AU$503,3,))*$E185)</f>
        <v>0</v>
      </c>
      <c r="X185" s="66">
        <f>IF(VLOOKUP($D185,$C$5:$AU$503,3,)=0,0,(VLOOKUP($D185,$C$5:$AU$503,22,)/VLOOKUP($D185,$C$5:$AU$503,3,))*$E185)</f>
        <v>0</v>
      </c>
      <c r="Y185" s="66">
        <f>IF(VLOOKUP($D185,$C$5:$AU$503,3,)=0,0,(VLOOKUP($D185,$C$5:$AU$503,23,)/VLOOKUP($D185,$C$5:$AU$503,3,))*$E185)</f>
        <v>0</v>
      </c>
      <c r="Z185" s="66">
        <f>IF(VLOOKUP($D185,$C$5:$AU$503,3,)=0,0,(VLOOKUP($D185,$C$5:$AU$503,24,)/VLOOKUP($D185,$C$5:$AU$503,3,))*$E185)</f>
        <v>0</v>
      </c>
      <c r="AA185" s="66">
        <f>IF(VLOOKUP($D185,$C$5:$AU$503,3,)=0,0,(VLOOKUP($D185,$C$5:$AU$503,25,)/VLOOKUP($D185,$C$5:$AU$503,3,))*$E185)</f>
        <v>0</v>
      </c>
      <c r="AB185" s="66">
        <f>IF(VLOOKUP($D185,$C$5:$AU$503,3,)=0,0,(VLOOKUP($D185,$C$5:$AU$503,26,)/VLOOKUP($D185,$C$5:$AU$503,3,))*$E185)</f>
        <v>0</v>
      </c>
      <c r="AC185" s="66">
        <f>IF(VLOOKUP($D185,$C$5:$AU$503,3,)=0,0,(VLOOKUP($D185,$C$5:$AU$503,27,)/VLOOKUP($D185,$C$5:$AU$503,3,))*$E185)</f>
        <v>0</v>
      </c>
      <c r="AD185" s="66">
        <f>IF(VLOOKUP($D185,$C$5:$AU$503,3,)=0,0,(VLOOKUP($D185,$C$5:$AU$503,28,)/VLOOKUP($D185,$C$5:$AU$503,3,))*$E185)</f>
        <v>0</v>
      </c>
      <c r="AE185" s="66">
        <f>IF(VLOOKUP($D185,$C$5:$AU$503,3,)=0,0,(VLOOKUP($D185,$C$5:$AU$503,29,)/VLOOKUP($D185,$C$5:$AU$503,3,))*$E185)</f>
        <v>0</v>
      </c>
      <c r="AF185" s="66">
        <f>IF(VLOOKUP($D185,$C$5:$AU$503,3,)=0,0,(VLOOKUP($D185,$C$5:$AU$503,30,)/VLOOKUP($D185,$C$5:$AU$503,3,))*$E185)</f>
        <v>0</v>
      </c>
      <c r="AG185" s="93">
        <f>SUM(F185:AF185)</f>
        <v>1301093.5418674119</v>
      </c>
      <c r="AH185" s="30" t="str">
        <f>IF(ABS(E185-AG185)&lt;0.01,"ok","err")</f>
        <v>ok</v>
      </c>
    </row>
    <row r="186" spans="1:34" x14ac:dyDescent="0.2">
      <c r="E186" s="234"/>
    </row>
    <row r="187" spans="1:34" x14ac:dyDescent="0.2">
      <c r="A187" s="13" t="s">
        <v>545</v>
      </c>
      <c r="E187" s="234"/>
    </row>
    <row r="188" spans="1:34" x14ac:dyDescent="0.2">
      <c r="A188" s="96" t="s">
        <v>221</v>
      </c>
      <c r="C188" s="14" t="s">
        <v>284</v>
      </c>
      <c r="D188" s="14" t="s">
        <v>234</v>
      </c>
      <c r="E188" s="233">
        <f>'Func &amp; Classif'!Y462</f>
        <v>3309428.4249263234</v>
      </c>
      <c r="F188" s="66">
        <f>IF(VLOOKUP($D188,$C$5:$AU$503,3,)=0,0,(VLOOKUP($D188,$C$5:$AU$503,4,)/VLOOKUP($D188,$C$5:$AU$503,3,))*$E188)</f>
        <v>3051069.643381271</v>
      </c>
      <c r="G188" s="66">
        <f>IF(VLOOKUP($D188,$C$5:$AU$503,3,)=0,0,(VLOOKUP($D188,$C$5:$AU$503,5,)/VLOOKUP($D188,$C$5:$AU$503,3,))*$E188)</f>
        <v>228376.98278007793</v>
      </c>
      <c r="H188" s="66">
        <f>IF(VLOOKUP($D188,$C$5:$AU$503,3,)=0,0,(VLOOKUP($D188,$C$5:$AU$503,6,)/VLOOKUP($D188,$C$5:$AU$503,3,))*$E188)</f>
        <v>20893.56601434149</v>
      </c>
      <c r="I188" s="66">
        <f>IF(VLOOKUP($D188,$C$5:$AU$503,3,)=0,0,(VLOOKUP($D188,$C$5:$AU$503,7,)/VLOOKUP($D188,$C$5:$AU$503,3,))*$E188)</f>
        <v>46.846560570272402</v>
      </c>
      <c r="J188" s="66">
        <f>IF(VLOOKUP($D188,$C$5:$AU$503,3,)=0,0,(VLOOKUP($D188,$C$5:$AU$503,8,)/VLOOKUP($D188,$C$5:$AU$503,3,))*$E188)</f>
        <v>93.693121140544804</v>
      </c>
      <c r="K188" s="66">
        <f>IF(VLOOKUP($D188,$C$5:$AU$503,3,)=0,0,(VLOOKUP($D188,$C$5:$AU$503,9,)/VLOOKUP($D188,$C$5:$AU$503,3,))*$E188)</f>
        <v>421.61904513245162</v>
      </c>
      <c r="L188" s="66">
        <f>IF(VLOOKUP($D188,$C$5:$AU$503,3,)=0,0,(VLOOKUP($D188,$C$5:$AU$503,10,)/VLOOKUP($D188,$C$5:$AU$503,3,))*$E188)</f>
        <v>6652.2116009786814</v>
      </c>
      <c r="M188" s="66">
        <f>IF(VLOOKUP($D188,$C$5:$AU$503,3,)=0,0,(VLOOKUP($D188,$C$5:$AU$503,11,)/VLOOKUP($D188,$C$5:$AU$503,3,))*$E188)</f>
        <v>796.39152969463078</v>
      </c>
      <c r="N188" s="66">
        <f>IF(VLOOKUP($D188,$C$5:$AU$503,3,)=0,0,(VLOOKUP($D188,$C$5:$AU$503,12,)/VLOOKUP($D188,$C$5:$AU$503,3,))*$E188)</f>
        <v>1077.4708931162652</v>
      </c>
      <c r="O188" s="66">
        <f>IF(VLOOKUP($D188,$C$5:$AU$503,3,)=0,0,(VLOOKUP($D188,$C$5:$AU$503,13,)/VLOOKUP($D188,$C$5:$AU$503,3,))*$E188)</f>
        <v>0</v>
      </c>
      <c r="P188" s="66">
        <f>IF(VLOOKUP($D188,$C$5:$AU$503,3,)=0,0,(VLOOKUP($D188,$C$5:$AU$503,14,)/VLOOKUP($D188,$C$5:$AU$503,3,))*$E188)</f>
        <v>0</v>
      </c>
      <c r="Q188" s="66">
        <f>IF(VLOOKUP($D188,$C$5:$AU$503,3,)=0,0,(VLOOKUP($D188,$C$5:$AU$503,15,)/VLOOKUP($D188,$C$5:$AU$503,3,))*$E188)</f>
        <v>0</v>
      </c>
      <c r="R188" s="66">
        <f>IF(VLOOKUP($D188,$C$5:$AU$503,3,)=0,0,(VLOOKUP($D188,$C$5:$AU$503,16,)/VLOOKUP($D188,$C$5:$AU$503,3,))*$E188)</f>
        <v>0</v>
      </c>
      <c r="S188" s="66">
        <f>IF(VLOOKUP($D188,$C$5:$AU$503,3,)=0,0,(VLOOKUP($D188,$C$5:$AU$503,17,)/VLOOKUP($D188,$C$5:$AU$503,3,))*$E188)</f>
        <v>0</v>
      </c>
      <c r="T188" s="66">
        <f>IF(VLOOKUP($D188,$C$5:$AU$503,3,)=0,0,(VLOOKUP($D188,$C$5:$AU$503,18,)/VLOOKUP($D188,$C$5:$AU$503,3,))*$E188)</f>
        <v>0</v>
      </c>
      <c r="U188" s="66">
        <f>IF(VLOOKUP($D188,$C$5:$AU$503,3,)=0,0,(VLOOKUP($D188,$C$5:$AU$503,19,)/VLOOKUP($D188,$C$5:$AU$503,3,))*$E188)</f>
        <v>0</v>
      </c>
      <c r="V188" s="66">
        <f>IF(VLOOKUP($D188,$C$5:$AU$503,3,)=0,0,(VLOOKUP($D188,$C$5:$AU$503,20,)/VLOOKUP($D188,$C$5:$AU$503,3,))*$E188)</f>
        <v>0</v>
      </c>
      <c r="W188" s="66">
        <f>IF(VLOOKUP($D188,$C$5:$AU$503,3,)=0,0,(VLOOKUP($D188,$C$5:$AU$503,21,)/VLOOKUP($D188,$C$5:$AU$503,3,))*$E188)</f>
        <v>0</v>
      </c>
      <c r="X188" s="66">
        <f>IF(VLOOKUP($D188,$C$5:$AU$503,3,)=0,0,(VLOOKUP($D188,$C$5:$AU$503,22,)/VLOOKUP($D188,$C$5:$AU$503,3,))*$E188)</f>
        <v>0</v>
      </c>
      <c r="Y188" s="66">
        <f>IF(VLOOKUP($D188,$C$5:$AU$503,3,)=0,0,(VLOOKUP($D188,$C$5:$AU$503,23,)/VLOOKUP($D188,$C$5:$AU$503,3,))*$E188)</f>
        <v>0</v>
      </c>
      <c r="Z188" s="66">
        <f>IF(VLOOKUP($D188,$C$5:$AU$503,3,)=0,0,(VLOOKUP($D188,$C$5:$AU$503,24,)/VLOOKUP($D188,$C$5:$AU$503,3,))*$E188)</f>
        <v>0</v>
      </c>
      <c r="AA188" s="66">
        <f>IF(VLOOKUP($D188,$C$5:$AU$503,3,)=0,0,(VLOOKUP($D188,$C$5:$AU$503,25,)/VLOOKUP($D188,$C$5:$AU$503,3,))*$E188)</f>
        <v>0</v>
      </c>
      <c r="AB188" s="66">
        <f>IF(VLOOKUP($D188,$C$5:$AU$503,3,)=0,0,(VLOOKUP($D188,$C$5:$AU$503,26,)/VLOOKUP($D188,$C$5:$AU$503,3,))*$E188)</f>
        <v>0</v>
      </c>
      <c r="AC188" s="66">
        <f>IF(VLOOKUP($D188,$C$5:$AU$503,3,)=0,0,(VLOOKUP($D188,$C$5:$AU$503,27,)/VLOOKUP($D188,$C$5:$AU$503,3,))*$E188)</f>
        <v>0</v>
      </c>
      <c r="AD188" s="66">
        <f>IF(VLOOKUP($D188,$C$5:$AU$503,3,)=0,0,(VLOOKUP($D188,$C$5:$AU$503,28,)/VLOOKUP($D188,$C$5:$AU$503,3,))*$E188)</f>
        <v>0</v>
      </c>
      <c r="AE188" s="66">
        <f>IF(VLOOKUP($D188,$C$5:$AU$503,3,)=0,0,(VLOOKUP($D188,$C$5:$AU$503,29,)/VLOOKUP($D188,$C$5:$AU$503,3,))*$E188)</f>
        <v>0</v>
      </c>
      <c r="AF188" s="66">
        <f>IF(VLOOKUP($D188,$C$5:$AU$503,3,)=0,0,(VLOOKUP($D188,$C$5:$AU$503,30,)/VLOOKUP($D188,$C$5:$AU$503,3,))*$E188)</f>
        <v>0</v>
      </c>
      <c r="AG188" s="93">
        <f>SUM(F188:AF188)</f>
        <v>3309428.4249263234</v>
      </c>
      <c r="AH188" s="30" t="str">
        <f>IF(ABS(E188-AG188)&lt;0.01,"ok","err")</f>
        <v>ok</v>
      </c>
    </row>
    <row r="189" spans="1:34" x14ac:dyDescent="0.2">
      <c r="E189" s="234"/>
    </row>
    <row r="190" spans="1:34" x14ac:dyDescent="0.2">
      <c r="A190" s="13" t="s">
        <v>470</v>
      </c>
      <c r="E190" s="234"/>
    </row>
    <row r="191" spans="1:34" x14ac:dyDescent="0.2">
      <c r="A191" s="96" t="s">
        <v>221</v>
      </c>
      <c r="C191" s="14" t="s">
        <v>281</v>
      </c>
      <c r="D191" s="14" t="s">
        <v>235</v>
      </c>
      <c r="E191" s="233">
        <f>'Func &amp; Classif'!AA462</f>
        <v>328579.74350987928</v>
      </c>
      <c r="F191" s="66">
        <f>IF(VLOOKUP($D191,$C$5:$AU$503,3,)=0,0,(VLOOKUP($D191,$C$5:$AU$503,4,)/VLOOKUP($D191,$C$5:$AU$503,3,))*$E191)</f>
        <v>302928.34656948823</v>
      </c>
      <c r="G191" s="66">
        <f>IF(VLOOKUP($D191,$C$5:$AU$503,3,)=0,0,(VLOOKUP($D191,$C$5:$AU$503,5,)/VLOOKUP($D191,$C$5:$AU$503,3,))*$E191)</f>
        <v>22674.625581941302</v>
      </c>
      <c r="H191" s="66">
        <f>IF(VLOOKUP($D191,$C$5:$AU$503,3,)=0,0,(VLOOKUP($D191,$C$5:$AU$503,6,)/VLOOKUP($D191,$C$5:$AU$503,3,))*$E191)</f>
        <v>2074.4375404196558</v>
      </c>
      <c r="I191" s="66">
        <f>IF(VLOOKUP($D191,$C$5:$AU$503,3,)=0,0,(VLOOKUP($D191,$C$5:$AU$503,7,)/VLOOKUP($D191,$C$5:$AU$503,3,))*$E191)</f>
        <v>4.6512052475777033</v>
      </c>
      <c r="J191" s="66">
        <f>IF(VLOOKUP($D191,$C$5:$AU$503,3,)=0,0,(VLOOKUP($D191,$C$5:$AU$503,8,)/VLOOKUP($D191,$C$5:$AU$503,3,))*$E191)</f>
        <v>9.3024104951554065</v>
      </c>
      <c r="K191" s="66">
        <f>IF(VLOOKUP($D191,$C$5:$AU$503,3,)=0,0,(VLOOKUP($D191,$C$5:$AU$503,9,)/VLOOKUP($D191,$C$5:$AU$503,3,))*$E191)</f>
        <v>41.860847228199333</v>
      </c>
      <c r="L191" s="66">
        <f>IF(VLOOKUP($D191,$C$5:$AU$503,3,)=0,0,(VLOOKUP($D191,$C$5:$AU$503,10,)/VLOOKUP($D191,$C$5:$AU$503,3,))*$E191)</f>
        <v>660.47114515603391</v>
      </c>
      <c r="M191" s="66">
        <f>IF(VLOOKUP($D191,$C$5:$AU$503,3,)=0,0,(VLOOKUP($D191,$C$5:$AU$503,11,)/VLOOKUP($D191,$C$5:$AU$503,3,))*$E191)</f>
        <v>79.070489208820959</v>
      </c>
      <c r="N191" s="66">
        <f>IF(VLOOKUP($D191,$C$5:$AU$503,3,)=0,0,(VLOOKUP($D191,$C$5:$AU$503,12,)/VLOOKUP($D191,$C$5:$AU$503,3,))*$E191)</f>
        <v>106.97772069428719</v>
      </c>
      <c r="O191" s="66">
        <f>IF(VLOOKUP($D191,$C$5:$AU$503,3,)=0,0,(VLOOKUP($D191,$C$5:$AU$503,13,)/VLOOKUP($D191,$C$5:$AU$503,3,))*$E191)</f>
        <v>0</v>
      </c>
      <c r="P191" s="66">
        <f>IF(VLOOKUP($D191,$C$5:$AU$503,3,)=0,0,(VLOOKUP($D191,$C$5:$AU$503,14,)/VLOOKUP($D191,$C$5:$AU$503,3,))*$E191)</f>
        <v>0</v>
      </c>
      <c r="Q191" s="66">
        <f>IF(VLOOKUP($D191,$C$5:$AU$503,3,)=0,0,(VLOOKUP($D191,$C$5:$AU$503,15,)/VLOOKUP($D191,$C$5:$AU$503,3,))*$E191)</f>
        <v>0</v>
      </c>
      <c r="R191" s="66">
        <f>IF(VLOOKUP($D191,$C$5:$AU$503,3,)=0,0,(VLOOKUP($D191,$C$5:$AU$503,16,)/VLOOKUP($D191,$C$5:$AU$503,3,))*$E191)</f>
        <v>0</v>
      </c>
      <c r="S191" s="66">
        <f>IF(VLOOKUP($D191,$C$5:$AU$503,3,)=0,0,(VLOOKUP($D191,$C$5:$AU$503,17,)/VLOOKUP($D191,$C$5:$AU$503,3,))*$E191)</f>
        <v>0</v>
      </c>
      <c r="T191" s="66">
        <f>IF(VLOOKUP($D191,$C$5:$AU$503,3,)=0,0,(VLOOKUP($D191,$C$5:$AU$503,18,)/VLOOKUP($D191,$C$5:$AU$503,3,))*$E191)</f>
        <v>0</v>
      </c>
      <c r="U191" s="66">
        <f>IF(VLOOKUP($D191,$C$5:$AU$503,3,)=0,0,(VLOOKUP($D191,$C$5:$AU$503,19,)/VLOOKUP($D191,$C$5:$AU$503,3,))*$E191)</f>
        <v>0</v>
      </c>
      <c r="V191" s="66">
        <f>IF(VLOOKUP($D191,$C$5:$AU$503,3,)=0,0,(VLOOKUP($D191,$C$5:$AU$503,20,)/VLOOKUP($D191,$C$5:$AU$503,3,))*$E191)</f>
        <v>0</v>
      </c>
      <c r="W191" s="66">
        <f>IF(VLOOKUP($D191,$C$5:$AU$503,3,)=0,0,(VLOOKUP($D191,$C$5:$AU$503,21,)/VLOOKUP($D191,$C$5:$AU$503,3,))*$E191)</f>
        <v>0</v>
      </c>
      <c r="X191" s="66">
        <f>IF(VLOOKUP($D191,$C$5:$AU$503,3,)=0,0,(VLOOKUP($D191,$C$5:$AU$503,22,)/VLOOKUP($D191,$C$5:$AU$503,3,))*$E191)</f>
        <v>0</v>
      </c>
      <c r="Y191" s="66">
        <f>IF(VLOOKUP($D191,$C$5:$AU$503,3,)=0,0,(VLOOKUP($D191,$C$5:$AU$503,23,)/VLOOKUP($D191,$C$5:$AU$503,3,))*$E191)</f>
        <v>0</v>
      </c>
      <c r="Z191" s="66">
        <f>IF(VLOOKUP($D191,$C$5:$AU$503,3,)=0,0,(VLOOKUP($D191,$C$5:$AU$503,24,)/VLOOKUP($D191,$C$5:$AU$503,3,))*$E191)</f>
        <v>0</v>
      </c>
      <c r="AA191" s="66">
        <f>IF(VLOOKUP($D191,$C$5:$AU$503,3,)=0,0,(VLOOKUP($D191,$C$5:$AU$503,25,)/VLOOKUP($D191,$C$5:$AU$503,3,))*$E191)</f>
        <v>0</v>
      </c>
      <c r="AB191" s="66">
        <f>IF(VLOOKUP($D191,$C$5:$AU$503,3,)=0,0,(VLOOKUP($D191,$C$5:$AU$503,26,)/VLOOKUP($D191,$C$5:$AU$503,3,))*$E191)</f>
        <v>0</v>
      </c>
      <c r="AC191" s="66">
        <f>IF(VLOOKUP($D191,$C$5:$AU$503,3,)=0,0,(VLOOKUP($D191,$C$5:$AU$503,27,)/VLOOKUP($D191,$C$5:$AU$503,3,))*$E191)</f>
        <v>0</v>
      </c>
      <c r="AD191" s="66">
        <f>IF(VLOOKUP($D191,$C$5:$AU$503,3,)=0,0,(VLOOKUP($D191,$C$5:$AU$503,28,)/VLOOKUP($D191,$C$5:$AU$503,3,))*$E191)</f>
        <v>0</v>
      </c>
      <c r="AE191" s="66">
        <f>IF(VLOOKUP($D191,$C$5:$AU$503,3,)=0,0,(VLOOKUP($D191,$C$5:$AU$503,29,)/VLOOKUP($D191,$C$5:$AU$503,3,))*$E191)</f>
        <v>0</v>
      </c>
      <c r="AF191" s="66">
        <f>IF(VLOOKUP($D191,$C$5:$AU$503,3,)=0,0,(VLOOKUP($D191,$C$5:$AU$503,30,)/VLOOKUP($D191,$C$5:$AU$503,3,))*$E191)</f>
        <v>0</v>
      </c>
      <c r="AG191" s="93">
        <f>SUM(F191:AF191)</f>
        <v>328579.74350987916</v>
      </c>
      <c r="AH191" s="30" t="str">
        <f>IF(ABS(E191-AG191)&lt;0.01,"ok","err")</f>
        <v>ok</v>
      </c>
    </row>
    <row r="192" spans="1:34" x14ac:dyDescent="0.2">
      <c r="E192" s="234"/>
    </row>
    <row r="193" spans="1:34" x14ac:dyDescent="0.2">
      <c r="A193" s="14" t="s">
        <v>0</v>
      </c>
      <c r="C193" s="14" t="s">
        <v>285</v>
      </c>
      <c r="E193" s="233">
        <f>E163+E166+E169+E174+E179+E182+E185+E188+E191</f>
        <v>12488581.16</v>
      </c>
      <c r="F193" s="66">
        <f t="shared" ref="F193:R193" si="39">F163+F166+F169+F174+F179+F182+F185+F188+F191</f>
        <v>9605210.0613070559</v>
      </c>
      <c r="G193" s="66">
        <f t="shared" si="39"/>
        <v>738937.86088222091</v>
      </c>
      <c r="H193" s="66">
        <f t="shared" si="39"/>
        <v>467177.45541407896</v>
      </c>
      <c r="I193" s="66">
        <f t="shared" si="39"/>
        <v>14587.948122969954</v>
      </c>
      <c r="J193" s="66">
        <f t="shared" si="39"/>
        <v>114987.09389910397</v>
      </c>
      <c r="K193" s="66">
        <f t="shared" si="39"/>
        <v>125898.1132747939</v>
      </c>
      <c r="L193" s="66">
        <f t="shared" si="39"/>
        <v>59174.213888007391</v>
      </c>
      <c r="M193" s="66">
        <f t="shared" si="39"/>
        <v>34479.334038937981</v>
      </c>
      <c r="N193" s="66">
        <f t="shared" si="39"/>
        <v>1328129.0791728296</v>
      </c>
      <c r="O193" s="66">
        <f t="shared" si="39"/>
        <v>0</v>
      </c>
      <c r="P193" s="66">
        <f t="shared" si="39"/>
        <v>0</v>
      </c>
      <c r="Q193" s="66">
        <f t="shared" si="39"/>
        <v>0</v>
      </c>
      <c r="R193" s="66">
        <f t="shared" si="39"/>
        <v>0</v>
      </c>
      <c r="S193" s="66">
        <f t="shared" ref="S193:AF193" si="40">S163+S169+S174+S179+S182+S185+S188+S191</f>
        <v>0</v>
      </c>
      <c r="T193" s="66">
        <f t="shared" si="40"/>
        <v>0</v>
      </c>
      <c r="U193" s="66">
        <f t="shared" si="40"/>
        <v>0</v>
      </c>
      <c r="V193" s="66">
        <f t="shared" si="40"/>
        <v>0</v>
      </c>
      <c r="W193" s="66">
        <f t="shared" si="40"/>
        <v>0</v>
      </c>
      <c r="X193" s="66">
        <f t="shared" si="40"/>
        <v>0</v>
      </c>
      <c r="Y193" s="66">
        <f t="shared" si="40"/>
        <v>0</v>
      </c>
      <c r="Z193" s="66">
        <f t="shared" si="40"/>
        <v>0</v>
      </c>
      <c r="AA193" s="66">
        <f t="shared" si="40"/>
        <v>0</v>
      </c>
      <c r="AB193" s="66">
        <f t="shared" si="40"/>
        <v>0</v>
      </c>
      <c r="AC193" s="66">
        <f t="shared" si="40"/>
        <v>0</v>
      </c>
      <c r="AD193" s="66">
        <f t="shared" si="40"/>
        <v>0</v>
      </c>
      <c r="AE193" s="66">
        <f t="shared" si="40"/>
        <v>0</v>
      </c>
      <c r="AF193" s="66">
        <f t="shared" si="40"/>
        <v>0</v>
      </c>
      <c r="AG193" s="93">
        <f>SUM(F193:AF193)</f>
        <v>12488581.16</v>
      </c>
      <c r="AH193" s="30" t="str">
        <f>IF(ABS(E193-AG193)&lt;0.01,"ok","err")</f>
        <v>ok</v>
      </c>
    </row>
    <row r="196" spans="1:34" x14ac:dyDescent="0.2">
      <c r="A196" s="28" t="s">
        <v>185</v>
      </c>
    </row>
    <row r="198" spans="1:34" x14ac:dyDescent="0.2">
      <c r="A198" s="13" t="s">
        <v>893</v>
      </c>
    </row>
    <row r="199" spans="1:34" x14ac:dyDescent="0.2">
      <c r="A199" s="96" t="s">
        <v>209</v>
      </c>
      <c r="C199" s="14" t="s">
        <v>286</v>
      </c>
      <c r="D199" s="14" t="s">
        <v>655</v>
      </c>
      <c r="E199" s="233">
        <f>'Func &amp; Classif'!H312</f>
        <v>0</v>
      </c>
      <c r="F199" s="66">
        <f>IF(VLOOKUP($D199,$C$5:$AU$503,3,)=0,0,(VLOOKUP($D199,$C$5:$AU$503,4,)/VLOOKUP($D199,$C$5:$AU$503,3,))*$E199)</f>
        <v>0</v>
      </c>
      <c r="G199" s="66">
        <f>IF(VLOOKUP($D199,$C$5:$AU$503,3,)=0,0,(VLOOKUP($D199,$C$5:$AU$503,5,)/VLOOKUP($D199,$C$5:$AU$503,3,))*$E199)</f>
        <v>0</v>
      </c>
      <c r="H199" s="66">
        <f>IF(VLOOKUP($D199,$C$5:$AU$503,3,)=0,0,(VLOOKUP($D199,$C$5:$AU$503,6,)/VLOOKUP($D199,$C$5:$AU$503,3,))*$E199)</f>
        <v>0</v>
      </c>
      <c r="I199" s="66">
        <f>IF(VLOOKUP($D199,$C$5:$AU$503,3,)=0,0,(VLOOKUP($D199,$C$5:$AU$503,7,)/VLOOKUP($D199,$C$5:$AU$503,3,))*$E199)</f>
        <v>0</v>
      </c>
      <c r="J199" s="66">
        <f>IF(VLOOKUP($D199,$C$5:$AU$503,3,)=0,0,(VLOOKUP($D199,$C$5:$AU$503,8,)/VLOOKUP($D199,$C$5:$AU$503,3,))*$E199)</f>
        <v>0</v>
      </c>
      <c r="K199" s="66">
        <f>IF(VLOOKUP($D199,$C$5:$AU$503,3,)=0,0,(VLOOKUP($D199,$C$5:$AU$503,9,)/VLOOKUP($D199,$C$5:$AU$503,3,))*$E199)</f>
        <v>0</v>
      </c>
      <c r="L199" s="66">
        <f>IF(VLOOKUP($D199,$C$5:$AU$503,3,)=0,0,(VLOOKUP($D199,$C$5:$AU$503,10,)/VLOOKUP($D199,$C$5:$AU$503,3,))*$E199)</f>
        <v>0</v>
      </c>
      <c r="M199" s="66">
        <f>IF(VLOOKUP($D199,$C$5:$AU$503,3,)=0,0,(VLOOKUP($D199,$C$5:$AU$503,11,)/VLOOKUP($D199,$C$5:$AU$503,3,))*$E199)</f>
        <v>0</v>
      </c>
      <c r="N199" s="66">
        <f>IF(VLOOKUP($D199,$C$5:$AU$503,3,)=0,0,(VLOOKUP($D199,$C$5:$AU$503,12,)/VLOOKUP($D199,$C$5:$AU$503,3,))*$E199)</f>
        <v>0</v>
      </c>
      <c r="O199" s="66">
        <f>IF(VLOOKUP($D199,$C$5:$AU$503,3,)=0,0,(VLOOKUP($D199,$C$5:$AU$503,13,)/VLOOKUP($D199,$C$5:$AU$503,3,))*$E199)</f>
        <v>0</v>
      </c>
      <c r="P199" s="66">
        <f>IF(VLOOKUP($D199,$C$5:$AU$503,3,)=0,0,(VLOOKUP($D199,$C$5:$AU$503,14,)/VLOOKUP($D199,$C$5:$AU$503,3,))*$E199)</f>
        <v>0</v>
      </c>
      <c r="Q199" s="66">
        <f>IF(VLOOKUP($D199,$C$5:$AU$503,3,)=0,0,(VLOOKUP($D199,$C$5:$AU$503,15,)/VLOOKUP($D199,$C$5:$AU$503,3,))*$E199)</f>
        <v>0</v>
      </c>
      <c r="R199" s="66">
        <f>IF(VLOOKUP($D199,$C$5:$AU$503,3,)=0,0,(VLOOKUP($D199,$C$5:$AU$503,16,)/VLOOKUP($D199,$C$5:$AU$503,3,))*$E199)</f>
        <v>0</v>
      </c>
      <c r="S199" s="66">
        <f>IF(VLOOKUP($D199,$C$5:$AU$503,3,)=0,0,(VLOOKUP($D199,$C$5:$AU$503,17,)/VLOOKUP($D199,$C$5:$AU$503,3,))*$E199)</f>
        <v>0</v>
      </c>
      <c r="T199" s="66">
        <f>IF(VLOOKUP($D199,$C$5:$AU$503,3,)=0,0,(VLOOKUP($D199,$C$5:$AU$503,18,)/VLOOKUP($D199,$C$5:$AU$503,3,))*$E199)</f>
        <v>0</v>
      </c>
      <c r="U199" s="66">
        <f>IF(VLOOKUP($D199,$C$5:$AU$503,3,)=0,0,(VLOOKUP($D199,$C$5:$AU$503,19,)/VLOOKUP($D199,$C$5:$AU$503,3,))*$E199)</f>
        <v>0</v>
      </c>
      <c r="V199" s="66">
        <f>IF(VLOOKUP($D199,$C$5:$AU$503,3,)=0,0,(VLOOKUP($D199,$C$5:$AU$503,20,)/VLOOKUP($D199,$C$5:$AU$503,3,))*$E199)</f>
        <v>0</v>
      </c>
      <c r="W199" s="66">
        <f>IF(VLOOKUP($D199,$C$5:$AU$503,3,)=0,0,(VLOOKUP($D199,$C$5:$AU$503,21,)/VLOOKUP($D199,$C$5:$AU$503,3,))*$E199)</f>
        <v>0</v>
      </c>
      <c r="X199" s="66">
        <f>IF(VLOOKUP($D199,$C$5:$AU$503,3,)=0,0,(VLOOKUP($D199,$C$5:$AU$503,22,)/VLOOKUP($D199,$C$5:$AU$503,3,))*$E199)</f>
        <v>0</v>
      </c>
      <c r="Y199" s="66">
        <f>IF(VLOOKUP($D199,$C$5:$AU$503,3,)=0,0,(VLOOKUP($D199,$C$5:$AU$503,23,)/VLOOKUP($D199,$C$5:$AU$503,3,))*$E199)</f>
        <v>0</v>
      </c>
      <c r="Z199" s="66">
        <f>IF(VLOOKUP($D199,$C$5:$AU$503,3,)=0,0,(VLOOKUP($D199,$C$5:$AU$503,24,)/VLOOKUP($D199,$C$5:$AU$503,3,))*$E199)</f>
        <v>0</v>
      </c>
      <c r="AA199" s="66">
        <f>IF(VLOOKUP($D199,$C$5:$AU$503,3,)=0,0,(VLOOKUP($D199,$C$5:$AU$503,25,)/VLOOKUP($D199,$C$5:$AU$503,3,))*$E199)</f>
        <v>0</v>
      </c>
      <c r="AB199" s="66">
        <f>IF(VLOOKUP($D199,$C$5:$AU$503,3,)=0,0,(VLOOKUP($D199,$C$5:$AU$503,26,)/VLOOKUP($D199,$C$5:$AU$503,3,))*$E199)</f>
        <v>0</v>
      </c>
      <c r="AC199" s="66">
        <f>IF(VLOOKUP($D199,$C$5:$AU$503,3,)=0,0,(VLOOKUP($D199,$C$5:$AU$503,27,)/VLOOKUP($D199,$C$5:$AU$503,3,))*$E199)</f>
        <v>0</v>
      </c>
      <c r="AD199" s="66">
        <f>IF(VLOOKUP($D199,$C$5:$AU$503,3,)=0,0,(VLOOKUP($D199,$C$5:$AU$503,28,)/VLOOKUP($D199,$C$5:$AU$503,3,))*$E199)</f>
        <v>0</v>
      </c>
      <c r="AE199" s="66">
        <f>IF(VLOOKUP($D199,$C$5:$AU$503,3,)=0,0,(VLOOKUP($D199,$C$5:$AU$503,29,)/VLOOKUP($D199,$C$5:$AU$503,3,))*$E199)</f>
        <v>0</v>
      </c>
      <c r="AF199" s="66">
        <f>IF(VLOOKUP($D199,$C$5:$AU$503,3,)=0,0,(VLOOKUP($D199,$C$5:$AU$503,30,)/VLOOKUP($D199,$C$5:$AU$503,3,))*$E199)</f>
        <v>0</v>
      </c>
      <c r="AG199" s="93">
        <f>SUM(F199:AF199)</f>
        <v>0</v>
      </c>
      <c r="AH199" s="30" t="str">
        <f>IF(ABS(E199-AG199)&lt;0.01,"ok","err")</f>
        <v>ok</v>
      </c>
    </row>
    <row r="200" spans="1:34" x14ac:dyDescent="0.2">
      <c r="A200" s="96" t="s">
        <v>212</v>
      </c>
      <c r="C200" s="14" t="s">
        <v>287</v>
      </c>
      <c r="D200" s="14" t="s">
        <v>664</v>
      </c>
      <c r="E200" s="234">
        <f>'Func &amp; Classif'!I312</f>
        <v>0</v>
      </c>
      <c r="F200" s="66">
        <f>IF(VLOOKUP($D200,$C$5:$AU$503,3,)=0,0,(VLOOKUP($D200,$C$5:$AU$503,4,)/VLOOKUP($D200,$C$5:$AU$503,3,))*$E200)</f>
        <v>0</v>
      </c>
      <c r="G200" s="66">
        <f>IF(VLOOKUP($D200,$C$5:$AU$503,3,)=0,0,(VLOOKUP($D200,$C$5:$AU$503,5,)/VLOOKUP($D200,$C$5:$AU$503,3,))*$E200)</f>
        <v>0</v>
      </c>
      <c r="H200" s="66">
        <f>IF(VLOOKUP($D200,$C$5:$AU$503,3,)=0,0,(VLOOKUP($D200,$C$5:$AU$503,6,)/VLOOKUP($D200,$C$5:$AU$503,3,))*$E200)</f>
        <v>0</v>
      </c>
      <c r="I200" s="66">
        <f>IF(VLOOKUP($D200,$C$5:$AU$503,3,)=0,0,(VLOOKUP($D200,$C$5:$AU$503,7,)/VLOOKUP($D200,$C$5:$AU$503,3,))*$E200)</f>
        <v>0</v>
      </c>
      <c r="J200" s="66">
        <f>IF(VLOOKUP($D200,$C$5:$AU$503,3,)=0,0,(VLOOKUP($D200,$C$5:$AU$503,8,)/VLOOKUP($D200,$C$5:$AU$503,3,))*$E200)</f>
        <v>0</v>
      </c>
      <c r="K200" s="66">
        <f>IF(VLOOKUP($D200,$C$5:$AU$503,3,)=0,0,(VLOOKUP($D200,$C$5:$AU$503,9,)/VLOOKUP($D200,$C$5:$AU$503,3,))*$E200)</f>
        <v>0</v>
      </c>
      <c r="L200" s="66">
        <f>IF(VLOOKUP($D200,$C$5:$AU$503,3,)=0,0,(VLOOKUP($D200,$C$5:$AU$503,10,)/VLOOKUP($D200,$C$5:$AU$503,3,))*$E200)</f>
        <v>0</v>
      </c>
      <c r="M200" s="66">
        <f>IF(VLOOKUP($D200,$C$5:$AU$503,3,)=0,0,(VLOOKUP($D200,$C$5:$AU$503,11,)/VLOOKUP($D200,$C$5:$AU$503,3,))*$E200)</f>
        <v>0</v>
      </c>
      <c r="N200" s="66">
        <f>IF(VLOOKUP($D200,$C$5:$AU$503,3,)=0,0,(VLOOKUP($D200,$C$5:$AU$503,12,)/VLOOKUP($D200,$C$5:$AU$503,3,))*$E200)</f>
        <v>0</v>
      </c>
      <c r="O200" s="66">
        <f>IF(VLOOKUP($D200,$C$5:$AU$503,3,)=0,0,(VLOOKUP($D200,$C$5:$AU$503,13,)/VLOOKUP($D200,$C$5:$AU$503,3,))*$E200)</f>
        <v>0</v>
      </c>
      <c r="P200" s="66">
        <f>IF(VLOOKUP($D200,$C$5:$AU$503,3,)=0,0,(VLOOKUP($D200,$C$5:$AU$503,14,)/VLOOKUP($D200,$C$5:$AU$503,3,))*$E200)</f>
        <v>0</v>
      </c>
      <c r="Q200" s="66">
        <f>IF(VLOOKUP($D200,$C$5:$AU$503,3,)=0,0,(VLOOKUP($D200,$C$5:$AU$503,15,)/VLOOKUP($D200,$C$5:$AU$503,3,))*$E200)</f>
        <v>0</v>
      </c>
      <c r="R200" s="66">
        <f>IF(VLOOKUP($D200,$C$5:$AU$503,3,)=0,0,(VLOOKUP($D200,$C$5:$AU$503,16,)/VLOOKUP($D200,$C$5:$AU$503,3,))*$E200)</f>
        <v>0</v>
      </c>
      <c r="S200" s="66">
        <f>IF(VLOOKUP($D200,$C$5:$AU$503,3,)=0,0,(VLOOKUP($D200,$C$5:$AU$503,17,)/VLOOKUP($D200,$C$5:$AU$503,3,))*$E200)</f>
        <v>0</v>
      </c>
      <c r="T200" s="66">
        <f>IF(VLOOKUP($D200,$C$5:$AU$503,3,)=0,0,(VLOOKUP($D200,$C$5:$AU$503,18,)/VLOOKUP($D200,$C$5:$AU$503,3,))*$E200)</f>
        <v>0</v>
      </c>
      <c r="U200" s="66">
        <f>IF(VLOOKUP($D200,$C$5:$AU$503,3,)=0,0,(VLOOKUP($D200,$C$5:$AU$503,19,)/VLOOKUP($D200,$C$5:$AU$503,3,))*$E200)</f>
        <v>0</v>
      </c>
      <c r="V200" s="66">
        <f>IF(VLOOKUP($D200,$C$5:$AU$503,3,)=0,0,(VLOOKUP($D200,$C$5:$AU$503,20,)/VLOOKUP($D200,$C$5:$AU$503,3,))*$E200)</f>
        <v>0</v>
      </c>
      <c r="W200" s="66">
        <f>IF(VLOOKUP($D200,$C$5:$AU$503,3,)=0,0,(VLOOKUP($D200,$C$5:$AU$503,21,)/VLOOKUP($D200,$C$5:$AU$503,3,))*$E200)</f>
        <v>0</v>
      </c>
      <c r="X200" s="66">
        <f>IF(VLOOKUP($D200,$C$5:$AU$503,3,)=0,0,(VLOOKUP($D200,$C$5:$AU$503,22,)/VLOOKUP($D200,$C$5:$AU$503,3,))*$E200)</f>
        <v>0</v>
      </c>
      <c r="Y200" s="66">
        <f>IF(VLOOKUP($D200,$C$5:$AU$503,3,)=0,0,(VLOOKUP($D200,$C$5:$AU$503,23,)/VLOOKUP($D200,$C$5:$AU$503,3,))*$E200)</f>
        <v>0</v>
      </c>
      <c r="Z200" s="66">
        <f>IF(VLOOKUP($D200,$C$5:$AU$503,3,)=0,0,(VLOOKUP($D200,$C$5:$AU$503,24,)/VLOOKUP($D200,$C$5:$AU$503,3,))*$E200)</f>
        <v>0</v>
      </c>
      <c r="AA200" s="66">
        <f>IF(VLOOKUP($D200,$C$5:$AU$503,3,)=0,0,(VLOOKUP($D200,$C$5:$AU$503,25,)/VLOOKUP($D200,$C$5:$AU$503,3,))*$E200)</f>
        <v>0</v>
      </c>
      <c r="AB200" s="66">
        <f>IF(VLOOKUP($D200,$C$5:$AU$503,3,)=0,0,(VLOOKUP($D200,$C$5:$AU$503,26,)/VLOOKUP($D200,$C$5:$AU$503,3,))*$E200)</f>
        <v>0</v>
      </c>
      <c r="AC200" s="66">
        <f>IF(VLOOKUP($D200,$C$5:$AU$503,3,)=0,0,(VLOOKUP($D200,$C$5:$AU$503,27,)/VLOOKUP($D200,$C$5:$AU$503,3,))*$E200)</f>
        <v>0</v>
      </c>
      <c r="AD200" s="66">
        <f>IF(VLOOKUP($D200,$C$5:$AU$503,3,)=0,0,(VLOOKUP($D200,$C$5:$AU$503,28,)/VLOOKUP($D200,$C$5:$AU$503,3,))*$E200)</f>
        <v>0</v>
      </c>
      <c r="AE200" s="66">
        <f>IF(VLOOKUP($D200,$C$5:$AU$503,3,)=0,0,(VLOOKUP($D200,$C$5:$AU$503,29,)/VLOOKUP($D200,$C$5:$AU$503,3,))*$E200)</f>
        <v>0</v>
      </c>
      <c r="AF200" s="66">
        <f>IF(VLOOKUP($D200,$C$5:$AU$503,3,)=0,0,(VLOOKUP($D200,$C$5:$AU$503,30,)/VLOOKUP($D200,$C$5:$AU$503,3,))*$E200)</f>
        <v>0</v>
      </c>
      <c r="AG200" s="93">
        <f>SUM(F200:AF200)</f>
        <v>0</v>
      </c>
      <c r="AH200" s="30" t="str">
        <f>IF(ABS(E200-AG200)&lt;0.01,"ok","err")</f>
        <v>ok</v>
      </c>
    </row>
    <row r="201" spans="1:34" x14ac:dyDescent="0.2">
      <c r="A201" s="14" t="s">
        <v>215</v>
      </c>
      <c r="C201" s="14" t="s">
        <v>288</v>
      </c>
      <c r="E201" s="234">
        <f t="shared" ref="E201:T201" si="41">E199+E200</f>
        <v>0</v>
      </c>
      <c r="F201" s="66">
        <f t="shared" si="41"/>
        <v>0</v>
      </c>
      <c r="G201" s="66">
        <f t="shared" si="41"/>
        <v>0</v>
      </c>
      <c r="H201" s="66">
        <f t="shared" si="41"/>
        <v>0</v>
      </c>
      <c r="I201" s="66">
        <f t="shared" si="41"/>
        <v>0</v>
      </c>
      <c r="J201" s="66">
        <f t="shared" si="41"/>
        <v>0</v>
      </c>
      <c r="K201" s="66">
        <f t="shared" si="41"/>
        <v>0</v>
      </c>
      <c r="L201" s="66">
        <f t="shared" si="41"/>
        <v>0</v>
      </c>
      <c r="M201" s="66">
        <f t="shared" si="41"/>
        <v>0</v>
      </c>
      <c r="N201" s="66">
        <f t="shared" si="41"/>
        <v>0</v>
      </c>
      <c r="O201" s="66">
        <f t="shared" si="41"/>
        <v>0</v>
      </c>
      <c r="P201" s="66">
        <f t="shared" si="41"/>
        <v>0</v>
      </c>
      <c r="Q201" s="66">
        <f t="shared" si="41"/>
        <v>0</v>
      </c>
      <c r="R201" s="66">
        <f t="shared" si="41"/>
        <v>0</v>
      </c>
      <c r="S201" s="66">
        <f t="shared" si="41"/>
        <v>0</v>
      </c>
      <c r="T201" s="66">
        <f t="shared" si="41"/>
        <v>0</v>
      </c>
      <c r="U201" s="66">
        <f t="shared" ref="U201:AF201" si="42">U199+U200</f>
        <v>0</v>
      </c>
      <c r="V201" s="66">
        <f t="shared" si="42"/>
        <v>0</v>
      </c>
      <c r="W201" s="66">
        <f t="shared" si="42"/>
        <v>0</v>
      </c>
      <c r="X201" s="66">
        <f t="shared" si="42"/>
        <v>0</v>
      </c>
      <c r="Y201" s="66">
        <f t="shared" si="42"/>
        <v>0</v>
      </c>
      <c r="Z201" s="66">
        <f t="shared" si="42"/>
        <v>0</v>
      </c>
      <c r="AA201" s="66">
        <f t="shared" si="42"/>
        <v>0</v>
      </c>
      <c r="AB201" s="66">
        <f t="shared" si="42"/>
        <v>0</v>
      </c>
      <c r="AC201" s="66">
        <f t="shared" si="42"/>
        <v>0</v>
      </c>
      <c r="AD201" s="66">
        <f t="shared" si="42"/>
        <v>0</v>
      </c>
      <c r="AE201" s="66">
        <f t="shared" si="42"/>
        <v>0</v>
      </c>
      <c r="AF201" s="66">
        <f t="shared" si="42"/>
        <v>0</v>
      </c>
      <c r="AG201" s="93">
        <f>SUM(F201:AF201)</f>
        <v>0</v>
      </c>
      <c r="AH201" s="30" t="str">
        <f>IF(ABS(E201-AG201)&lt;0.01,"ok","err")</f>
        <v>ok</v>
      </c>
    </row>
    <row r="202" spans="1:34" x14ac:dyDescent="0.2">
      <c r="E202" s="234"/>
      <c r="F202" s="50"/>
    </row>
    <row r="203" spans="1:34" x14ac:dyDescent="0.2">
      <c r="A203" s="13" t="s">
        <v>350</v>
      </c>
      <c r="E203" s="234"/>
      <c r="F203" s="50"/>
    </row>
    <row r="204" spans="1:34" x14ac:dyDescent="0.2">
      <c r="A204" s="96" t="s">
        <v>209</v>
      </c>
      <c r="C204" s="14" t="s">
        <v>887</v>
      </c>
      <c r="D204" s="14" t="s">
        <v>597</v>
      </c>
      <c r="E204" s="233">
        <f>'Func &amp; Classif'!K312</f>
        <v>0</v>
      </c>
      <c r="F204" s="66">
        <f>IF(VLOOKUP($D204,$C$5:$AU$503,3,)=0,0,(VLOOKUP($D204,$C$5:$AU$503,4,)/VLOOKUP($D204,$C$5:$AU$503,3,))*$E204)</f>
        <v>0</v>
      </c>
      <c r="G204" s="66">
        <f>IF(VLOOKUP($D204,$C$5:$AU$503,3,)=0,0,(VLOOKUP($D204,$C$5:$AU$503,5,)/VLOOKUP($D204,$C$5:$AU$503,3,))*$E204)</f>
        <v>0</v>
      </c>
      <c r="H204" s="66">
        <f>IF(VLOOKUP($D204,$C$5:$AU$503,3,)=0,0,(VLOOKUP($D204,$C$5:$AU$503,6,)/VLOOKUP($D204,$C$5:$AU$503,3,))*$E204)</f>
        <v>0</v>
      </c>
      <c r="I204" s="66">
        <f>IF(VLOOKUP($D204,$C$5:$AU$503,3,)=0,0,(VLOOKUP($D204,$C$5:$AU$503,7,)/VLOOKUP($D204,$C$5:$AU$503,3,))*$E204)</f>
        <v>0</v>
      </c>
      <c r="J204" s="66">
        <f>IF(VLOOKUP($D204,$C$5:$AU$503,3,)=0,0,(VLOOKUP($D204,$C$5:$AU$503,8,)/VLOOKUP($D204,$C$5:$AU$503,3,))*$E204)</f>
        <v>0</v>
      </c>
      <c r="K204" s="66">
        <f>IF(VLOOKUP($D204,$C$5:$AU$503,3,)=0,0,(VLOOKUP($D204,$C$5:$AU$503,9,)/VLOOKUP($D204,$C$5:$AU$503,3,))*$E204)</f>
        <v>0</v>
      </c>
      <c r="L204" s="66">
        <f>IF(VLOOKUP($D204,$C$5:$AU$503,3,)=0,0,(VLOOKUP($D204,$C$5:$AU$503,10,)/VLOOKUP($D204,$C$5:$AU$503,3,))*$E204)</f>
        <v>0</v>
      </c>
      <c r="M204" s="66">
        <f>IF(VLOOKUP($D204,$C$5:$AU$503,3,)=0,0,(VLOOKUP($D204,$C$5:$AU$503,11,)/VLOOKUP($D204,$C$5:$AU$503,3,))*$E204)</f>
        <v>0</v>
      </c>
      <c r="N204" s="66">
        <f>IF(VLOOKUP($D204,$C$5:$AU$503,3,)=0,0,(VLOOKUP($D204,$C$5:$AU$503,12,)/VLOOKUP($D204,$C$5:$AU$503,3,))*$E204)</f>
        <v>0</v>
      </c>
      <c r="O204" s="66">
        <f>IF(VLOOKUP($D204,$C$5:$AU$503,3,)=0,0,(VLOOKUP($D204,$C$5:$AU$503,13,)/VLOOKUP($D204,$C$5:$AU$503,3,))*$E204)</f>
        <v>0</v>
      </c>
      <c r="P204" s="66">
        <f>IF(VLOOKUP($D204,$C$5:$AU$503,3,)=0,0,(VLOOKUP($D204,$C$5:$AU$503,14,)/VLOOKUP($D204,$C$5:$AU$503,3,))*$E204)</f>
        <v>0</v>
      </c>
      <c r="Q204" s="66">
        <f>IF(VLOOKUP($D204,$C$5:$AU$503,3,)=0,0,(VLOOKUP($D204,$C$5:$AU$503,15,)/VLOOKUP($D204,$C$5:$AU$503,3,))*$E204)</f>
        <v>0</v>
      </c>
      <c r="R204" s="66">
        <f>IF(VLOOKUP($D204,$C$5:$AU$503,3,)=0,0,(VLOOKUP($D204,$C$5:$AU$503,16,)/VLOOKUP($D204,$C$5:$AU$503,3,))*$E204)</f>
        <v>0</v>
      </c>
      <c r="S204" s="66">
        <f>IF(VLOOKUP($D204,$C$5:$AU$503,3,)=0,0,(VLOOKUP($D204,$C$5:$AU$503,17,)/VLOOKUP($D204,$C$5:$AU$503,3,))*$E204)</f>
        <v>0</v>
      </c>
      <c r="T204" s="66">
        <f>IF(VLOOKUP($D204,$C$5:$AU$503,3,)=0,0,(VLOOKUP($D204,$C$5:$AU$503,18,)/VLOOKUP($D204,$C$5:$AU$503,3,))*$E204)</f>
        <v>0</v>
      </c>
      <c r="U204" s="66">
        <f>IF(VLOOKUP($D204,$C$5:$AU$503,3,)=0,0,(VLOOKUP($D204,$C$5:$AU$503,19,)/VLOOKUP($D204,$C$5:$AU$503,3,))*$E204)</f>
        <v>0</v>
      </c>
      <c r="V204" s="66">
        <f>IF(VLOOKUP($D204,$C$5:$AU$503,3,)=0,0,(VLOOKUP($D204,$C$5:$AU$503,20,)/VLOOKUP($D204,$C$5:$AU$503,3,))*$E204)</f>
        <v>0</v>
      </c>
      <c r="W204" s="66">
        <f>IF(VLOOKUP($D204,$C$5:$AU$503,3,)=0,0,(VLOOKUP($D204,$C$5:$AU$503,21,)/VLOOKUP($D204,$C$5:$AU$503,3,))*$E204)</f>
        <v>0</v>
      </c>
      <c r="X204" s="66">
        <f>IF(VLOOKUP($D204,$C$5:$AU$503,3,)=0,0,(VLOOKUP($D204,$C$5:$AU$503,22,)/VLOOKUP($D204,$C$5:$AU$503,3,))*$E204)</f>
        <v>0</v>
      </c>
      <c r="Y204" s="66">
        <f>IF(VLOOKUP($D204,$C$5:$AU$503,3,)=0,0,(VLOOKUP($D204,$C$5:$AU$503,23,)/VLOOKUP($D204,$C$5:$AU$503,3,))*$E204)</f>
        <v>0</v>
      </c>
      <c r="Z204" s="66">
        <f>IF(VLOOKUP($D204,$C$5:$AU$503,3,)=0,0,(VLOOKUP($D204,$C$5:$AU$503,24,)/VLOOKUP($D204,$C$5:$AU$503,3,))*$E204)</f>
        <v>0</v>
      </c>
      <c r="AA204" s="66">
        <f>IF(VLOOKUP($D204,$C$5:$AU$503,3,)=0,0,(VLOOKUP($D204,$C$5:$AU$503,25,)/VLOOKUP($D204,$C$5:$AU$503,3,))*$E204)</f>
        <v>0</v>
      </c>
      <c r="AB204" s="66">
        <f>IF(VLOOKUP($D204,$C$5:$AU$503,3,)=0,0,(VLOOKUP($D204,$C$5:$AU$503,26,)/VLOOKUP($D204,$C$5:$AU$503,3,))*$E204)</f>
        <v>0</v>
      </c>
      <c r="AC204" s="66">
        <f>IF(VLOOKUP($D204,$C$5:$AU$503,3,)=0,0,(VLOOKUP($D204,$C$5:$AU$503,27,)/VLOOKUP($D204,$C$5:$AU$503,3,))*$E204)</f>
        <v>0</v>
      </c>
      <c r="AD204" s="66">
        <f>IF(VLOOKUP($D204,$C$5:$AU$503,3,)=0,0,(VLOOKUP($D204,$C$5:$AU$503,28,)/VLOOKUP($D204,$C$5:$AU$503,3,))*$E204)</f>
        <v>0</v>
      </c>
      <c r="AE204" s="66">
        <f>IF(VLOOKUP($D204,$C$5:$AU$503,3,)=0,0,(VLOOKUP($D204,$C$5:$AU$503,29,)/VLOOKUP($D204,$C$5:$AU$503,3,))*$E204)</f>
        <v>0</v>
      </c>
      <c r="AF204" s="66">
        <f>IF(VLOOKUP($D204,$C$5:$AU$503,3,)=0,0,(VLOOKUP($D204,$C$5:$AU$503,30,)/VLOOKUP($D204,$C$5:$AU$503,3,))*$E204)</f>
        <v>0</v>
      </c>
      <c r="AG204" s="93">
        <f>SUM(F204:AF204)</f>
        <v>0</v>
      </c>
      <c r="AH204" s="30" t="str">
        <f>IF(ABS(E204-AG204)&lt;0.01,"ok","err")</f>
        <v>ok</v>
      </c>
    </row>
    <row r="205" spans="1:34" x14ac:dyDescent="0.2">
      <c r="E205" s="234"/>
    </row>
    <row r="206" spans="1:34" x14ac:dyDescent="0.2">
      <c r="A206" s="13" t="s">
        <v>1</v>
      </c>
      <c r="E206" s="234"/>
      <c r="F206" s="50"/>
    </row>
    <row r="207" spans="1:34" x14ac:dyDescent="0.2">
      <c r="A207" s="96" t="s">
        <v>209</v>
      </c>
      <c r="C207" s="14" t="s">
        <v>289</v>
      </c>
      <c r="D207" s="14" t="s">
        <v>613</v>
      </c>
      <c r="E207" s="233">
        <f>'Func &amp; Classif'!M312</f>
        <v>38859.203912679819</v>
      </c>
      <c r="F207" s="66">
        <f>IF(VLOOKUP($D207,$C$5:$AU$503,3,)=0,0,(VLOOKUP($D207,$C$5:$AU$503,4,)/VLOOKUP($D207,$C$5:$AU$503,3,))*$E207)</f>
        <v>29747.39140863291</v>
      </c>
      <c r="G207" s="66">
        <f>IF(VLOOKUP($D207,$C$5:$AU$503,3,)=0,0,(VLOOKUP($D207,$C$5:$AU$503,5,)/VLOOKUP($D207,$C$5:$AU$503,3,))*$E207)</f>
        <v>0</v>
      </c>
      <c r="H207" s="66">
        <f>IF(VLOOKUP($D207,$C$5:$AU$503,3,)=0,0,(VLOOKUP($D207,$C$5:$AU$503,6,)/VLOOKUP($D207,$C$5:$AU$503,3,))*$E207)</f>
        <v>4717.4627573849184</v>
      </c>
      <c r="I207" s="66">
        <f>IF(VLOOKUP($D207,$C$5:$AU$503,3,)=0,0,(VLOOKUP($D207,$C$5:$AU$503,7,)/VLOOKUP($D207,$C$5:$AU$503,3,))*$E207)</f>
        <v>168.72178350035168</v>
      </c>
      <c r="J207" s="66">
        <f>IF(VLOOKUP($D207,$C$5:$AU$503,3,)=0,0,(VLOOKUP($D207,$C$5:$AU$503,8,)/VLOOKUP($D207,$C$5:$AU$503,3,))*$E207)</f>
        <v>1511.6991449837906</v>
      </c>
      <c r="K207" s="66">
        <f>IF(VLOOKUP($D207,$C$5:$AU$503,3,)=0,0,(VLOOKUP($D207,$C$5:$AU$503,9,)/VLOOKUP($D207,$C$5:$AU$503,3,))*$E207)</f>
        <v>1926.2631237987102</v>
      </c>
      <c r="L207" s="66">
        <f>IF(VLOOKUP($D207,$C$5:$AU$503,3,)=0,0,(VLOOKUP($D207,$C$5:$AU$503,10,)/VLOOKUP($D207,$C$5:$AU$503,3,))*$E207)</f>
        <v>297.39613493146453</v>
      </c>
      <c r="M207" s="66">
        <f>IF(VLOOKUP($D207,$C$5:$AU$503,3,)=0,0,(VLOOKUP($D207,$C$5:$AU$503,11,)/VLOOKUP($D207,$C$5:$AU$503,3,))*$E207)</f>
        <v>263.03015193492871</v>
      </c>
      <c r="N207" s="66">
        <f>IF(VLOOKUP($D207,$C$5:$AU$503,3,)=0,0,(VLOOKUP($D207,$C$5:$AU$503,12,)/VLOOKUP($D207,$C$5:$AU$503,3,))*$E207)</f>
        <v>227.23940751274472</v>
      </c>
      <c r="O207" s="66">
        <f>IF(VLOOKUP($D207,$C$5:$AU$503,3,)=0,0,(VLOOKUP($D207,$C$5:$AU$503,13,)/VLOOKUP($D207,$C$5:$AU$503,3,))*$E207)</f>
        <v>0</v>
      </c>
      <c r="P207" s="66">
        <f>IF(VLOOKUP($D207,$C$5:$AU$503,3,)=0,0,(VLOOKUP($D207,$C$5:$AU$503,14,)/VLOOKUP($D207,$C$5:$AU$503,3,))*$E207)</f>
        <v>0</v>
      </c>
      <c r="Q207" s="66">
        <f>IF(VLOOKUP($D207,$C$5:$AU$503,3,)=0,0,(VLOOKUP($D207,$C$5:$AU$503,15,)/VLOOKUP($D207,$C$5:$AU$503,3,))*$E207)</f>
        <v>0</v>
      </c>
      <c r="R207" s="66">
        <f>IF(VLOOKUP($D207,$C$5:$AU$503,3,)=0,0,(VLOOKUP($D207,$C$5:$AU$503,16,)/VLOOKUP($D207,$C$5:$AU$503,3,))*$E207)</f>
        <v>0</v>
      </c>
      <c r="S207" s="66">
        <f>IF(VLOOKUP($D207,$C$5:$AU$503,3,)=0,0,(VLOOKUP($D207,$C$5:$AU$503,17,)/VLOOKUP($D207,$C$5:$AU$503,3,))*$E207)</f>
        <v>0</v>
      </c>
      <c r="T207" s="66">
        <f>IF(VLOOKUP($D207,$C$5:$AU$503,3,)=0,0,(VLOOKUP($D207,$C$5:$AU$503,18,)/VLOOKUP($D207,$C$5:$AU$503,3,))*$E207)</f>
        <v>0</v>
      </c>
      <c r="U207" s="66">
        <f>IF(VLOOKUP($D207,$C$5:$AU$503,3,)=0,0,(VLOOKUP($D207,$C$5:$AU$503,19,)/VLOOKUP($D207,$C$5:$AU$503,3,))*$E207)</f>
        <v>0</v>
      </c>
      <c r="V207" s="66">
        <f>IF(VLOOKUP($D207,$C$5:$AU$503,3,)=0,0,(VLOOKUP($D207,$C$5:$AU$503,20,)/VLOOKUP($D207,$C$5:$AU$503,3,))*$E207)</f>
        <v>0</v>
      </c>
      <c r="W207" s="66">
        <f>IF(VLOOKUP($D207,$C$5:$AU$503,3,)=0,0,(VLOOKUP($D207,$C$5:$AU$503,21,)/VLOOKUP($D207,$C$5:$AU$503,3,))*$E207)</f>
        <v>0</v>
      </c>
      <c r="X207" s="66">
        <f>IF(VLOOKUP($D207,$C$5:$AU$503,3,)=0,0,(VLOOKUP($D207,$C$5:$AU$503,22,)/VLOOKUP($D207,$C$5:$AU$503,3,))*$E207)</f>
        <v>0</v>
      </c>
      <c r="Y207" s="66">
        <f>IF(VLOOKUP($D207,$C$5:$AU$503,3,)=0,0,(VLOOKUP($D207,$C$5:$AU$503,23,)/VLOOKUP($D207,$C$5:$AU$503,3,))*$E207)</f>
        <v>0</v>
      </c>
      <c r="Z207" s="66">
        <f>IF(VLOOKUP($D207,$C$5:$AU$503,3,)=0,0,(VLOOKUP($D207,$C$5:$AU$503,24,)/VLOOKUP($D207,$C$5:$AU$503,3,))*$E207)</f>
        <v>0</v>
      </c>
      <c r="AA207" s="66">
        <f>IF(VLOOKUP($D207,$C$5:$AU$503,3,)=0,0,(VLOOKUP($D207,$C$5:$AU$503,25,)/VLOOKUP($D207,$C$5:$AU$503,3,))*$E207)</f>
        <v>0</v>
      </c>
      <c r="AB207" s="66">
        <f>IF(VLOOKUP($D207,$C$5:$AU$503,3,)=0,0,(VLOOKUP($D207,$C$5:$AU$503,26,)/VLOOKUP($D207,$C$5:$AU$503,3,))*$E207)</f>
        <v>0</v>
      </c>
      <c r="AC207" s="66">
        <f>IF(VLOOKUP($D207,$C$5:$AU$503,3,)=0,0,(VLOOKUP($D207,$C$5:$AU$503,27,)/VLOOKUP($D207,$C$5:$AU$503,3,))*$E207)</f>
        <v>0</v>
      </c>
      <c r="AD207" s="66">
        <f>IF(VLOOKUP($D207,$C$5:$AU$503,3,)=0,0,(VLOOKUP($D207,$C$5:$AU$503,28,)/VLOOKUP($D207,$C$5:$AU$503,3,))*$E207)</f>
        <v>0</v>
      </c>
      <c r="AE207" s="66">
        <f>IF(VLOOKUP($D207,$C$5:$AU$503,3,)=0,0,(VLOOKUP($D207,$C$5:$AU$503,29,)/VLOOKUP($D207,$C$5:$AU$503,3,))*$E207)</f>
        <v>0</v>
      </c>
      <c r="AF207" s="66">
        <f>IF(VLOOKUP($D207,$C$5:$AU$503,3,)=0,0,(VLOOKUP($D207,$C$5:$AU$503,30,)/VLOOKUP($D207,$C$5:$AU$503,3,))*$E207)</f>
        <v>0</v>
      </c>
      <c r="AG207" s="93">
        <f>SUM(F207:AF207)</f>
        <v>38859.203912679819</v>
      </c>
      <c r="AH207" s="30" t="str">
        <f>IF(ABS(E207-AG207)&lt;0.01,"ok","err")</f>
        <v>ok</v>
      </c>
    </row>
    <row r="208" spans="1:34" x14ac:dyDescent="0.2">
      <c r="E208" s="234"/>
    </row>
    <row r="209" spans="1:34" x14ac:dyDescent="0.2">
      <c r="A209" s="13" t="s">
        <v>2</v>
      </c>
      <c r="E209" s="234"/>
    </row>
    <row r="210" spans="1:34" x14ac:dyDescent="0.2">
      <c r="A210" s="96" t="s">
        <v>209</v>
      </c>
      <c r="C210" s="14" t="s">
        <v>290</v>
      </c>
      <c r="D210" s="14" t="s">
        <v>605</v>
      </c>
      <c r="E210" s="233">
        <f>'Func &amp; Classif'!O312</f>
        <v>5134606.8933980158</v>
      </c>
      <c r="F210" s="66">
        <f>IF(VLOOKUP($D210,$C$5:$AU$503,3,)=0,0,(VLOOKUP($D210,$C$5:$AU$503,4,)/VLOOKUP($D210,$C$5:$AU$503,3,))*$E210)</f>
        <v>4063924.0664129299</v>
      </c>
      <c r="G210" s="66">
        <f>IF(VLOOKUP($D210,$C$5:$AU$503,3,)=0,0,(VLOOKUP($D210,$C$5:$AU$503,5,)/VLOOKUP($D210,$C$5:$AU$503,3,))*$E210)</f>
        <v>289705.800709175</v>
      </c>
      <c r="H210" s="66">
        <f>IF(VLOOKUP($D210,$C$5:$AU$503,3,)=0,0,(VLOOKUP($D210,$C$5:$AU$503,6,)/VLOOKUP($D210,$C$5:$AU$503,3,))*$E210)</f>
        <v>421675.54558294971</v>
      </c>
      <c r="I210" s="66">
        <f>IF(VLOOKUP($D210,$C$5:$AU$503,3,)=0,0,(VLOOKUP($D210,$C$5:$AU$503,7,)/VLOOKUP($D210,$C$5:$AU$503,3,))*$E210)</f>
        <v>14483.005352650945</v>
      </c>
      <c r="J210" s="66">
        <f>IF(VLOOKUP($D210,$C$5:$AU$503,3,)=0,0,(VLOOKUP($D210,$C$5:$AU$503,8,)/VLOOKUP($D210,$C$5:$AU$503,3,))*$E210)</f>
        <v>115184.44028398259</v>
      </c>
      <c r="K210" s="66">
        <f>IF(VLOOKUP($D210,$C$5:$AU$503,3,)=0,0,(VLOOKUP($D210,$C$5:$AU$503,9,)/VLOOKUP($D210,$C$5:$AU$503,3,))*$E210)</f>
        <v>124746.22558028151</v>
      </c>
      <c r="L210" s="66">
        <f>IF(VLOOKUP($D210,$C$5:$AU$503,3,)=0,0,(VLOOKUP($D210,$C$5:$AU$503,10,)/VLOOKUP($D210,$C$5:$AU$503,3,))*$E210)</f>
        <v>46791.504806066019</v>
      </c>
      <c r="M210" s="66">
        <f>IF(VLOOKUP($D210,$C$5:$AU$503,3,)=0,0,(VLOOKUP($D210,$C$5:$AU$503,11,)/VLOOKUP($D210,$C$5:$AU$503,3,))*$E210)</f>
        <v>32923.265890861236</v>
      </c>
      <c r="N210" s="66">
        <f>IF(VLOOKUP($D210,$C$5:$AU$503,3,)=0,0,(VLOOKUP($D210,$C$5:$AU$503,12,)/VLOOKUP($D210,$C$5:$AU$503,3,))*$E210)</f>
        <v>25173.038779118113</v>
      </c>
      <c r="O210" s="66">
        <f>IF(VLOOKUP($D210,$C$5:$AU$503,3,)=0,0,(VLOOKUP($D210,$C$5:$AU$503,13,)/VLOOKUP($D210,$C$5:$AU$503,3,))*$E210)</f>
        <v>0</v>
      </c>
      <c r="P210" s="66">
        <f>IF(VLOOKUP($D210,$C$5:$AU$503,3,)=0,0,(VLOOKUP($D210,$C$5:$AU$503,14,)/VLOOKUP($D210,$C$5:$AU$503,3,))*$E210)</f>
        <v>0</v>
      </c>
      <c r="Q210" s="66">
        <f>IF(VLOOKUP($D210,$C$5:$AU$503,3,)=0,0,(VLOOKUP($D210,$C$5:$AU$503,15,)/VLOOKUP($D210,$C$5:$AU$503,3,))*$E210)</f>
        <v>0</v>
      </c>
      <c r="R210" s="66">
        <f>IF(VLOOKUP($D210,$C$5:$AU$503,3,)=0,0,(VLOOKUP($D210,$C$5:$AU$503,16,)/VLOOKUP($D210,$C$5:$AU$503,3,))*$E210)</f>
        <v>0</v>
      </c>
      <c r="S210" s="66">
        <f>IF(VLOOKUP($D210,$C$5:$AU$503,3,)=0,0,(VLOOKUP($D210,$C$5:$AU$503,17,)/VLOOKUP($D210,$C$5:$AU$503,3,))*$E210)</f>
        <v>0</v>
      </c>
      <c r="T210" s="66">
        <f>IF(VLOOKUP($D210,$C$5:$AU$503,3,)=0,0,(VLOOKUP($D210,$C$5:$AU$503,18,)/VLOOKUP($D210,$C$5:$AU$503,3,))*$E210)</f>
        <v>0</v>
      </c>
      <c r="U210" s="66">
        <f>IF(VLOOKUP($D210,$C$5:$AU$503,3,)=0,0,(VLOOKUP($D210,$C$5:$AU$503,19,)/VLOOKUP($D210,$C$5:$AU$503,3,))*$E210)</f>
        <v>0</v>
      </c>
      <c r="V210" s="66">
        <f>IF(VLOOKUP($D210,$C$5:$AU$503,3,)=0,0,(VLOOKUP($D210,$C$5:$AU$503,20,)/VLOOKUP($D210,$C$5:$AU$503,3,))*$E210)</f>
        <v>0</v>
      </c>
      <c r="W210" s="66">
        <f>IF(VLOOKUP($D210,$C$5:$AU$503,3,)=0,0,(VLOOKUP($D210,$C$5:$AU$503,21,)/VLOOKUP($D210,$C$5:$AU$503,3,))*$E210)</f>
        <v>0</v>
      </c>
      <c r="X210" s="66">
        <f>IF(VLOOKUP($D210,$C$5:$AU$503,3,)=0,0,(VLOOKUP($D210,$C$5:$AU$503,22,)/VLOOKUP($D210,$C$5:$AU$503,3,))*$E210)</f>
        <v>0</v>
      </c>
      <c r="Y210" s="66">
        <f>IF(VLOOKUP($D210,$C$5:$AU$503,3,)=0,0,(VLOOKUP($D210,$C$5:$AU$503,23,)/VLOOKUP($D210,$C$5:$AU$503,3,))*$E210)</f>
        <v>0</v>
      </c>
      <c r="Z210" s="66">
        <f>IF(VLOOKUP($D210,$C$5:$AU$503,3,)=0,0,(VLOOKUP($D210,$C$5:$AU$503,24,)/VLOOKUP($D210,$C$5:$AU$503,3,))*$E210)</f>
        <v>0</v>
      </c>
      <c r="AA210" s="66">
        <f>IF(VLOOKUP($D210,$C$5:$AU$503,3,)=0,0,(VLOOKUP($D210,$C$5:$AU$503,25,)/VLOOKUP($D210,$C$5:$AU$503,3,))*$E210)</f>
        <v>0</v>
      </c>
      <c r="AB210" s="66">
        <f>IF(VLOOKUP($D210,$C$5:$AU$503,3,)=0,0,(VLOOKUP($D210,$C$5:$AU$503,26,)/VLOOKUP($D210,$C$5:$AU$503,3,))*$E210)</f>
        <v>0</v>
      </c>
      <c r="AC210" s="66">
        <f>IF(VLOOKUP($D210,$C$5:$AU$503,3,)=0,0,(VLOOKUP($D210,$C$5:$AU$503,27,)/VLOOKUP($D210,$C$5:$AU$503,3,))*$E210)</f>
        <v>0</v>
      </c>
      <c r="AD210" s="66">
        <f>IF(VLOOKUP($D210,$C$5:$AU$503,3,)=0,0,(VLOOKUP($D210,$C$5:$AU$503,28,)/VLOOKUP($D210,$C$5:$AU$503,3,))*$E210)</f>
        <v>0</v>
      </c>
      <c r="AE210" s="66">
        <f>IF(VLOOKUP($D210,$C$5:$AU$503,3,)=0,0,(VLOOKUP($D210,$C$5:$AU$503,29,)/VLOOKUP($D210,$C$5:$AU$503,3,))*$E210)</f>
        <v>0</v>
      </c>
      <c r="AF210" s="66">
        <f>IF(VLOOKUP($D210,$C$5:$AU$503,3,)=0,0,(VLOOKUP($D210,$C$5:$AU$503,30,)/VLOOKUP($D210,$C$5:$AU$503,3,))*$E210)</f>
        <v>0</v>
      </c>
      <c r="AG210" s="93">
        <f>SUM(F210:AF210)</f>
        <v>5134606.8933980158</v>
      </c>
      <c r="AH210" s="30" t="str">
        <f>IF(ABS(E210-AG210)&lt;0.01,"ok","err")</f>
        <v>ok</v>
      </c>
    </row>
    <row r="211" spans="1:34" x14ac:dyDescent="0.2">
      <c r="A211" s="96" t="s">
        <v>221</v>
      </c>
      <c r="C211" s="14" t="s">
        <v>291</v>
      </c>
      <c r="D211" s="14" t="s">
        <v>223</v>
      </c>
      <c r="E211" s="234">
        <f>'Func &amp; Classif'!P312</f>
        <v>2889959.8476182777</v>
      </c>
      <c r="F211" s="66">
        <f>IF(VLOOKUP($D211,$C$5:$AU$503,3,)=0,0,(VLOOKUP($D211,$C$5:$AU$503,4,)/VLOOKUP($D211,$C$5:$AU$503,3,))*$E211)</f>
        <v>2664347.9264414641</v>
      </c>
      <c r="G211" s="66">
        <f>IF(VLOOKUP($D211,$C$5:$AU$503,3,)=0,0,(VLOOKUP($D211,$C$5:$AU$503,5,)/VLOOKUP($D211,$C$5:$AU$503,3,))*$E211)</f>
        <v>199430.30203752764</v>
      </c>
      <c r="H211" s="66">
        <f>IF(VLOOKUP($D211,$C$5:$AU$503,3,)=0,0,(VLOOKUP($D211,$C$5:$AU$503,6,)/VLOOKUP($D211,$C$5:$AU$503,3,))*$E211)</f>
        <v>18245.315837689712</v>
      </c>
      <c r="I211" s="66">
        <f>IF(VLOOKUP($D211,$C$5:$AU$503,3,)=0,0,(VLOOKUP($D211,$C$5:$AU$503,7,)/VLOOKUP($D211,$C$5:$AU$503,3,))*$E211)</f>
        <v>40.908779905133876</v>
      </c>
      <c r="J211" s="66">
        <f>IF(VLOOKUP($D211,$C$5:$AU$503,3,)=0,0,(VLOOKUP($D211,$C$5:$AU$503,8,)/VLOOKUP($D211,$C$5:$AU$503,3,))*$E211)</f>
        <v>81.817559810267753</v>
      </c>
      <c r="K211" s="66">
        <f>IF(VLOOKUP($D211,$C$5:$AU$503,3,)=0,0,(VLOOKUP($D211,$C$5:$AU$503,9,)/VLOOKUP($D211,$C$5:$AU$503,3,))*$E211)</f>
        <v>368.17901914620489</v>
      </c>
      <c r="L211" s="66">
        <f>IF(VLOOKUP($D211,$C$5:$AU$503,3,)=0,0,(VLOOKUP($D211,$C$5:$AU$503,10,)/VLOOKUP($D211,$C$5:$AU$503,3,))*$E211)</f>
        <v>5809.0467465290112</v>
      </c>
      <c r="M211" s="66">
        <f>IF(VLOOKUP($D211,$C$5:$AU$503,3,)=0,0,(VLOOKUP($D211,$C$5:$AU$503,11,)/VLOOKUP($D211,$C$5:$AU$503,3,))*$E211)</f>
        <v>695.4492583872759</v>
      </c>
      <c r="N211" s="66">
        <f>IF(VLOOKUP($D211,$C$5:$AU$503,3,)=0,0,(VLOOKUP($D211,$C$5:$AU$503,12,)/VLOOKUP($D211,$C$5:$AU$503,3,))*$E211)</f>
        <v>940.9019378180792</v>
      </c>
      <c r="O211" s="66">
        <f>IF(VLOOKUP($D211,$C$5:$AU$503,3,)=0,0,(VLOOKUP($D211,$C$5:$AU$503,13,)/VLOOKUP($D211,$C$5:$AU$503,3,))*$E211)</f>
        <v>0</v>
      </c>
      <c r="P211" s="66">
        <f>IF(VLOOKUP($D211,$C$5:$AU$503,3,)=0,0,(VLOOKUP($D211,$C$5:$AU$503,14,)/VLOOKUP($D211,$C$5:$AU$503,3,))*$E211)</f>
        <v>0</v>
      </c>
      <c r="Q211" s="66">
        <f>IF(VLOOKUP($D211,$C$5:$AU$503,3,)=0,0,(VLOOKUP($D211,$C$5:$AU$503,15,)/VLOOKUP($D211,$C$5:$AU$503,3,))*$E211)</f>
        <v>0</v>
      </c>
      <c r="R211" s="66">
        <f>IF(VLOOKUP($D211,$C$5:$AU$503,3,)=0,0,(VLOOKUP($D211,$C$5:$AU$503,16,)/VLOOKUP($D211,$C$5:$AU$503,3,))*$E211)</f>
        <v>0</v>
      </c>
      <c r="S211" s="66">
        <f>IF(VLOOKUP($D211,$C$5:$AU$503,3,)=0,0,(VLOOKUP($D211,$C$5:$AU$503,17,)/VLOOKUP($D211,$C$5:$AU$503,3,))*$E211)</f>
        <v>0</v>
      </c>
      <c r="T211" s="66">
        <f>IF(VLOOKUP($D211,$C$5:$AU$503,3,)=0,0,(VLOOKUP($D211,$C$5:$AU$503,18,)/VLOOKUP($D211,$C$5:$AU$503,3,))*$E211)</f>
        <v>0</v>
      </c>
      <c r="U211" s="66">
        <f>IF(VLOOKUP($D211,$C$5:$AU$503,3,)=0,0,(VLOOKUP($D211,$C$5:$AU$503,19,)/VLOOKUP($D211,$C$5:$AU$503,3,))*$E211)</f>
        <v>0</v>
      </c>
      <c r="V211" s="66">
        <f>IF(VLOOKUP($D211,$C$5:$AU$503,3,)=0,0,(VLOOKUP($D211,$C$5:$AU$503,20,)/VLOOKUP($D211,$C$5:$AU$503,3,))*$E211)</f>
        <v>0</v>
      </c>
      <c r="W211" s="66">
        <f>IF(VLOOKUP($D211,$C$5:$AU$503,3,)=0,0,(VLOOKUP($D211,$C$5:$AU$503,21,)/VLOOKUP($D211,$C$5:$AU$503,3,))*$E211)</f>
        <v>0</v>
      </c>
      <c r="X211" s="66">
        <f>IF(VLOOKUP($D211,$C$5:$AU$503,3,)=0,0,(VLOOKUP($D211,$C$5:$AU$503,22,)/VLOOKUP($D211,$C$5:$AU$503,3,))*$E211)</f>
        <v>0</v>
      </c>
      <c r="Y211" s="66">
        <f>IF(VLOOKUP($D211,$C$5:$AU$503,3,)=0,0,(VLOOKUP($D211,$C$5:$AU$503,23,)/VLOOKUP($D211,$C$5:$AU$503,3,))*$E211)</f>
        <v>0</v>
      </c>
      <c r="Z211" s="66">
        <f>IF(VLOOKUP($D211,$C$5:$AU$503,3,)=0,0,(VLOOKUP($D211,$C$5:$AU$503,24,)/VLOOKUP($D211,$C$5:$AU$503,3,))*$E211)</f>
        <v>0</v>
      </c>
      <c r="AA211" s="66">
        <f>IF(VLOOKUP($D211,$C$5:$AU$503,3,)=0,0,(VLOOKUP($D211,$C$5:$AU$503,25,)/VLOOKUP($D211,$C$5:$AU$503,3,))*$E211)</f>
        <v>0</v>
      </c>
      <c r="AB211" s="66">
        <f>IF(VLOOKUP($D211,$C$5:$AU$503,3,)=0,0,(VLOOKUP($D211,$C$5:$AU$503,26,)/VLOOKUP($D211,$C$5:$AU$503,3,))*$E211)</f>
        <v>0</v>
      </c>
      <c r="AC211" s="66">
        <f>IF(VLOOKUP($D211,$C$5:$AU$503,3,)=0,0,(VLOOKUP($D211,$C$5:$AU$503,27,)/VLOOKUP($D211,$C$5:$AU$503,3,))*$E211)</f>
        <v>0</v>
      </c>
      <c r="AD211" s="66">
        <f>IF(VLOOKUP($D211,$C$5:$AU$503,3,)=0,0,(VLOOKUP($D211,$C$5:$AU$503,28,)/VLOOKUP($D211,$C$5:$AU$503,3,))*$E211)</f>
        <v>0</v>
      </c>
      <c r="AE211" s="66">
        <f>IF(VLOOKUP($D211,$C$5:$AU$503,3,)=0,0,(VLOOKUP($D211,$C$5:$AU$503,29,)/VLOOKUP($D211,$C$5:$AU$503,3,))*$E211)</f>
        <v>0</v>
      </c>
      <c r="AF211" s="66">
        <f>IF(VLOOKUP($D211,$C$5:$AU$503,3,)=0,0,(VLOOKUP($D211,$C$5:$AU$503,30,)/VLOOKUP($D211,$C$5:$AU$503,3,))*$E211)</f>
        <v>0</v>
      </c>
      <c r="AG211" s="93">
        <f>SUM(F211:AF211)</f>
        <v>2889959.8476182777</v>
      </c>
      <c r="AH211" s="30" t="str">
        <f>IF(ABS(E211-AG211)&lt;0.01,"ok","err")</f>
        <v>ok</v>
      </c>
    </row>
    <row r="212" spans="1:34" x14ac:dyDescent="0.2">
      <c r="A212" s="14" t="s">
        <v>224</v>
      </c>
      <c r="E212" s="233">
        <f t="shared" ref="E212:T212" si="43">E210+E211</f>
        <v>8024566.7410162929</v>
      </c>
      <c r="F212" s="66">
        <f t="shared" si="43"/>
        <v>6728271.992854394</v>
      </c>
      <c r="G212" s="66">
        <f t="shared" si="43"/>
        <v>489136.10274670261</v>
      </c>
      <c r="H212" s="66">
        <f t="shared" si="43"/>
        <v>439920.86142063944</v>
      </c>
      <c r="I212" s="66">
        <f t="shared" si="43"/>
        <v>14523.914132556079</v>
      </c>
      <c r="J212" s="66">
        <f t="shared" si="43"/>
        <v>115266.25784379286</v>
      </c>
      <c r="K212" s="66">
        <f t="shared" si="43"/>
        <v>125114.40459942771</v>
      </c>
      <c r="L212" s="66">
        <f t="shared" si="43"/>
        <v>52600.551552595032</v>
      </c>
      <c r="M212" s="66">
        <f t="shared" si="43"/>
        <v>33618.715149248514</v>
      </c>
      <c r="N212" s="66">
        <f t="shared" si="43"/>
        <v>26113.940716936191</v>
      </c>
      <c r="O212" s="66">
        <f t="shared" si="43"/>
        <v>0</v>
      </c>
      <c r="P212" s="66">
        <f t="shared" si="43"/>
        <v>0</v>
      </c>
      <c r="Q212" s="66">
        <f t="shared" si="43"/>
        <v>0</v>
      </c>
      <c r="R212" s="66">
        <f t="shared" si="43"/>
        <v>0</v>
      </c>
      <c r="S212" s="66">
        <f t="shared" si="43"/>
        <v>0</v>
      </c>
      <c r="T212" s="66">
        <f t="shared" si="43"/>
        <v>0</v>
      </c>
      <c r="U212" s="66">
        <f t="shared" ref="U212:AF212" si="44">U210+U211</f>
        <v>0</v>
      </c>
      <c r="V212" s="66">
        <f t="shared" si="44"/>
        <v>0</v>
      </c>
      <c r="W212" s="66">
        <f t="shared" si="44"/>
        <v>0</v>
      </c>
      <c r="X212" s="66">
        <f t="shared" si="44"/>
        <v>0</v>
      </c>
      <c r="Y212" s="66">
        <f t="shared" si="44"/>
        <v>0</v>
      </c>
      <c r="Z212" s="66">
        <f t="shared" si="44"/>
        <v>0</v>
      </c>
      <c r="AA212" s="66">
        <f t="shared" si="44"/>
        <v>0</v>
      </c>
      <c r="AB212" s="66">
        <f t="shared" si="44"/>
        <v>0</v>
      </c>
      <c r="AC212" s="66">
        <f t="shared" si="44"/>
        <v>0</v>
      </c>
      <c r="AD212" s="66">
        <f t="shared" si="44"/>
        <v>0</v>
      </c>
      <c r="AE212" s="66">
        <f t="shared" si="44"/>
        <v>0</v>
      </c>
      <c r="AF212" s="66">
        <f t="shared" si="44"/>
        <v>0</v>
      </c>
      <c r="AG212" s="93">
        <f>SUM(F212:AF212)</f>
        <v>8024566.741016292</v>
      </c>
      <c r="AH212" s="30" t="str">
        <f>IF(ABS(E212-AG212)&lt;0.01,"ok","err")</f>
        <v>ok</v>
      </c>
    </row>
    <row r="213" spans="1:34" x14ac:dyDescent="0.2">
      <c r="E213" s="234"/>
    </row>
    <row r="214" spans="1:34" x14ac:dyDescent="0.2">
      <c r="A214" s="13" t="s">
        <v>3</v>
      </c>
      <c r="E214" s="234"/>
    </row>
    <row r="215" spans="1:34" x14ac:dyDescent="0.2">
      <c r="A215" s="96" t="s">
        <v>209</v>
      </c>
      <c r="C215" s="14" t="s">
        <v>292</v>
      </c>
      <c r="D215" s="14" t="s">
        <v>699</v>
      </c>
      <c r="E215" s="233">
        <f>'Func &amp; Classif'!R312</f>
        <v>0</v>
      </c>
      <c r="F215" s="66">
        <f>IF(VLOOKUP($D215,$C$5:$AU$503,3,)=0,0,(VLOOKUP($D215,$C$5:$AU$503,4,)/VLOOKUP($D215,$C$5:$AU$503,3,))*$E215)</f>
        <v>0</v>
      </c>
      <c r="G215" s="66">
        <f>IF(VLOOKUP($D215,$C$5:$AU$503,3,)=0,0,(VLOOKUP($D215,$C$5:$AU$503,5,)/VLOOKUP($D215,$C$5:$AU$503,3,))*$E215)</f>
        <v>0</v>
      </c>
      <c r="H215" s="66">
        <f>IF(VLOOKUP($D215,$C$5:$AU$503,3,)=0,0,(VLOOKUP($D215,$C$5:$AU$503,6,)/VLOOKUP($D215,$C$5:$AU$503,3,))*$E215)</f>
        <v>0</v>
      </c>
      <c r="I215" s="66">
        <f>IF(VLOOKUP($D215,$C$5:$AU$503,3,)=0,0,(VLOOKUP($D215,$C$5:$AU$503,7,)/VLOOKUP($D215,$C$5:$AU$503,3,))*$E215)</f>
        <v>0</v>
      </c>
      <c r="J215" s="66">
        <f>IF(VLOOKUP($D215,$C$5:$AU$503,3,)=0,0,(VLOOKUP($D215,$C$5:$AU$503,8,)/VLOOKUP($D215,$C$5:$AU$503,3,))*$E215)</f>
        <v>0</v>
      </c>
      <c r="K215" s="66">
        <f>IF(VLOOKUP($D215,$C$5:$AU$503,3,)=0,0,(VLOOKUP($D215,$C$5:$AU$503,9,)/VLOOKUP($D215,$C$5:$AU$503,3,))*$E215)</f>
        <v>0</v>
      </c>
      <c r="L215" s="66">
        <f>IF(VLOOKUP($D215,$C$5:$AU$503,3,)=0,0,(VLOOKUP($D215,$C$5:$AU$503,10,)/VLOOKUP($D215,$C$5:$AU$503,3,))*$E215)</f>
        <v>0</v>
      </c>
      <c r="M215" s="66">
        <f>IF(VLOOKUP($D215,$C$5:$AU$503,3,)=0,0,(VLOOKUP($D215,$C$5:$AU$503,11,)/VLOOKUP($D215,$C$5:$AU$503,3,))*$E215)</f>
        <v>0</v>
      </c>
      <c r="N215" s="66">
        <f>IF(VLOOKUP($D215,$C$5:$AU$503,3,)=0,0,(VLOOKUP($D215,$C$5:$AU$503,12,)/VLOOKUP($D215,$C$5:$AU$503,3,))*$E215)</f>
        <v>0</v>
      </c>
      <c r="O215" s="66">
        <f>IF(VLOOKUP($D215,$C$5:$AU$503,3,)=0,0,(VLOOKUP($D215,$C$5:$AU$503,13,)/VLOOKUP($D215,$C$5:$AU$503,3,))*$E215)</f>
        <v>0</v>
      </c>
      <c r="P215" s="66">
        <f>IF(VLOOKUP($D215,$C$5:$AU$503,3,)=0,0,(VLOOKUP($D215,$C$5:$AU$503,14,)/VLOOKUP($D215,$C$5:$AU$503,3,))*$E215)</f>
        <v>0</v>
      </c>
      <c r="Q215" s="66">
        <f>IF(VLOOKUP($D215,$C$5:$AU$503,3,)=0,0,(VLOOKUP($D215,$C$5:$AU$503,15,)/VLOOKUP($D215,$C$5:$AU$503,3,))*$E215)</f>
        <v>0</v>
      </c>
      <c r="R215" s="66">
        <f>IF(VLOOKUP($D215,$C$5:$AU$503,3,)=0,0,(VLOOKUP($D215,$C$5:$AU$503,16,)/VLOOKUP($D215,$C$5:$AU$503,3,))*$E215)</f>
        <v>0</v>
      </c>
      <c r="S215" s="66">
        <f>IF(VLOOKUP($D215,$C$5:$AU$503,3,)=0,0,(VLOOKUP($D215,$C$5:$AU$503,17,)/VLOOKUP($D215,$C$5:$AU$503,3,))*$E215)</f>
        <v>0</v>
      </c>
      <c r="T215" s="66">
        <f>IF(VLOOKUP($D215,$C$5:$AU$503,3,)=0,0,(VLOOKUP($D215,$C$5:$AU$503,18,)/VLOOKUP($D215,$C$5:$AU$503,3,))*$E215)</f>
        <v>0</v>
      </c>
      <c r="U215" s="66">
        <f>IF(VLOOKUP($D215,$C$5:$AU$503,3,)=0,0,(VLOOKUP($D215,$C$5:$AU$503,19,)/VLOOKUP($D215,$C$5:$AU$503,3,))*$E215)</f>
        <v>0</v>
      </c>
      <c r="V215" s="66">
        <f>IF(VLOOKUP($D215,$C$5:$AU$503,3,)=0,0,(VLOOKUP($D215,$C$5:$AU$503,20,)/VLOOKUP($D215,$C$5:$AU$503,3,))*$E215)</f>
        <v>0</v>
      </c>
      <c r="W215" s="66">
        <f>IF(VLOOKUP($D215,$C$5:$AU$503,3,)=0,0,(VLOOKUP($D215,$C$5:$AU$503,21,)/VLOOKUP($D215,$C$5:$AU$503,3,))*$E215)</f>
        <v>0</v>
      </c>
      <c r="X215" s="66">
        <f>IF(VLOOKUP($D215,$C$5:$AU$503,3,)=0,0,(VLOOKUP($D215,$C$5:$AU$503,22,)/VLOOKUP($D215,$C$5:$AU$503,3,))*$E215)</f>
        <v>0</v>
      </c>
      <c r="Y215" s="66">
        <f>IF(VLOOKUP($D215,$C$5:$AU$503,3,)=0,0,(VLOOKUP($D215,$C$5:$AU$503,23,)/VLOOKUP($D215,$C$5:$AU$503,3,))*$E215)</f>
        <v>0</v>
      </c>
      <c r="Z215" s="66">
        <f>IF(VLOOKUP($D215,$C$5:$AU$503,3,)=0,0,(VLOOKUP($D215,$C$5:$AU$503,24,)/VLOOKUP($D215,$C$5:$AU$503,3,))*$E215)</f>
        <v>0</v>
      </c>
      <c r="AA215" s="66">
        <f>IF(VLOOKUP($D215,$C$5:$AU$503,3,)=0,0,(VLOOKUP($D215,$C$5:$AU$503,25,)/VLOOKUP($D215,$C$5:$AU$503,3,))*$E215)</f>
        <v>0</v>
      </c>
      <c r="AB215" s="66">
        <f>IF(VLOOKUP($D215,$C$5:$AU$503,3,)=0,0,(VLOOKUP($D215,$C$5:$AU$503,26,)/VLOOKUP($D215,$C$5:$AU$503,3,))*$E215)</f>
        <v>0</v>
      </c>
      <c r="AC215" s="66">
        <f>IF(VLOOKUP($D215,$C$5:$AU$503,3,)=0,0,(VLOOKUP($D215,$C$5:$AU$503,27,)/VLOOKUP($D215,$C$5:$AU$503,3,))*$E215)</f>
        <v>0</v>
      </c>
      <c r="AD215" s="66">
        <f>IF(VLOOKUP($D215,$C$5:$AU$503,3,)=0,0,(VLOOKUP($D215,$C$5:$AU$503,28,)/VLOOKUP($D215,$C$5:$AU$503,3,))*$E215)</f>
        <v>0</v>
      </c>
      <c r="AE215" s="66">
        <f>IF(VLOOKUP($D215,$C$5:$AU$503,3,)=0,0,(VLOOKUP($D215,$C$5:$AU$503,29,)/VLOOKUP($D215,$C$5:$AU$503,3,))*$E215)</f>
        <v>0</v>
      </c>
      <c r="AF215" s="66">
        <f>IF(VLOOKUP($D215,$C$5:$AU$503,3,)=0,0,(VLOOKUP($D215,$C$5:$AU$503,30,)/VLOOKUP($D215,$C$5:$AU$503,3,))*$E215)</f>
        <v>0</v>
      </c>
      <c r="AG215" s="93">
        <f>SUM(F215:AF215)</f>
        <v>0</v>
      </c>
      <c r="AH215" s="30" t="str">
        <f>IF(ABS(E215-AG215)&lt;0.01,"ok","err")</f>
        <v>ok</v>
      </c>
    </row>
    <row r="216" spans="1:34" x14ac:dyDescent="0.2">
      <c r="A216" s="96" t="s">
        <v>221</v>
      </c>
      <c r="C216" s="14" t="s">
        <v>293</v>
      </c>
      <c r="D216" s="14" t="s">
        <v>699</v>
      </c>
      <c r="E216" s="234">
        <f>'Func &amp; Classif'!S312</f>
        <v>1328157.7648040028</v>
      </c>
      <c r="F216" s="66">
        <f>IF(VLOOKUP($D216,$C$5:$AU$503,3,)=0,0,(VLOOKUP($D216,$C$5:$AU$503,4,)/VLOOKUP($D216,$C$5:$AU$503,3,))*$E216)</f>
        <v>1220775.4410205826</v>
      </c>
      <c r="G216" s="66">
        <f>IF(VLOOKUP($D216,$C$5:$AU$503,3,)=0,0,(VLOOKUP($D216,$C$5:$AU$503,5,)/VLOOKUP($D216,$C$5:$AU$503,3,))*$E216)</f>
        <v>91376.810253118281</v>
      </c>
      <c r="H216" s="66">
        <f>IF(VLOOKUP($D216,$C$5:$AU$503,3,)=0,0,(VLOOKUP($D216,$C$5:$AU$503,6,)/VLOOKUP($D216,$C$5:$AU$503,3,))*$E216)</f>
        <v>13264.89800682042</v>
      </c>
      <c r="I216" s="66">
        <f>IF(VLOOKUP($D216,$C$5:$AU$503,3,)=0,0,(VLOOKUP($D216,$C$5:$AU$503,7,)/VLOOKUP($D216,$C$5:$AU$503,3,))*$E216)</f>
        <v>29.741923782108564</v>
      </c>
      <c r="J216" s="66">
        <f>IF(VLOOKUP($D216,$C$5:$AU$503,3,)=0,0,(VLOOKUP($D216,$C$5:$AU$503,8,)/VLOOKUP($D216,$C$5:$AU$503,3,))*$E216)</f>
        <v>78.385890241229177</v>
      </c>
      <c r="K216" s="66">
        <f>IF(VLOOKUP($D216,$C$5:$AU$503,3,)=0,0,(VLOOKUP($D216,$C$5:$AU$503,9,)/VLOOKUP($D216,$C$5:$AU$503,3,))*$E216)</f>
        <v>101.31901370419898</v>
      </c>
      <c r="L216" s="66">
        <f>IF(VLOOKUP($D216,$C$5:$AU$503,3,)=0,0,(VLOOKUP($D216,$C$5:$AU$503,10,)/VLOOKUP($D216,$C$5:$AU$503,3,))*$E216)</f>
        <v>1598.5888828884729</v>
      </c>
      <c r="M216" s="66">
        <f>IF(VLOOKUP($D216,$C$5:$AU$503,3,)=0,0,(VLOOKUP($D216,$C$5:$AU$503,11,)/VLOOKUP($D216,$C$5:$AU$503,3,))*$E216)</f>
        <v>191.38035921904253</v>
      </c>
      <c r="N216" s="66">
        <f>IF(VLOOKUP($D216,$C$5:$AU$503,3,)=0,0,(VLOOKUP($D216,$C$5:$AU$503,12,)/VLOOKUP($D216,$C$5:$AU$503,3,))*$E216)</f>
        <v>741.19945364660987</v>
      </c>
      <c r="O216" s="66">
        <f>IF(VLOOKUP($D216,$C$5:$AU$503,3,)=0,0,(VLOOKUP($D216,$C$5:$AU$503,13,)/VLOOKUP($D216,$C$5:$AU$503,3,))*$E216)</f>
        <v>0</v>
      </c>
      <c r="P216" s="66">
        <f>IF(VLOOKUP($D216,$C$5:$AU$503,3,)=0,0,(VLOOKUP($D216,$C$5:$AU$503,14,)/VLOOKUP($D216,$C$5:$AU$503,3,))*$E216)</f>
        <v>0</v>
      </c>
      <c r="Q216" s="66">
        <f>IF(VLOOKUP($D216,$C$5:$AU$503,3,)=0,0,(VLOOKUP($D216,$C$5:$AU$503,15,)/VLOOKUP($D216,$C$5:$AU$503,3,))*$E216)</f>
        <v>0</v>
      </c>
      <c r="R216" s="66">
        <f>IF(VLOOKUP($D216,$C$5:$AU$503,3,)=0,0,(VLOOKUP($D216,$C$5:$AU$503,16,)/VLOOKUP($D216,$C$5:$AU$503,3,))*$E216)</f>
        <v>0</v>
      </c>
      <c r="S216" s="66">
        <f>IF(VLOOKUP($D216,$C$5:$AU$503,3,)=0,0,(VLOOKUP($D216,$C$5:$AU$503,17,)/VLOOKUP($D216,$C$5:$AU$503,3,))*$E216)</f>
        <v>0</v>
      </c>
      <c r="T216" s="66">
        <f>IF(VLOOKUP($D216,$C$5:$AU$503,3,)=0,0,(VLOOKUP($D216,$C$5:$AU$503,18,)/VLOOKUP($D216,$C$5:$AU$503,3,))*$E216)</f>
        <v>0</v>
      </c>
      <c r="U216" s="66">
        <f>IF(VLOOKUP($D216,$C$5:$AU$503,3,)=0,0,(VLOOKUP($D216,$C$5:$AU$503,19,)/VLOOKUP($D216,$C$5:$AU$503,3,))*$E216)</f>
        <v>0</v>
      </c>
      <c r="V216" s="66">
        <f>IF(VLOOKUP($D216,$C$5:$AU$503,3,)=0,0,(VLOOKUP($D216,$C$5:$AU$503,20,)/VLOOKUP($D216,$C$5:$AU$503,3,))*$E216)</f>
        <v>0</v>
      </c>
      <c r="W216" s="66">
        <f>IF(VLOOKUP($D216,$C$5:$AU$503,3,)=0,0,(VLOOKUP($D216,$C$5:$AU$503,21,)/VLOOKUP($D216,$C$5:$AU$503,3,))*$E216)</f>
        <v>0</v>
      </c>
      <c r="X216" s="66">
        <f>IF(VLOOKUP($D216,$C$5:$AU$503,3,)=0,0,(VLOOKUP($D216,$C$5:$AU$503,22,)/VLOOKUP($D216,$C$5:$AU$503,3,))*$E216)</f>
        <v>0</v>
      </c>
      <c r="Y216" s="66">
        <f>IF(VLOOKUP($D216,$C$5:$AU$503,3,)=0,0,(VLOOKUP($D216,$C$5:$AU$503,23,)/VLOOKUP($D216,$C$5:$AU$503,3,))*$E216)</f>
        <v>0</v>
      </c>
      <c r="Z216" s="66">
        <f>IF(VLOOKUP($D216,$C$5:$AU$503,3,)=0,0,(VLOOKUP($D216,$C$5:$AU$503,24,)/VLOOKUP($D216,$C$5:$AU$503,3,))*$E216)</f>
        <v>0</v>
      </c>
      <c r="AA216" s="66">
        <f>IF(VLOOKUP($D216,$C$5:$AU$503,3,)=0,0,(VLOOKUP($D216,$C$5:$AU$503,25,)/VLOOKUP($D216,$C$5:$AU$503,3,))*$E216)</f>
        <v>0</v>
      </c>
      <c r="AB216" s="66">
        <f>IF(VLOOKUP($D216,$C$5:$AU$503,3,)=0,0,(VLOOKUP($D216,$C$5:$AU$503,26,)/VLOOKUP($D216,$C$5:$AU$503,3,))*$E216)</f>
        <v>0</v>
      </c>
      <c r="AC216" s="66">
        <f>IF(VLOOKUP($D216,$C$5:$AU$503,3,)=0,0,(VLOOKUP($D216,$C$5:$AU$503,27,)/VLOOKUP($D216,$C$5:$AU$503,3,))*$E216)</f>
        <v>0</v>
      </c>
      <c r="AD216" s="66">
        <f>IF(VLOOKUP($D216,$C$5:$AU$503,3,)=0,0,(VLOOKUP($D216,$C$5:$AU$503,28,)/VLOOKUP($D216,$C$5:$AU$503,3,))*$E216)</f>
        <v>0</v>
      </c>
      <c r="AE216" s="66">
        <f>IF(VLOOKUP($D216,$C$5:$AU$503,3,)=0,0,(VLOOKUP($D216,$C$5:$AU$503,29,)/VLOOKUP($D216,$C$5:$AU$503,3,))*$E216)</f>
        <v>0</v>
      </c>
      <c r="AF216" s="66">
        <f>IF(VLOOKUP($D216,$C$5:$AU$503,3,)=0,0,(VLOOKUP($D216,$C$5:$AU$503,30,)/VLOOKUP($D216,$C$5:$AU$503,3,))*$E216)</f>
        <v>0</v>
      </c>
      <c r="AG216" s="93">
        <f>SUM(F216:AF216)</f>
        <v>1328157.7648040031</v>
      </c>
      <c r="AH216" s="30" t="str">
        <f>IF(ABS(E216-AG216)&lt;0.01,"ok","err")</f>
        <v>ok</v>
      </c>
    </row>
    <row r="217" spans="1:34" x14ac:dyDescent="0.2">
      <c r="A217" s="14" t="s">
        <v>228</v>
      </c>
      <c r="E217" s="233">
        <f t="shared" ref="E217:T217" si="45">E215+E216</f>
        <v>1328157.7648040028</v>
      </c>
      <c r="F217" s="66">
        <f t="shared" si="45"/>
        <v>1220775.4410205826</v>
      </c>
      <c r="G217" s="66">
        <f t="shared" si="45"/>
        <v>91376.810253118281</v>
      </c>
      <c r="H217" s="66">
        <f t="shared" si="45"/>
        <v>13264.89800682042</v>
      </c>
      <c r="I217" s="66">
        <f t="shared" si="45"/>
        <v>29.741923782108564</v>
      </c>
      <c r="J217" s="66">
        <f t="shared" si="45"/>
        <v>78.385890241229177</v>
      </c>
      <c r="K217" s="66">
        <f t="shared" si="45"/>
        <v>101.31901370419898</v>
      </c>
      <c r="L217" s="66">
        <f t="shared" si="45"/>
        <v>1598.5888828884729</v>
      </c>
      <c r="M217" s="66">
        <f t="shared" si="45"/>
        <v>191.38035921904253</v>
      </c>
      <c r="N217" s="66">
        <f t="shared" si="45"/>
        <v>741.19945364660987</v>
      </c>
      <c r="O217" s="66">
        <f t="shared" si="45"/>
        <v>0</v>
      </c>
      <c r="P217" s="66">
        <f t="shared" si="45"/>
        <v>0</v>
      </c>
      <c r="Q217" s="66">
        <f t="shared" si="45"/>
        <v>0</v>
      </c>
      <c r="R217" s="66">
        <f t="shared" si="45"/>
        <v>0</v>
      </c>
      <c r="S217" s="66">
        <f t="shared" si="45"/>
        <v>0</v>
      </c>
      <c r="T217" s="66">
        <f t="shared" si="45"/>
        <v>0</v>
      </c>
      <c r="U217" s="66">
        <f t="shared" ref="U217:AF217" si="46">U215+U216</f>
        <v>0</v>
      </c>
      <c r="V217" s="66">
        <f t="shared" si="46"/>
        <v>0</v>
      </c>
      <c r="W217" s="66">
        <f t="shared" si="46"/>
        <v>0</v>
      </c>
      <c r="X217" s="66">
        <f t="shared" si="46"/>
        <v>0</v>
      </c>
      <c r="Y217" s="66">
        <f t="shared" si="46"/>
        <v>0</v>
      </c>
      <c r="Z217" s="66">
        <f t="shared" si="46"/>
        <v>0</v>
      </c>
      <c r="AA217" s="66">
        <f t="shared" si="46"/>
        <v>0</v>
      </c>
      <c r="AB217" s="66">
        <f t="shared" si="46"/>
        <v>0</v>
      </c>
      <c r="AC217" s="66">
        <f t="shared" si="46"/>
        <v>0</v>
      </c>
      <c r="AD217" s="66">
        <f t="shared" si="46"/>
        <v>0</v>
      </c>
      <c r="AE217" s="66">
        <f t="shared" si="46"/>
        <v>0</v>
      </c>
      <c r="AF217" s="66">
        <f t="shared" si="46"/>
        <v>0</v>
      </c>
      <c r="AG217" s="93">
        <f>SUM(F217:AF217)</f>
        <v>1328157.7648040031</v>
      </c>
      <c r="AH217" s="30" t="str">
        <f>IF(ABS(E217-AG217)&lt;0.01,"ok","err")</f>
        <v>ok</v>
      </c>
    </row>
    <row r="218" spans="1:34" x14ac:dyDescent="0.2">
      <c r="E218" s="234"/>
    </row>
    <row r="219" spans="1:34" x14ac:dyDescent="0.2">
      <c r="A219" s="13" t="s">
        <v>4</v>
      </c>
      <c r="E219" s="234"/>
    </row>
    <row r="220" spans="1:34" x14ac:dyDescent="0.2">
      <c r="A220" s="96" t="s">
        <v>221</v>
      </c>
      <c r="C220" s="14" t="s">
        <v>294</v>
      </c>
      <c r="D220" s="14" t="s">
        <v>230</v>
      </c>
      <c r="E220" s="233">
        <f>'Func &amp; Classif'!U312</f>
        <v>577881.07876020379</v>
      </c>
      <c r="F220" s="66">
        <f>IF(VLOOKUP($D220,$C$5:$AU$503,3,)=0,0,(VLOOKUP($D220,$C$5:$AU$503,4,)/VLOOKUP($D220,$C$5:$AU$503,3,))*$E220)</f>
        <v>378143.35792088712</v>
      </c>
      <c r="G220" s="66">
        <f>IF(VLOOKUP($D220,$C$5:$AU$503,3,)=0,0,(VLOOKUP($D220,$C$5:$AU$503,5,)/VLOOKUP($D220,$C$5:$AU$503,3,))*$E220)</f>
        <v>154808.71310771903</v>
      </c>
      <c r="H220" s="66">
        <f>IF(VLOOKUP($D220,$C$5:$AU$503,3,)=0,0,(VLOOKUP($D220,$C$5:$AU$503,6,)/VLOOKUP($D220,$C$5:$AU$503,3,))*$E220)</f>
        <v>35592.496021438768</v>
      </c>
      <c r="I220" s="66">
        <f>IF(VLOOKUP($D220,$C$5:$AU$503,3,)=0,0,(VLOOKUP($D220,$C$5:$AU$503,7,)/VLOOKUP($D220,$C$5:$AU$503,3,))*$E220)</f>
        <v>360.21315564291302</v>
      </c>
      <c r="J220" s="66">
        <f>IF(VLOOKUP($D220,$C$5:$AU$503,3,)=0,0,(VLOOKUP($D220,$C$5:$AU$503,8,)/VLOOKUP($D220,$C$5:$AU$503,3,))*$E220)</f>
        <v>720.42631128582605</v>
      </c>
      <c r="K220" s="66">
        <f>IF(VLOOKUP($D220,$C$5:$AU$503,3,)=0,0,(VLOOKUP($D220,$C$5:$AU$503,9,)/VLOOKUP($D220,$C$5:$AU$503,3,))*$E220)</f>
        <v>3241.9184007862173</v>
      </c>
      <c r="L220" s="66">
        <f>IF(VLOOKUP($D220,$C$5:$AU$503,3,)=0,0,(VLOOKUP($D220,$C$5:$AU$503,10,)/VLOOKUP($D220,$C$5:$AU$503,3,))*$E220)</f>
        <v>3432.452201534179</v>
      </c>
      <c r="M220" s="66">
        <f>IF(VLOOKUP($D220,$C$5:$AU$503,3,)=0,0,(VLOOKUP($D220,$C$5:$AU$503,11,)/VLOOKUP($D220,$C$5:$AU$503,3,))*$E220)</f>
        <v>1356.664646557083</v>
      </c>
      <c r="N220" s="66">
        <f>IF(VLOOKUP($D220,$C$5:$AU$503,3,)=0,0,(VLOOKUP($D220,$C$5:$AU$503,12,)/VLOOKUP($D220,$C$5:$AU$503,3,))*$E220)</f>
        <v>224.83699435277219</v>
      </c>
      <c r="O220" s="66">
        <f>IF(VLOOKUP($D220,$C$5:$AU$503,3,)=0,0,(VLOOKUP($D220,$C$5:$AU$503,13,)/VLOOKUP($D220,$C$5:$AU$503,3,))*$E220)</f>
        <v>0</v>
      </c>
      <c r="P220" s="66">
        <f>IF(VLOOKUP($D220,$C$5:$AU$503,3,)=0,0,(VLOOKUP($D220,$C$5:$AU$503,14,)/VLOOKUP($D220,$C$5:$AU$503,3,))*$E220)</f>
        <v>0</v>
      </c>
      <c r="Q220" s="66">
        <f>IF(VLOOKUP($D220,$C$5:$AU$503,3,)=0,0,(VLOOKUP($D220,$C$5:$AU$503,15,)/VLOOKUP($D220,$C$5:$AU$503,3,))*$E220)</f>
        <v>0</v>
      </c>
      <c r="R220" s="66">
        <f>IF(VLOOKUP($D220,$C$5:$AU$503,3,)=0,0,(VLOOKUP($D220,$C$5:$AU$503,16,)/VLOOKUP($D220,$C$5:$AU$503,3,))*$E220)</f>
        <v>0</v>
      </c>
      <c r="S220" s="66">
        <f>IF(VLOOKUP($D220,$C$5:$AU$503,3,)=0,0,(VLOOKUP($D220,$C$5:$AU$503,17,)/VLOOKUP($D220,$C$5:$AU$503,3,))*$E220)</f>
        <v>0</v>
      </c>
      <c r="T220" s="66">
        <f>IF(VLOOKUP($D220,$C$5:$AU$503,3,)=0,0,(VLOOKUP($D220,$C$5:$AU$503,18,)/VLOOKUP($D220,$C$5:$AU$503,3,))*$E220)</f>
        <v>0</v>
      </c>
      <c r="U220" s="66">
        <f>IF(VLOOKUP($D220,$C$5:$AU$503,3,)=0,0,(VLOOKUP($D220,$C$5:$AU$503,19,)/VLOOKUP($D220,$C$5:$AU$503,3,))*$E220)</f>
        <v>0</v>
      </c>
      <c r="V220" s="66">
        <f>IF(VLOOKUP($D220,$C$5:$AU$503,3,)=0,0,(VLOOKUP($D220,$C$5:$AU$503,20,)/VLOOKUP($D220,$C$5:$AU$503,3,))*$E220)</f>
        <v>0</v>
      </c>
      <c r="W220" s="66">
        <f>IF(VLOOKUP($D220,$C$5:$AU$503,3,)=0,0,(VLOOKUP($D220,$C$5:$AU$503,21,)/VLOOKUP($D220,$C$5:$AU$503,3,))*$E220)</f>
        <v>0</v>
      </c>
      <c r="X220" s="66">
        <f>IF(VLOOKUP($D220,$C$5:$AU$503,3,)=0,0,(VLOOKUP($D220,$C$5:$AU$503,22,)/VLOOKUP($D220,$C$5:$AU$503,3,))*$E220)</f>
        <v>0</v>
      </c>
      <c r="Y220" s="66">
        <f>IF(VLOOKUP($D220,$C$5:$AU$503,3,)=0,0,(VLOOKUP($D220,$C$5:$AU$503,23,)/VLOOKUP($D220,$C$5:$AU$503,3,))*$E220)</f>
        <v>0</v>
      </c>
      <c r="Z220" s="66">
        <f>IF(VLOOKUP($D220,$C$5:$AU$503,3,)=0,0,(VLOOKUP($D220,$C$5:$AU$503,24,)/VLOOKUP($D220,$C$5:$AU$503,3,))*$E220)</f>
        <v>0</v>
      </c>
      <c r="AA220" s="66">
        <f>IF(VLOOKUP($D220,$C$5:$AU$503,3,)=0,0,(VLOOKUP($D220,$C$5:$AU$503,25,)/VLOOKUP($D220,$C$5:$AU$503,3,))*$E220)</f>
        <v>0</v>
      </c>
      <c r="AB220" s="66">
        <f>IF(VLOOKUP($D220,$C$5:$AU$503,3,)=0,0,(VLOOKUP($D220,$C$5:$AU$503,26,)/VLOOKUP($D220,$C$5:$AU$503,3,))*$E220)</f>
        <v>0</v>
      </c>
      <c r="AC220" s="66">
        <f>IF(VLOOKUP($D220,$C$5:$AU$503,3,)=0,0,(VLOOKUP($D220,$C$5:$AU$503,27,)/VLOOKUP($D220,$C$5:$AU$503,3,))*$E220)</f>
        <v>0</v>
      </c>
      <c r="AD220" s="66">
        <f>IF(VLOOKUP($D220,$C$5:$AU$503,3,)=0,0,(VLOOKUP($D220,$C$5:$AU$503,28,)/VLOOKUP($D220,$C$5:$AU$503,3,))*$E220)</f>
        <v>0</v>
      </c>
      <c r="AE220" s="66">
        <f>IF(VLOOKUP($D220,$C$5:$AU$503,3,)=0,0,(VLOOKUP($D220,$C$5:$AU$503,29,)/VLOOKUP($D220,$C$5:$AU$503,3,))*$E220)</f>
        <v>0</v>
      </c>
      <c r="AF220" s="66">
        <f>IF(VLOOKUP($D220,$C$5:$AU$503,3,)=0,0,(VLOOKUP($D220,$C$5:$AU$503,30,)/VLOOKUP($D220,$C$5:$AU$503,3,))*$E220)</f>
        <v>0</v>
      </c>
      <c r="AG220" s="93">
        <f>SUM(F220:AF220)</f>
        <v>577881.07876020391</v>
      </c>
      <c r="AH220" s="30" t="str">
        <f>IF(ABS(E220-AG220)&lt;0.01,"ok","err")</f>
        <v>ok</v>
      </c>
    </row>
    <row r="221" spans="1:34" x14ac:dyDescent="0.2">
      <c r="E221" s="234"/>
    </row>
    <row r="222" spans="1:34" x14ac:dyDescent="0.2">
      <c r="A222" s="13" t="s">
        <v>5</v>
      </c>
      <c r="E222" s="234"/>
    </row>
    <row r="223" spans="1:34" x14ac:dyDescent="0.2">
      <c r="A223" s="96" t="s">
        <v>221</v>
      </c>
      <c r="C223" s="14" t="s">
        <v>295</v>
      </c>
      <c r="D223" s="14" t="s">
        <v>232</v>
      </c>
      <c r="E223" s="233">
        <f>'Func &amp; Classif'!W312</f>
        <v>573640.91150682338</v>
      </c>
      <c r="F223" s="66">
        <f>IF(VLOOKUP($D223,$C$5:$AU$503,3,)=0,0,(VLOOKUP($D223,$C$5:$AU$503,4,)/VLOOKUP($D223,$C$5:$AU$503,3,))*$E223)</f>
        <v>0</v>
      </c>
      <c r="G223" s="66">
        <f>IF(VLOOKUP($D223,$C$5:$AU$503,3,)=0,0,(VLOOKUP($D223,$C$5:$AU$503,5,)/VLOOKUP($D223,$C$5:$AU$503,3,))*$E223)</f>
        <v>0</v>
      </c>
      <c r="H223" s="66">
        <f>IF(VLOOKUP($D223,$C$5:$AU$503,3,)=0,0,(VLOOKUP($D223,$C$5:$AU$503,6,)/VLOOKUP($D223,$C$5:$AU$503,3,))*$E223)</f>
        <v>0</v>
      </c>
      <c r="I223" s="66">
        <f>IF(VLOOKUP($D223,$C$5:$AU$503,3,)=0,0,(VLOOKUP($D223,$C$5:$AU$503,7,)/VLOOKUP($D223,$C$5:$AU$503,3,))*$E223)</f>
        <v>0</v>
      </c>
      <c r="J223" s="66">
        <f>IF(VLOOKUP($D223,$C$5:$AU$503,3,)=0,0,(VLOOKUP($D223,$C$5:$AU$503,8,)/VLOOKUP($D223,$C$5:$AU$503,3,))*$E223)</f>
        <v>0</v>
      </c>
      <c r="K223" s="66">
        <f>IF(VLOOKUP($D223,$C$5:$AU$503,3,)=0,0,(VLOOKUP($D223,$C$5:$AU$503,9,)/VLOOKUP($D223,$C$5:$AU$503,3,))*$E223)</f>
        <v>0</v>
      </c>
      <c r="L223" s="66">
        <f>IF(VLOOKUP($D223,$C$5:$AU$503,3,)=0,0,(VLOOKUP($D223,$C$5:$AU$503,10,)/VLOOKUP($D223,$C$5:$AU$503,3,))*$E223)</f>
        <v>0</v>
      </c>
      <c r="M223" s="66">
        <f>IF(VLOOKUP($D223,$C$5:$AU$503,3,)=0,0,(VLOOKUP($D223,$C$5:$AU$503,11,)/VLOOKUP($D223,$C$5:$AU$503,3,))*$E223)</f>
        <v>0</v>
      </c>
      <c r="N223" s="66">
        <f>IF(VLOOKUP($D223,$C$5:$AU$503,3,)=0,0,(VLOOKUP($D223,$C$5:$AU$503,12,)/VLOOKUP($D223,$C$5:$AU$503,3,))*$E223)</f>
        <v>573640.91150682338</v>
      </c>
      <c r="O223" s="66">
        <f>IF(VLOOKUP($D223,$C$5:$AU$503,3,)=0,0,(VLOOKUP($D223,$C$5:$AU$503,13,)/VLOOKUP($D223,$C$5:$AU$503,3,))*$E223)</f>
        <v>0</v>
      </c>
      <c r="P223" s="66">
        <f>IF(VLOOKUP($D223,$C$5:$AU$503,3,)=0,0,(VLOOKUP($D223,$C$5:$AU$503,14,)/VLOOKUP($D223,$C$5:$AU$503,3,))*$E223)</f>
        <v>0</v>
      </c>
      <c r="Q223" s="66">
        <f>IF(VLOOKUP($D223,$C$5:$AU$503,3,)=0,0,(VLOOKUP($D223,$C$5:$AU$503,15,)/VLOOKUP($D223,$C$5:$AU$503,3,))*$E223)</f>
        <v>0</v>
      </c>
      <c r="R223" s="66">
        <f>IF(VLOOKUP($D223,$C$5:$AU$503,3,)=0,0,(VLOOKUP($D223,$C$5:$AU$503,16,)/VLOOKUP($D223,$C$5:$AU$503,3,))*$E223)</f>
        <v>0</v>
      </c>
      <c r="S223" s="66">
        <f>IF(VLOOKUP($D223,$C$5:$AU$503,3,)=0,0,(VLOOKUP($D223,$C$5:$AU$503,17,)/VLOOKUP($D223,$C$5:$AU$503,3,))*$E223)</f>
        <v>0</v>
      </c>
      <c r="T223" s="66">
        <f>IF(VLOOKUP($D223,$C$5:$AU$503,3,)=0,0,(VLOOKUP($D223,$C$5:$AU$503,18,)/VLOOKUP($D223,$C$5:$AU$503,3,))*$E223)</f>
        <v>0</v>
      </c>
      <c r="U223" s="66">
        <f>IF(VLOOKUP($D223,$C$5:$AU$503,3,)=0,0,(VLOOKUP($D223,$C$5:$AU$503,19,)/VLOOKUP($D223,$C$5:$AU$503,3,))*$E223)</f>
        <v>0</v>
      </c>
      <c r="V223" s="66">
        <f>IF(VLOOKUP($D223,$C$5:$AU$503,3,)=0,0,(VLOOKUP($D223,$C$5:$AU$503,20,)/VLOOKUP($D223,$C$5:$AU$503,3,))*$E223)</f>
        <v>0</v>
      </c>
      <c r="W223" s="66">
        <f>IF(VLOOKUP($D223,$C$5:$AU$503,3,)=0,0,(VLOOKUP($D223,$C$5:$AU$503,21,)/VLOOKUP($D223,$C$5:$AU$503,3,))*$E223)</f>
        <v>0</v>
      </c>
      <c r="X223" s="66">
        <f>IF(VLOOKUP($D223,$C$5:$AU$503,3,)=0,0,(VLOOKUP($D223,$C$5:$AU$503,22,)/VLOOKUP($D223,$C$5:$AU$503,3,))*$E223)</f>
        <v>0</v>
      </c>
      <c r="Y223" s="66">
        <f>IF(VLOOKUP($D223,$C$5:$AU$503,3,)=0,0,(VLOOKUP($D223,$C$5:$AU$503,23,)/VLOOKUP($D223,$C$5:$AU$503,3,))*$E223)</f>
        <v>0</v>
      </c>
      <c r="Z223" s="66">
        <f>IF(VLOOKUP($D223,$C$5:$AU$503,3,)=0,0,(VLOOKUP($D223,$C$5:$AU$503,24,)/VLOOKUP($D223,$C$5:$AU$503,3,))*$E223)</f>
        <v>0</v>
      </c>
      <c r="AA223" s="66">
        <f>IF(VLOOKUP($D223,$C$5:$AU$503,3,)=0,0,(VLOOKUP($D223,$C$5:$AU$503,25,)/VLOOKUP($D223,$C$5:$AU$503,3,))*$E223)</f>
        <v>0</v>
      </c>
      <c r="AB223" s="66">
        <f>IF(VLOOKUP($D223,$C$5:$AU$503,3,)=0,0,(VLOOKUP($D223,$C$5:$AU$503,26,)/VLOOKUP($D223,$C$5:$AU$503,3,))*$E223)</f>
        <v>0</v>
      </c>
      <c r="AC223" s="66">
        <f>IF(VLOOKUP($D223,$C$5:$AU$503,3,)=0,0,(VLOOKUP($D223,$C$5:$AU$503,27,)/VLOOKUP($D223,$C$5:$AU$503,3,))*$E223)</f>
        <v>0</v>
      </c>
      <c r="AD223" s="66">
        <f>IF(VLOOKUP($D223,$C$5:$AU$503,3,)=0,0,(VLOOKUP($D223,$C$5:$AU$503,28,)/VLOOKUP($D223,$C$5:$AU$503,3,))*$E223)</f>
        <v>0</v>
      </c>
      <c r="AE223" s="66">
        <f>IF(VLOOKUP($D223,$C$5:$AU$503,3,)=0,0,(VLOOKUP($D223,$C$5:$AU$503,29,)/VLOOKUP($D223,$C$5:$AU$503,3,))*$E223)</f>
        <v>0</v>
      </c>
      <c r="AF223" s="66">
        <f>IF(VLOOKUP($D223,$C$5:$AU$503,3,)=0,0,(VLOOKUP($D223,$C$5:$AU$503,30,)/VLOOKUP($D223,$C$5:$AU$503,3,))*$E223)</f>
        <v>0</v>
      </c>
      <c r="AG223" s="93">
        <f>SUM(F223:AF223)</f>
        <v>573640.91150682338</v>
      </c>
      <c r="AH223" s="30" t="str">
        <f>IF(ABS(E223-AG223)&lt;0.01,"ok","err")</f>
        <v>ok</v>
      </c>
    </row>
    <row r="224" spans="1:34" x14ac:dyDescent="0.2">
      <c r="E224" s="234"/>
    </row>
    <row r="225" spans="1:34" x14ac:dyDescent="0.2">
      <c r="A225" s="13" t="s">
        <v>545</v>
      </c>
      <c r="E225" s="234"/>
    </row>
    <row r="226" spans="1:34" x14ac:dyDescent="0.2">
      <c r="A226" s="96" t="s">
        <v>221</v>
      </c>
      <c r="C226" s="14" t="s">
        <v>296</v>
      </c>
      <c r="D226" s="14" t="s">
        <v>234</v>
      </c>
      <c r="E226" s="233">
        <f>'Func &amp; Classif'!Y312</f>
        <v>0</v>
      </c>
      <c r="F226" s="66">
        <f>IF(VLOOKUP($D226,$C$5:$AU$503,3,)=0,0,(VLOOKUP($D226,$C$5:$AU$503,4,)/VLOOKUP($D226,$C$5:$AU$503,3,))*$E226)</f>
        <v>0</v>
      </c>
      <c r="G226" s="66">
        <f>IF(VLOOKUP($D226,$C$5:$AU$503,3,)=0,0,(VLOOKUP($D226,$C$5:$AU$503,5,)/VLOOKUP($D226,$C$5:$AU$503,3,))*$E226)</f>
        <v>0</v>
      </c>
      <c r="H226" s="66">
        <f>IF(VLOOKUP($D226,$C$5:$AU$503,3,)=0,0,(VLOOKUP($D226,$C$5:$AU$503,6,)/VLOOKUP($D226,$C$5:$AU$503,3,))*$E226)</f>
        <v>0</v>
      </c>
      <c r="I226" s="66">
        <f>IF(VLOOKUP($D226,$C$5:$AU$503,3,)=0,0,(VLOOKUP($D226,$C$5:$AU$503,7,)/VLOOKUP($D226,$C$5:$AU$503,3,))*$E226)</f>
        <v>0</v>
      </c>
      <c r="J226" s="66">
        <f>IF(VLOOKUP($D226,$C$5:$AU$503,3,)=0,0,(VLOOKUP($D226,$C$5:$AU$503,8,)/VLOOKUP($D226,$C$5:$AU$503,3,))*$E226)</f>
        <v>0</v>
      </c>
      <c r="K226" s="66">
        <f>IF(VLOOKUP($D226,$C$5:$AU$503,3,)=0,0,(VLOOKUP($D226,$C$5:$AU$503,9,)/VLOOKUP($D226,$C$5:$AU$503,3,))*$E226)</f>
        <v>0</v>
      </c>
      <c r="L226" s="66">
        <f>IF(VLOOKUP($D226,$C$5:$AU$503,3,)=0,0,(VLOOKUP($D226,$C$5:$AU$503,10,)/VLOOKUP($D226,$C$5:$AU$503,3,))*$E226)</f>
        <v>0</v>
      </c>
      <c r="M226" s="66">
        <f>IF(VLOOKUP($D226,$C$5:$AU$503,3,)=0,0,(VLOOKUP($D226,$C$5:$AU$503,11,)/VLOOKUP($D226,$C$5:$AU$503,3,))*$E226)</f>
        <v>0</v>
      </c>
      <c r="N226" s="66">
        <f>IF(VLOOKUP($D226,$C$5:$AU$503,3,)=0,0,(VLOOKUP($D226,$C$5:$AU$503,12,)/VLOOKUP($D226,$C$5:$AU$503,3,))*$E226)</f>
        <v>0</v>
      </c>
      <c r="O226" s="66">
        <f>IF(VLOOKUP($D226,$C$5:$AU$503,3,)=0,0,(VLOOKUP($D226,$C$5:$AU$503,13,)/VLOOKUP($D226,$C$5:$AU$503,3,))*$E226)</f>
        <v>0</v>
      </c>
      <c r="P226" s="66">
        <f>IF(VLOOKUP($D226,$C$5:$AU$503,3,)=0,0,(VLOOKUP($D226,$C$5:$AU$503,14,)/VLOOKUP($D226,$C$5:$AU$503,3,))*$E226)</f>
        <v>0</v>
      </c>
      <c r="Q226" s="66">
        <f>IF(VLOOKUP($D226,$C$5:$AU$503,3,)=0,0,(VLOOKUP($D226,$C$5:$AU$503,15,)/VLOOKUP($D226,$C$5:$AU$503,3,))*$E226)</f>
        <v>0</v>
      </c>
      <c r="R226" s="66">
        <f>IF(VLOOKUP($D226,$C$5:$AU$503,3,)=0,0,(VLOOKUP($D226,$C$5:$AU$503,16,)/VLOOKUP($D226,$C$5:$AU$503,3,))*$E226)</f>
        <v>0</v>
      </c>
      <c r="S226" s="66">
        <f>IF(VLOOKUP($D226,$C$5:$AU$503,3,)=0,0,(VLOOKUP($D226,$C$5:$AU$503,17,)/VLOOKUP($D226,$C$5:$AU$503,3,))*$E226)</f>
        <v>0</v>
      </c>
      <c r="T226" s="66">
        <f>IF(VLOOKUP($D226,$C$5:$AU$503,3,)=0,0,(VLOOKUP($D226,$C$5:$AU$503,18,)/VLOOKUP($D226,$C$5:$AU$503,3,))*$E226)</f>
        <v>0</v>
      </c>
      <c r="U226" s="66">
        <f>IF(VLOOKUP($D226,$C$5:$AU$503,3,)=0,0,(VLOOKUP($D226,$C$5:$AU$503,19,)/VLOOKUP($D226,$C$5:$AU$503,3,))*$E226)</f>
        <v>0</v>
      </c>
      <c r="V226" s="66">
        <f>IF(VLOOKUP($D226,$C$5:$AU$503,3,)=0,0,(VLOOKUP($D226,$C$5:$AU$503,20,)/VLOOKUP($D226,$C$5:$AU$503,3,))*$E226)</f>
        <v>0</v>
      </c>
      <c r="W226" s="66">
        <f>IF(VLOOKUP($D226,$C$5:$AU$503,3,)=0,0,(VLOOKUP($D226,$C$5:$AU$503,21,)/VLOOKUP($D226,$C$5:$AU$503,3,))*$E226)</f>
        <v>0</v>
      </c>
      <c r="X226" s="66">
        <f>IF(VLOOKUP($D226,$C$5:$AU$503,3,)=0,0,(VLOOKUP($D226,$C$5:$AU$503,22,)/VLOOKUP($D226,$C$5:$AU$503,3,))*$E226)</f>
        <v>0</v>
      </c>
      <c r="Y226" s="66">
        <f>IF(VLOOKUP($D226,$C$5:$AU$503,3,)=0,0,(VLOOKUP($D226,$C$5:$AU$503,23,)/VLOOKUP($D226,$C$5:$AU$503,3,))*$E226)</f>
        <v>0</v>
      </c>
      <c r="Z226" s="66">
        <f>IF(VLOOKUP($D226,$C$5:$AU$503,3,)=0,0,(VLOOKUP($D226,$C$5:$AU$503,24,)/VLOOKUP($D226,$C$5:$AU$503,3,))*$E226)</f>
        <v>0</v>
      </c>
      <c r="AA226" s="66">
        <f>IF(VLOOKUP($D226,$C$5:$AU$503,3,)=0,0,(VLOOKUP($D226,$C$5:$AU$503,25,)/VLOOKUP($D226,$C$5:$AU$503,3,))*$E226)</f>
        <v>0</v>
      </c>
      <c r="AB226" s="66">
        <f>IF(VLOOKUP($D226,$C$5:$AU$503,3,)=0,0,(VLOOKUP($D226,$C$5:$AU$503,26,)/VLOOKUP($D226,$C$5:$AU$503,3,))*$E226)</f>
        <v>0</v>
      </c>
      <c r="AC226" s="66">
        <f>IF(VLOOKUP($D226,$C$5:$AU$503,3,)=0,0,(VLOOKUP($D226,$C$5:$AU$503,27,)/VLOOKUP($D226,$C$5:$AU$503,3,))*$E226)</f>
        <v>0</v>
      </c>
      <c r="AD226" s="66">
        <f>IF(VLOOKUP($D226,$C$5:$AU$503,3,)=0,0,(VLOOKUP($D226,$C$5:$AU$503,28,)/VLOOKUP($D226,$C$5:$AU$503,3,))*$E226)</f>
        <v>0</v>
      </c>
      <c r="AE226" s="66">
        <f>IF(VLOOKUP($D226,$C$5:$AU$503,3,)=0,0,(VLOOKUP($D226,$C$5:$AU$503,29,)/VLOOKUP($D226,$C$5:$AU$503,3,))*$E226)</f>
        <v>0</v>
      </c>
      <c r="AF226" s="66">
        <f>IF(VLOOKUP($D226,$C$5:$AU$503,3,)=0,0,(VLOOKUP($D226,$C$5:$AU$503,30,)/VLOOKUP($D226,$C$5:$AU$503,3,))*$E226)</f>
        <v>0</v>
      </c>
      <c r="AG226" s="93">
        <f>SUM(F226:AF226)</f>
        <v>0</v>
      </c>
      <c r="AH226" s="30" t="str">
        <f>IF(ABS(E226-AG226)&lt;0.01,"ok","err")</f>
        <v>ok</v>
      </c>
    </row>
    <row r="227" spans="1:34" x14ac:dyDescent="0.2">
      <c r="E227" s="234"/>
    </row>
    <row r="228" spans="1:34" x14ac:dyDescent="0.2">
      <c r="A228" s="13" t="s">
        <v>470</v>
      </c>
      <c r="E228" s="234"/>
    </row>
    <row r="229" spans="1:34" x14ac:dyDescent="0.2">
      <c r="A229" s="96" t="s">
        <v>221</v>
      </c>
      <c r="C229" s="14" t="s">
        <v>293</v>
      </c>
      <c r="D229" s="14" t="s">
        <v>235</v>
      </c>
      <c r="E229" s="233">
        <f>'Func &amp; Classif'!AA312</f>
        <v>0</v>
      </c>
      <c r="F229" s="66">
        <f>IF(VLOOKUP($D229,$C$5:$AU$503,3,)=0,0,(VLOOKUP($D229,$C$5:$AU$503,4,)/VLOOKUP($D229,$C$5:$AU$503,3,))*$E229)</f>
        <v>0</v>
      </c>
      <c r="G229" s="66">
        <f>IF(VLOOKUP($D229,$C$5:$AU$503,3,)=0,0,(VLOOKUP($D229,$C$5:$AU$503,5,)/VLOOKUP($D229,$C$5:$AU$503,3,))*$E229)</f>
        <v>0</v>
      </c>
      <c r="H229" s="66">
        <f>IF(VLOOKUP($D229,$C$5:$AU$503,3,)=0,0,(VLOOKUP($D229,$C$5:$AU$503,6,)/VLOOKUP($D229,$C$5:$AU$503,3,))*$E229)</f>
        <v>0</v>
      </c>
      <c r="I229" s="66">
        <f>IF(VLOOKUP($D229,$C$5:$AU$503,3,)=0,0,(VLOOKUP($D229,$C$5:$AU$503,7,)/VLOOKUP($D229,$C$5:$AU$503,3,))*$E229)</f>
        <v>0</v>
      </c>
      <c r="J229" s="66">
        <f>IF(VLOOKUP($D229,$C$5:$AU$503,3,)=0,0,(VLOOKUP($D229,$C$5:$AU$503,8,)/VLOOKUP($D229,$C$5:$AU$503,3,))*$E229)</f>
        <v>0</v>
      </c>
      <c r="K229" s="66">
        <f>IF(VLOOKUP($D229,$C$5:$AU$503,3,)=0,0,(VLOOKUP($D229,$C$5:$AU$503,9,)/VLOOKUP($D229,$C$5:$AU$503,3,))*$E229)</f>
        <v>0</v>
      </c>
      <c r="L229" s="66">
        <f>IF(VLOOKUP($D229,$C$5:$AU$503,3,)=0,0,(VLOOKUP($D229,$C$5:$AU$503,10,)/VLOOKUP($D229,$C$5:$AU$503,3,))*$E229)</f>
        <v>0</v>
      </c>
      <c r="M229" s="66">
        <f>IF(VLOOKUP($D229,$C$5:$AU$503,3,)=0,0,(VLOOKUP($D229,$C$5:$AU$503,11,)/VLOOKUP($D229,$C$5:$AU$503,3,))*$E229)</f>
        <v>0</v>
      </c>
      <c r="N229" s="66">
        <f>IF(VLOOKUP($D229,$C$5:$AU$503,3,)=0,0,(VLOOKUP($D229,$C$5:$AU$503,12,)/VLOOKUP($D229,$C$5:$AU$503,3,))*$E229)</f>
        <v>0</v>
      </c>
      <c r="O229" s="66">
        <f>IF(VLOOKUP($D229,$C$5:$AU$503,3,)=0,0,(VLOOKUP($D229,$C$5:$AU$503,13,)/VLOOKUP($D229,$C$5:$AU$503,3,))*$E229)</f>
        <v>0</v>
      </c>
      <c r="P229" s="66">
        <f>IF(VLOOKUP($D229,$C$5:$AU$503,3,)=0,0,(VLOOKUP($D229,$C$5:$AU$503,14,)/VLOOKUP($D229,$C$5:$AU$503,3,))*$E229)</f>
        <v>0</v>
      </c>
      <c r="Q229" s="66">
        <f>IF(VLOOKUP($D229,$C$5:$AU$503,3,)=0,0,(VLOOKUP($D229,$C$5:$AU$503,15,)/VLOOKUP($D229,$C$5:$AU$503,3,))*$E229)</f>
        <v>0</v>
      </c>
      <c r="R229" s="66">
        <f>IF(VLOOKUP($D229,$C$5:$AU$503,3,)=0,0,(VLOOKUP($D229,$C$5:$AU$503,16,)/VLOOKUP($D229,$C$5:$AU$503,3,))*$E229)</f>
        <v>0</v>
      </c>
      <c r="S229" s="66">
        <f>IF(VLOOKUP($D229,$C$5:$AU$503,3,)=0,0,(VLOOKUP($D229,$C$5:$AU$503,17,)/VLOOKUP($D229,$C$5:$AU$503,3,))*$E229)</f>
        <v>0</v>
      </c>
      <c r="T229" s="66">
        <f>IF(VLOOKUP($D229,$C$5:$AU$503,3,)=0,0,(VLOOKUP($D229,$C$5:$AU$503,18,)/VLOOKUP($D229,$C$5:$AU$503,3,))*$E229)</f>
        <v>0</v>
      </c>
      <c r="U229" s="66">
        <f>IF(VLOOKUP($D229,$C$5:$AU$503,3,)=0,0,(VLOOKUP($D229,$C$5:$AU$503,19,)/VLOOKUP($D229,$C$5:$AU$503,3,))*$E229)</f>
        <v>0</v>
      </c>
      <c r="V229" s="66">
        <f>IF(VLOOKUP($D229,$C$5:$AU$503,3,)=0,0,(VLOOKUP($D229,$C$5:$AU$503,20,)/VLOOKUP($D229,$C$5:$AU$503,3,))*$E229)</f>
        <v>0</v>
      </c>
      <c r="W229" s="66">
        <f>IF(VLOOKUP($D229,$C$5:$AU$503,3,)=0,0,(VLOOKUP($D229,$C$5:$AU$503,21,)/VLOOKUP($D229,$C$5:$AU$503,3,))*$E229)</f>
        <v>0</v>
      </c>
      <c r="X229" s="66">
        <f>IF(VLOOKUP($D229,$C$5:$AU$503,3,)=0,0,(VLOOKUP($D229,$C$5:$AU$503,22,)/VLOOKUP($D229,$C$5:$AU$503,3,))*$E229)</f>
        <v>0</v>
      </c>
      <c r="Y229" s="66">
        <f>IF(VLOOKUP($D229,$C$5:$AU$503,3,)=0,0,(VLOOKUP($D229,$C$5:$AU$503,23,)/VLOOKUP($D229,$C$5:$AU$503,3,))*$E229)</f>
        <v>0</v>
      </c>
      <c r="Z229" s="66">
        <f>IF(VLOOKUP($D229,$C$5:$AU$503,3,)=0,0,(VLOOKUP($D229,$C$5:$AU$503,24,)/VLOOKUP($D229,$C$5:$AU$503,3,))*$E229)</f>
        <v>0</v>
      </c>
      <c r="AA229" s="66">
        <f>IF(VLOOKUP($D229,$C$5:$AU$503,3,)=0,0,(VLOOKUP($D229,$C$5:$AU$503,25,)/VLOOKUP($D229,$C$5:$AU$503,3,))*$E229)</f>
        <v>0</v>
      </c>
      <c r="AB229" s="66">
        <f>IF(VLOOKUP($D229,$C$5:$AU$503,3,)=0,0,(VLOOKUP($D229,$C$5:$AU$503,26,)/VLOOKUP($D229,$C$5:$AU$503,3,))*$E229)</f>
        <v>0</v>
      </c>
      <c r="AC229" s="66">
        <f>IF(VLOOKUP($D229,$C$5:$AU$503,3,)=0,0,(VLOOKUP($D229,$C$5:$AU$503,27,)/VLOOKUP($D229,$C$5:$AU$503,3,))*$E229)</f>
        <v>0</v>
      </c>
      <c r="AD229" s="66">
        <f>IF(VLOOKUP($D229,$C$5:$AU$503,3,)=0,0,(VLOOKUP($D229,$C$5:$AU$503,28,)/VLOOKUP($D229,$C$5:$AU$503,3,))*$E229)</f>
        <v>0</v>
      </c>
      <c r="AE229" s="66">
        <f>IF(VLOOKUP($D229,$C$5:$AU$503,3,)=0,0,(VLOOKUP($D229,$C$5:$AU$503,29,)/VLOOKUP($D229,$C$5:$AU$503,3,))*$E229)</f>
        <v>0</v>
      </c>
      <c r="AF229" s="66">
        <f>IF(VLOOKUP($D229,$C$5:$AU$503,3,)=0,0,(VLOOKUP($D229,$C$5:$AU$503,30,)/VLOOKUP($D229,$C$5:$AU$503,3,))*$E229)</f>
        <v>0</v>
      </c>
      <c r="AG229" s="93">
        <f>SUM(F229:AF229)</f>
        <v>0</v>
      </c>
      <c r="AH229" s="30" t="str">
        <f>IF(ABS(E229-AG229)&lt;0.01,"ok","err")</f>
        <v>ok</v>
      </c>
    </row>
    <row r="230" spans="1:34" x14ac:dyDescent="0.2">
      <c r="E230" s="234"/>
    </row>
    <row r="231" spans="1:34" x14ac:dyDescent="0.2">
      <c r="A231" s="14" t="s">
        <v>0</v>
      </c>
      <c r="C231" s="14" t="s">
        <v>297</v>
      </c>
      <c r="E231" s="233">
        <f>E201+E204+E207+E212+E217+E220+E223+E226+E229</f>
        <v>10543105.700000003</v>
      </c>
      <c r="F231" s="66">
        <f t="shared" ref="F231:R231" si="47">F201+F204+F207+F212+F217+F220+F223+F226+F229</f>
        <v>8356938.1832044963</v>
      </c>
      <c r="G231" s="66">
        <f t="shared" si="47"/>
        <v>735321.62610753998</v>
      </c>
      <c r="H231" s="66">
        <f t="shared" si="47"/>
        <v>493495.71820628352</v>
      </c>
      <c r="I231" s="66">
        <f t="shared" si="47"/>
        <v>15082.590995481452</v>
      </c>
      <c r="J231" s="66">
        <f t="shared" si="47"/>
        <v>117576.76919030372</v>
      </c>
      <c r="K231" s="66">
        <f t="shared" si="47"/>
        <v>130383.90513771684</v>
      </c>
      <c r="L231" s="66">
        <f t="shared" si="47"/>
        <v>57928.988771949145</v>
      </c>
      <c r="M231" s="66">
        <f t="shared" si="47"/>
        <v>35429.79030695957</v>
      </c>
      <c r="N231" s="66">
        <f t="shared" si="47"/>
        <v>600948.12807927164</v>
      </c>
      <c r="O231" s="66">
        <f t="shared" si="47"/>
        <v>0</v>
      </c>
      <c r="P231" s="66">
        <f t="shared" si="47"/>
        <v>0</v>
      </c>
      <c r="Q231" s="66">
        <f t="shared" si="47"/>
        <v>0</v>
      </c>
      <c r="R231" s="66">
        <f t="shared" si="47"/>
        <v>0</v>
      </c>
      <c r="S231" s="66">
        <f t="shared" ref="S231:AF231" si="48">S201+S207+S212+S217+S220+S223+S226+S229</f>
        <v>0</v>
      </c>
      <c r="T231" s="66">
        <f t="shared" si="48"/>
        <v>0</v>
      </c>
      <c r="U231" s="66">
        <f t="shared" si="48"/>
        <v>0</v>
      </c>
      <c r="V231" s="66">
        <f t="shared" si="48"/>
        <v>0</v>
      </c>
      <c r="W231" s="66">
        <f t="shared" si="48"/>
        <v>0</v>
      </c>
      <c r="X231" s="66">
        <f t="shared" si="48"/>
        <v>0</v>
      </c>
      <c r="Y231" s="66">
        <f t="shared" si="48"/>
        <v>0</v>
      </c>
      <c r="Z231" s="66">
        <f t="shared" si="48"/>
        <v>0</v>
      </c>
      <c r="AA231" s="66">
        <f t="shared" si="48"/>
        <v>0</v>
      </c>
      <c r="AB231" s="66">
        <f t="shared" si="48"/>
        <v>0</v>
      </c>
      <c r="AC231" s="66">
        <f t="shared" si="48"/>
        <v>0</v>
      </c>
      <c r="AD231" s="66">
        <f t="shared" si="48"/>
        <v>0</v>
      </c>
      <c r="AE231" s="66">
        <f t="shared" si="48"/>
        <v>0</v>
      </c>
      <c r="AF231" s="66">
        <f t="shared" si="48"/>
        <v>0</v>
      </c>
      <c r="AG231" s="93">
        <f>SUM(F231:AF231)</f>
        <v>10543105.700000001</v>
      </c>
      <c r="AH231" s="30" t="str">
        <f>IF(ABS(E231-AG231)&lt;0.01,"ok","err")</f>
        <v>ok</v>
      </c>
    </row>
    <row r="234" spans="1:34" x14ac:dyDescent="0.2">
      <c r="A234" s="28" t="s">
        <v>188</v>
      </c>
    </row>
    <row r="236" spans="1:34" x14ac:dyDescent="0.2">
      <c r="A236" s="13" t="s">
        <v>893</v>
      </c>
    </row>
    <row r="237" spans="1:34" x14ac:dyDescent="0.2">
      <c r="A237" s="96" t="s">
        <v>209</v>
      </c>
      <c r="C237" s="14" t="s">
        <v>298</v>
      </c>
      <c r="D237" s="14" t="s">
        <v>655</v>
      </c>
      <c r="E237" s="233">
        <f>'Func &amp; Classif'!H314</f>
        <v>0</v>
      </c>
      <c r="F237" s="66">
        <f>IF(VLOOKUP($D237,$C$5:$AU$503,3,)=0,0,(VLOOKUP($D237,$C$5:$AU$503,4,)/VLOOKUP($D237,$C$5:$AU$503,3,))*$E237)</f>
        <v>0</v>
      </c>
      <c r="G237" s="66">
        <f>IF(VLOOKUP($D237,$C$5:$AU$503,3,)=0,0,(VLOOKUP($D237,$C$5:$AU$503,5,)/VLOOKUP($D237,$C$5:$AU$503,3,))*$E237)</f>
        <v>0</v>
      </c>
      <c r="H237" s="66">
        <f>IF(VLOOKUP($D237,$C$5:$AU$503,3,)=0,0,(VLOOKUP($D237,$C$5:$AU$503,6,)/VLOOKUP($D237,$C$5:$AU$503,3,))*$E237)</f>
        <v>0</v>
      </c>
      <c r="I237" s="66">
        <f>IF(VLOOKUP($D237,$C$5:$AU$503,3,)=0,0,(VLOOKUP($D237,$C$5:$AU$503,7,)/VLOOKUP($D237,$C$5:$AU$503,3,))*$E237)</f>
        <v>0</v>
      </c>
      <c r="J237" s="66">
        <f>IF(VLOOKUP($D237,$C$5:$AU$503,3,)=0,0,(VLOOKUP($D237,$C$5:$AU$503,8,)/VLOOKUP($D237,$C$5:$AU$503,3,))*$E237)</f>
        <v>0</v>
      </c>
      <c r="K237" s="66">
        <f>IF(VLOOKUP($D237,$C$5:$AU$503,3,)=0,0,(VLOOKUP($D237,$C$5:$AU$503,9,)/VLOOKUP($D237,$C$5:$AU$503,3,))*$E237)</f>
        <v>0</v>
      </c>
      <c r="L237" s="66">
        <f>IF(VLOOKUP($D237,$C$5:$AU$503,3,)=0,0,(VLOOKUP($D237,$C$5:$AU$503,10,)/VLOOKUP($D237,$C$5:$AU$503,3,))*$E237)</f>
        <v>0</v>
      </c>
      <c r="M237" s="66">
        <f>IF(VLOOKUP($D237,$C$5:$AU$503,3,)=0,0,(VLOOKUP($D237,$C$5:$AU$503,11,)/VLOOKUP($D237,$C$5:$AU$503,3,))*$E237)</f>
        <v>0</v>
      </c>
      <c r="N237" s="66">
        <f>IF(VLOOKUP($D237,$C$5:$AU$503,3,)=0,0,(VLOOKUP($D237,$C$5:$AU$503,12,)/VLOOKUP($D237,$C$5:$AU$503,3,))*$E237)</f>
        <v>0</v>
      </c>
      <c r="O237" s="66">
        <f>IF(VLOOKUP($D237,$C$5:$AU$503,3,)=0,0,(VLOOKUP($D237,$C$5:$AU$503,13,)/VLOOKUP($D237,$C$5:$AU$503,3,))*$E237)</f>
        <v>0</v>
      </c>
      <c r="P237" s="66">
        <f>IF(VLOOKUP($D237,$C$5:$AU$503,3,)=0,0,(VLOOKUP($D237,$C$5:$AU$503,14,)/VLOOKUP($D237,$C$5:$AU$503,3,))*$E237)</f>
        <v>0</v>
      </c>
      <c r="Q237" s="66">
        <f>IF(VLOOKUP($D237,$C$5:$AU$503,3,)=0,0,(VLOOKUP($D237,$C$5:$AU$503,15,)/VLOOKUP($D237,$C$5:$AU$503,3,))*$E237)</f>
        <v>0</v>
      </c>
      <c r="R237" s="66">
        <f>IF(VLOOKUP($D237,$C$5:$AU$503,3,)=0,0,(VLOOKUP($D237,$C$5:$AU$503,16,)/VLOOKUP($D237,$C$5:$AU$503,3,))*$E237)</f>
        <v>0</v>
      </c>
      <c r="S237" s="66">
        <f>IF(VLOOKUP($D237,$C$5:$AU$503,3,)=0,0,(VLOOKUP($D237,$C$5:$AU$503,17,)/VLOOKUP($D237,$C$5:$AU$503,3,))*$E237)</f>
        <v>0</v>
      </c>
      <c r="T237" s="66">
        <f>IF(VLOOKUP($D237,$C$5:$AU$503,3,)=0,0,(VLOOKUP($D237,$C$5:$AU$503,18,)/VLOOKUP($D237,$C$5:$AU$503,3,))*$E237)</f>
        <v>0</v>
      </c>
      <c r="U237" s="66">
        <f>IF(VLOOKUP($D237,$C$5:$AU$503,3,)=0,0,(VLOOKUP($D237,$C$5:$AU$503,19,)/VLOOKUP($D237,$C$5:$AU$503,3,))*$E237)</f>
        <v>0</v>
      </c>
      <c r="V237" s="66">
        <f>IF(VLOOKUP($D237,$C$5:$AU$503,3,)=0,0,(VLOOKUP($D237,$C$5:$AU$503,20,)/VLOOKUP($D237,$C$5:$AU$503,3,))*$E237)</f>
        <v>0</v>
      </c>
      <c r="W237" s="66">
        <f>IF(VLOOKUP($D237,$C$5:$AU$503,3,)=0,0,(VLOOKUP($D237,$C$5:$AU$503,21,)/VLOOKUP($D237,$C$5:$AU$503,3,))*$E237)</f>
        <v>0</v>
      </c>
      <c r="X237" s="66">
        <f>IF(VLOOKUP($D237,$C$5:$AU$503,3,)=0,0,(VLOOKUP($D237,$C$5:$AU$503,22,)/VLOOKUP($D237,$C$5:$AU$503,3,))*$E237)</f>
        <v>0</v>
      </c>
      <c r="Y237" s="66">
        <f>IF(VLOOKUP($D237,$C$5:$AU$503,3,)=0,0,(VLOOKUP($D237,$C$5:$AU$503,23,)/VLOOKUP($D237,$C$5:$AU$503,3,))*$E237)</f>
        <v>0</v>
      </c>
      <c r="Z237" s="66">
        <f>IF(VLOOKUP($D237,$C$5:$AU$503,3,)=0,0,(VLOOKUP($D237,$C$5:$AU$503,24,)/VLOOKUP($D237,$C$5:$AU$503,3,))*$E237)</f>
        <v>0</v>
      </c>
      <c r="AA237" s="66">
        <f>IF(VLOOKUP($D237,$C$5:$AU$503,3,)=0,0,(VLOOKUP($D237,$C$5:$AU$503,25,)/VLOOKUP($D237,$C$5:$AU$503,3,))*$E237)</f>
        <v>0</v>
      </c>
      <c r="AB237" s="66">
        <f>IF(VLOOKUP($D237,$C$5:$AU$503,3,)=0,0,(VLOOKUP($D237,$C$5:$AU$503,26,)/VLOOKUP($D237,$C$5:$AU$503,3,))*$E237)</f>
        <v>0</v>
      </c>
      <c r="AC237" s="66">
        <f>IF(VLOOKUP($D237,$C$5:$AU$503,3,)=0,0,(VLOOKUP($D237,$C$5:$AU$503,27,)/VLOOKUP($D237,$C$5:$AU$503,3,))*$E237)</f>
        <v>0</v>
      </c>
      <c r="AD237" s="66">
        <f>IF(VLOOKUP($D237,$C$5:$AU$503,3,)=0,0,(VLOOKUP($D237,$C$5:$AU$503,28,)/VLOOKUP($D237,$C$5:$AU$503,3,))*$E237)</f>
        <v>0</v>
      </c>
      <c r="AE237" s="66">
        <f>IF(VLOOKUP($D237,$C$5:$AU$503,3,)=0,0,(VLOOKUP($D237,$C$5:$AU$503,29,)/VLOOKUP($D237,$C$5:$AU$503,3,))*$E237)</f>
        <v>0</v>
      </c>
      <c r="AF237" s="66">
        <f>IF(VLOOKUP($D237,$C$5:$AU$503,3,)=0,0,(VLOOKUP($D237,$C$5:$AU$503,30,)/VLOOKUP($D237,$C$5:$AU$503,3,))*$E237)</f>
        <v>0</v>
      </c>
      <c r="AG237" s="93">
        <f>SUM(F237:AF237)</f>
        <v>0</v>
      </c>
      <c r="AH237" s="30" t="str">
        <f>IF(ABS(E237-AG237)&lt;0.01,"ok","err")</f>
        <v>ok</v>
      </c>
    </row>
    <row r="238" spans="1:34" x14ac:dyDescent="0.2">
      <c r="A238" s="96" t="s">
        <v>212</v>
      </c>
      <c r="C238" s="14" t="s">
        <v>299</v>
      </c>
      <c r="D238" s="14" t="s">
        <v>664</v>
      </c>
      <c r="E238" s="234">
        <f>'Func &amp; Classif'!I314</f>
        <v>0</v>
      </c>
      <c r="F238" s="66">
        <f>IF(VLOOKUP($D238,$C$5:$AU$503,3,)=0,0,(VLOOKUP($D238,$C$5:$AU$503,4,)/VLOOKUP($D238,$C$5:$AU$503,3,))*$E238)</f>
        <v>0</v>
      </c>
      <c r="G238" s="66">
        <f>IF(VLOOKUP($D238,$C$5:$AU$503,3,)=0,0,(VLOOKUP($D238,$C$5:$AU$503,5,)/VLOOKUP($D238,$C$5:$AU$503,3,))*$E238)</f>
        <v>0</v>
      </c>
      <c r="H238" s="66">
        <f>IF(VLOOKUP($D238,$C$5:$AU$503,3,)=0,0,(VLOOKUP($D238,$C$5:$AU$503,6,)/VLOOKUP($D238,$C$5:$AU$503,3,))*$E238)</f>
        <v>0</v>
      </c>
      <c r="I238" s="66">
        <f>IF(VLOOKUP($D238,$C$5:$AU$503,3,)=0,0,(VLOOKUP($D238,$C$5:$AU$503,7,)/VLOOKUP($D238,$C$5:$AU$503,3,))*$E238)</f>
        <v>0</v>
      </c>
      <c r="J238" s="66">
        <f>IF(VLOOKUP($D238,$C$5:$AU$503,3,)=0,0,(VLOOKUP($D238,$C$5:$AU$503,8,)/VLOOKUP($D238,$C$5:$AU$503,3,))*$E238)</f>
        <v>0</v>
      </c>
      <c r="K238" s="66">
        <f>IF(VLOOKUP($D238,$C$5:$AU$503,3,)=0,0,(VLOOKUP($D238,$C$5:$AU$503,9,)/VLOOKUP($D238,$C$5:$AU$503,3,))*$E238)</f>
        <v>0</v>
      </c>
      <c r="L238" s="66">
        <f>IF(VLOOKUP($D238,$C$5:$AU$503,3,)=0,0,(VLOOKUP($D238,$C$5:$AU$503,10,)/VLOOKUP($D238,$C$5:$AU$503,3,))*$E238)</f>
        <v>0</v>
      </c>
      <c r="M238" s="66">
        <f>IF(VLOOKUP($D238,$C$5:$AU$503,3,)=0,0,(VLOOKUP($D238,$C$5:$AU$503,11,)/VLOOKUP($D238,$C$5:$AU$503,3,))*$E238)</f>
        <v>0</v>
      </c>
      <c r="N238" s="66">
        <f>IF(VLOOKUP($D238,$C$5:$AU$503,3,)=0,0,(VLOOKUP($D238,$C$5:$AU$503,12,)/VLOOKUP($D238,$C$5:$AU$503,3,))*$E238)</f>
        <v>0</v>
      </c>
      <c r="O238" s="66">
        <f>IF(VLOOKUP($D238,$C$5:$AU$503,3,)=0,0,(VLOOKUP($D238,$C$5:$AU$503,13,)/VLOOKUP($D238,$C$5:$AU$503,3,))*$E238)</f>
        <v>0</v>
      </c>
      <c r="P238" s="66">
        <f>IF(VLOOKUP($D238,$C$5:$AU$503,3,)=0,0,(VLOOKUP($D238,$C$5:$AU$503,14,)/VLOOKUP($D238,$C$5:$AU$503,3,))*$E238)</f>
        <v>0</v>
      </c>
      <c r="Q238" s="66">
        <f>IF(VLOOKUP($D238,$C$5:$AU$503,3,)=0,0,(VLOOKUP($D238,$C$5:$AU$503,15,)/VLOOKUP($D238,$C$5:$AU$503,3,))*$E238)</f>
        <v>0</v>
      </c>
      <c r="R238" s="66">
        <f>IF(VLOOKUP($D238,$C$5:$AU$503,3,)=0,0,(VLOOKUP($D238,$C$5:$AU$503,16,)/VLOOKUP($D238,$C$5:$AU$503,3,))*$E238)</f>
        <v>0</v>
      </c>
      <c r="S238" s="66">
        <f>IF(VLOOKUP($D238,$C$5:$AU$503,3,)=0,0,(VLOOKUP($D238,$C$5:$AU$503,17,)/VLOOKUP($D238,$C$5:$AU$503,3,))*$E238)</f>
        <v>0</v>
      </c>
      <c r="T238" s="66">
        <f>IF(VLOOKUP($D238,$C$5:$AU$503,3,)=0,0,(VLOOKUP($D238,$C$5:$AU$503,18,)/VLOOKUP($D238,$C$5:$AU$503,3,))*$E238)</f>
        <v>0</v>
      </c>
      <c r="U238" s="66">
        <f>IF(VLOOKUP($D238,$C$5:$AU$503,3,)=0,0,(VLOOKUP($D238,$C$5:$AU$503,19,)/VLOOKUP($D238,$C$5:$AU$503,3,))*$E238)</f>
        <v>0</v>
      </c>
      <c r="V238" s="66">
        <f>IF(VLOOKUP($D238,$C$5:$AU$503,3,)=0,0,(VLOOKUP($D238,$C$5:$AU$503,20,)/VLOOKUP($D238,$C$5:$AU$503,3,))*$E238)</f>
        <v>0</v>
      </c>
      <c r="W238" s="66">
        <f>IF(VLOOKUP($D238,$C$5:$AU$503,3,)=0,0,(VLOOKUP($D238,$C$5:$AU$503,21,)/VLOOKUP($D238,$C$5:$AU$503,3,))*$E238)</f>
        <v>0</v>
      </c>
      <c r="X238" s="66">
        <f>IF(VLOOKUP($D238,$C$5:$AU$503,3,)=0,0,(VLOOKUP($D238,$C$5:$AU$503,22,)/VLOOKUP($D238,$C$5:$AU$503,3,))*$E238)</f>
        <v>0</v>
      </c>
      <c r="Y238" s="66">
        <f>IF(VLOOKUP($D238,$C$5:$AU$503,3,)=0,0,(VLOOKUP($D238,$C$5:$AU$503,23,)/VLOOKUP($D238,$C$5:$AU$503,3,))*$E238)</f>
        <v>0</v>
      </c>
      <c r="Z238" s="66">
        <f>IF(VLOOKUP($D238,$C$5:$AU$503,3,)=0,0,(VLOOKUP($D238,$C$5:$AU$503,24,)/VLOOKUP($D238,$C$5:$AU$503,3,))*$E238)</f>
        <v>0</v>
      </c>
      <c r="AA238" s="66">
        <f>IF(VLOOKUP($D238,$C$5:$AU$503,3,)=0,0,(VLOOKUP($D238,$C$5:$AU$503,25,)/VLOOKUP($D238,$C$5:$AU$503,3,))*$E238)</f>
        <v>0</v>
      </c>
      <c r="AB238" s="66">
        <f>IF(VLOOKUP($D238,$C$5:$AU$503,3,)=0,0,(VLOOKUP($D238,$C$5:$AU$503,26,)/VLOOKUP($D238,$C$5:$AU$503,3,))*$E238)</f>
        <v>0</v>
      </c>
      <c r="AC238" s="66">
        <f>IF(VLOOKUP($D238,$C$5:$AU$503,3,)=0,0,(VLOOKUP($D238,$C$5:$AU$503,27,)/VLOOKUP($D238,$C$5:$AU$503,3,))*$E238)</f>
        <v>0</v>
      </c>
      <c r="AD238" s="66">
        <f>IF(VLOOKUP($D238,$C$5:$AU$503,3,)=0,0,(VLOOKUP($D238,$C$5:$AU$503,28,)/VLOOKUP($D238,$C$5:$AU$503,3,))*$E238)</f>
        <v>0</v>
      </c>
      <c r="AE238" s="66">
        <f>IF(VLOOKUP($D238,$C$5:$AU$503,3,)=0,0,(VLOOKUP($D238,$C$5:$AU$503,29,)/VLOOKUP($D238,$C$5:$AU$503,3,))*$E238)</f>
        <v>0</v>
      </c>
      <c r="AF238" s="66">
        <f>IF(VLOOKUP($D238,$C$5:$AU$503,3,)=0,0,(VLOOKUP($D238,$C$5:$AU$503,30,)/VLOOKUP($D238,$C$5:$AU$503,3,))*$E238)</f>
        <v>0</v>
      </c>
      <c r="AG238" s="93">
        <f>SUM(F238:AF238)</f>
        <v>0</v>
      </c>
      <c r="AH238" s="30" t="str">
        <f>IF(ABS(E238-AG238)&lt;0.01,"ok","err")</f>
        <v>ok</v>
      </c>
    </row>
    <row r="239" spans="1:34" x14ac:dyDescent="0.2">
      <c r="A239" s="14" t="s">
        <v>215</v>
      </c>
      <c r="C239" s="14" t="s">
        <v>300</v>
      </c>
      <c r="E239" s="234">
        <f t="shared" ref="E239:T239" si="49">E237+E238</f>
        <v>0</v>
      </c>
      <c r="F239" s="66">
        <f t="shared" si="49"/>
        <v>0</v>
      </c>
      <c r="G239" s="66">
        <f t="shared" si="49"/>
        <v>0</v>
      </c>
      <c r="H239" s="66">
        <f t="shared" si="49"/>
        <v>0</v>
      </c>
      <c r="I239" s="66">
        <f t="shared" si="49"/>
        <v>0</v>
      </c>
      <c r="J239" s="66">
        <f t="shared" si="49"/>
        <v>0</v>
      </c>
      <c r="K239" s="66">
        <f t="shared" si="49"/>
        <v>0</v>
      </c>
      <c r="L239" s="66">
        <f t="shared" si="49"/>
        <v>0</v>
      </c>
      <c r="M239" s="66">
        <f t="shared" si="49"/>
        <v>0</v>
      </c>
      <c r="N239" s="66">
        <f t="shared" si="49"/>
        <v>0</v>
      </c>
      <c r="O239" s="66">
        <f t="shared" si="49"/>
        <v>0</v>
      </c>
      <c r="P239" s="66">
        <f t="shared" si="49"/>
        <v>0</v>
      </c>
      <c r="Q239" s="66">
        <f t="shared" si="49"/>
        <v>0</v>
      </c>
      <c r="R239" s="66">
        <f t="shared" si="49"/>
        <v>0</v>
      </c>
      <c r="S239" s="66">
        <f t="shared" si="49"/>
        <v>0</v>
      </c>
      <c r="T239" s="66">
        <f t="shared" si="49"/>
        <v>0</v>
      </c>
      <c r="U239" s="66">
        <f t="shared" ref="U239:AF239" si="50">U237+U238</f>
        <v>0</v>
      </c>
      <c r="V239" s="66">
        <f t="shared" si="50"/>
        <v>0</v>
      </c>
      <c r="W239" s="66">
        <f t="shared" si="50"/>
        <v>0</v>
      </c>
      <c r="X239" s="66">
        <f t="shared" si="50"/>
        <v>0</v>
      </c>
      <c r="Y239" s="66">
        <f t="shared" si="50"/>
        <v>0</v>
      </c>
      <c r="Z239" s="66">
        <f t="shared" si="50"/>
        <v>0</v>
      </c>
      <c r="AA239" s="66">
        <f t="shared" si="50"/>
        <v>0</v>
      </c>
      <c r="AB239" s="66">
        <f t="shared" si="50"/>
        <v>0</v>
      </c>
      <c r="AC239" s="66">
        <f t="shared" si="50"/>
        <v>0</v>
      </c>
      <c r="AD239" s="66">
        <f t="shared" si="50"/>
        <v>0</v>
      </c>
      <c r="AE239" s="66">
        <f t="shared" si="50"/>
        <v>0</v>
      </c>
      <c r="AF239" s="66">
        <f t="shared" si="50"/>
        <v>0</v>
      </c>
      <c r="AG239" s="93">
        <f>SUM(F239:AF239)</f>
        <v>0</v>
      </c>
      <c r="AH239" s="30" t="str">
        <f>IF(ABS(E239-AG239)&lt;0.01,"ok","err")</f>
        <v>ok</v>
      </c>
    </row>
    <row r="240" spans="1:34" x14ac:dyDescent="0.2">
      <c r="E240" s="234"/>
      <c r="F240" s="50"/>
    </row>
    <row r="241" spans="1:34" x14ac:dyDescent="0.2">
      <c r="A241" s="13" t="s">
        <v>350</v>
      </c>
      <c r="E241" s="234"/>
      <c r="F241" s="50"/>
    </row>
    <row r="242" spans="1:34" x14ac:dyDescent="0.2">
      <c r="A242" s="96" t="s">
        <v>209</v>
      </c>
      <c r="C242" s="14" t="s">
        <v>888</v>
      </c>
      <c r="D242" s="14" t="s">
        <v>623</v>
      </c>
      <c r="E242" s="233">
        <f>'Func &amp; Classif'!K314</f>
        <v>0</v>
      </c>
      <c r="F242" s="66">
        <f>IF(VLOOKUP($D242,$C$5:$AU$503,3,)=0,0,(VLOOKUP($D242,$C$5:$AU$503,4,)/VLOOKUP($D242,$C$5:$AU$503,3,))*$E242)</f>
        <v>0</v>
      </c>
      <c r="G242" s="66">
        <f>IF(VLOOKUP($D242,$C$5:$AU$503,3,)=0,0,(VLOOKUP($D242,$C$5:$AU$503,5,)/VLOOKUP($D242,$C$5:$AU$503,3,))*$E242)</f>
        <v>0</v>
      </c>
      <c r="H242" s="66">
        <f>IF(VLOOKUP($D242,$C$5:$AU$503,3,)=0,0,(VLOOKUP($D242,$C$5:$AU$503,6,)/VLOOKUP($D242,$C$5:$AU$503,3,))*$E242)</f>
        <v>0</v>
      </c>
      <c r="I242" s="66">
        <f>IF(VLOOKUP($D242,$C$5:$AU$503,3,)=0,0,(VLOOKUP($D242,$C$5:$AU$503,7,)/VLOOKUP($D242,$C$5:$AU$503,3,))*$E242)</f>
        <v>0</v>
      </c>
      <c r="J242" s="66">
        <f>IF(VLOOKUP($D242,$C$5:$AU$503,3,)=0,0,(VLOOKUP($D242,$C$5:$AU$503,8,)/VLOOKUP($D242,$C$5:$AU$503,3,))*$E242)</f>
        <v>0</v>
      </c>
      <c r="K242" s="66">
        <f>IF(VLOOKUP($D242,$C$5:$AU$503,3,)=0,0,(VLOOKUP($D242,$C$5:$AU$503,9,)/VLOOKUP($D242,$C$5:$AU$503,3,))*$E242)</f>
        <v>0</v>
      </c>
      <c r="L242" s="66">
        <f>IF(VLOOKUP($D242,$C$5:$AU$503,3,)=0,0,(VLOOKUP($D242,$C$5:$AU$503,10,)/VLOOKUP($D242,$C$5:$AU$503,3,))*$E242)</f>
        <v>0</v>
      </c>
      <c r="M242" s="66">
        <f>IF(VLOOKUP($D242,$C$5:$AU$503,3,)=0,0,(VLOOKUP($D242,$C$5:$AU$503,11,)/VLOOKUP($D242,$C$5:$AU$503,3,))*$E242)</f>
        <v>0</v>
      </c>
      <c r="N242" s="66">
        <f>IF(VLOOKUP($D242,$C$5:$AU$503,3,)=0,0,(VLOOKUP($D242,$C$5:$AU$503,12,)/VLOOKUP($D242,$C$5:$AU$503,3,))*$E242)</f>
        <v>0</v>
      </c>
      <c r="O242" s="66">
        <f>IF(VLOOKUP($D242,$C$5:$AU$503,3,)=0,0,(VLOOKUP($D242,$C$5:$AU$503,13,)/VLOOKUP($D242,$C$5:$AU$503,3,))*$E242)</f>
        <v>0</v>
      </c>
      <c r="P242" s="66">
        <f>IF(VLOOKUP($D242,$C$5:$AU$503,3,)=0,0,(VLOOKUP($D242,$C$5:$AU$503,14,)/VLOOKUP($D242,$C$5:$AU$503,3,))*$E242)</f>
        <v>0</v>
      </c>
      <c r="Q242" s="66">
        <f>IF(VLOOKUP($D242,$C$5:$AU$503,3,)=0,0,(VLOOKUP($D242,$C$5:$AU$503,15,)/VLOOKUP($D242,$C$5:$AU$503,3,))*$E242)</f>
        <v>0</v>
      </c>
      <c r="R242" s="66">
        <f>IF(VLOOKUP($D242,$C$5:$AU$503,3,)=0,0,(VLOOKUP($D242,$C$5:$AU$503,16,)/VLOOKUP($D242,$C$5:$AU$503,3,))*$E242)</f>
        <v>0</v>
      </c>
      <c r="S242" s="66">
        <f>IF(VLOOKUP($D242,$C$5:$AU$503,3,)=0,0,(VLOOKUP($D242,$C$5:$AU$503,17,)/VLOOKUP($D242,$C$5:$AU$503,3,))*$E242)</f>
        <v>0</v>
      </c>
      <c r="T242" s="66">
        <f>IF(VLOOKUP($D242,$C$5:$AU$503,3,)=0,0,(VLOOKUP($D242,$C$5:$AU$503,18,)/VLOOKUP($D242,$C$5:$AU$503,3,))*$E242)</f>
        <v>0</v>
      </c>
      <c r="U242" s="66">
        <f>IF(VLOOKUP($D242,$C$5:$AU$503,3,)=0,0,(VLOOKUP($D242,$C$5:$AU$503,19,)/VLOOKUP($D242,$C$5:$AU$503,3,))*$E242)</f>
        <v>0</v>
      </c>
      <c r="V242" s="66">
        <f>IF(VLOOKUP($D242,$C$5:$AU$503,3,)=0,0,(VLOOKUP($D242,$C$5:$AU$503,20,)/VLOOKUP($D242,$C$5:$AU$503,3,))*$E242)</f>
        <v>0</v>
      </c>
      <c r="W242" s="66">
        <f>IF(VLOOKUP($D242,$C$5:$AU$503,3,)=0,0,(VLOOKUP($D242,$C$5:$AU$503,21,)/VLOOKUP($D242,$C$5:$AU$503,3,))*$E242)</f>
        <v>0</v>
      </c>
      <c r="X242" s="66">
        <f>IF(VLOOKUP($D242,$C$5:$AU$503,3,)=0,0,(VLOOKUP($D242,$C$5:$AU$503,22,)/VLOOKUP($D242,$C$5:$AU$503,3,))*$E242)</f>
        <v>0</v>
      </c>
      <c r="Y242" s="66">
        <f>IF(VLOOKUP($D242,$C$5:$AU$503,3,)=0,0,(VLOOKUP($D242,$C$5:$AU$503,23,)/VLOOKUP($D242,$C$5:$AU$503,3,))*$E242)</f>
        <v>0</v>
      </c>
      <c r="Z242" s="66">
        <f>IF(VLOOKUP($D242,$C$5:$AU$503,3,)=0,0,(VLOOKUP($D242,$C$5:$AU$503,24,)/VLOOKUP($D242,$C$5:$AU$503,3,))*$E242)</f>
        <v>0</v>
      </c>
      <c r="AA242" s="66">
        <f>IF(VLOOKUP($D242,$C$5:$AU$503,3,)=0,0,(VLOOKUP($D242,$C$5:$AU$503,25,)/VLOOKUP($D242,$C$5:$AU$503,3,))*$E242)</f>
        <v>0</v>
      </c>
      <c r="AB242" s="66">
        <f>IF(VLOOKUP($D242,$C$5:$AU$503,3,)=0,0,(VLOOKUP($D242,$C$5:$AU$503,26,)/VLOOKUP($D242,$C$5:$AU$503,3,))*$E242)</f>
        <v>0</v>
      </c>
      <c r="AC242" s="66">
        <f>IF(VLOOKUP($D242,$C$5:$AU$503,3,)=0,0,(VLOOKUP($D242,$C$5:$AU$503,27,)/VLOOKUP($D242,$C$5:$AU$503,3,))*$E242)</f>
        <v>0</v>
      </c>
      <c r="AD242" s="66">
        <f>IF(VLOOKUP($D242,$C$5:$AU$503,3,)=0,0,(VLOOKUP($D242,$C$5:$AU$503,28,)/VLOOKUP($D242,$C$5:$AU$503,3,))*$E242)</f>
        <v>0</v>
      </c>
      <c r="AE242" s="66">
        <f>IF(VLOOKUP($D242,$C$5:$AU$503,3,)=0,0,(VLOOKUP($D242,$C$5:$AU$503,29,)/VLOOKUP($D242,$C$5:$AU$503,3,))*$E242)</f>
        <v>0</v>
      </c>
      <c r="AF242" s="66">
        <f>IF(VLOOKUP($D242,$C$5:$AU$503,3,)=0,0,(VLOOKUP($D242,$C$5:$AU$503,30,)/VLOOKUP($D242,$C$5:$AU$503,3,))*$E242)</f>
        <v>0</v>
      </c>
      <c r="AG242" s="93">
        <f>SUM(F242:AF242)</f>
        <v>0</v>
      </c>
      <c r="AH242" s="30" t="str">
        <f>IF(ABS(E242-AG242)&lt;0.01,"ok","err")</f>
        <v>ok</v>
      </c>
    </row>
    <row r="243" spans="1:34" x14ac:dyDescent="0.2">
      <c r="E243" s="234"/>
    </row>
    <row r="244" spans="1:34" x14ac:dyDescent="0.2">
      <c r="A244" s="13" t="s">
        <v>1</v>
      </c>
      <c r="E244" s="234"/>
      <c r="F244" s="50"/>
    </row>
    <row r="245" spans="1:34" x14ac:dyDescent="0.2">
      <c r="A245" s="96" t="s">
        <v>209</v>
      </c>
      <c r="C245" s="14" t="s">
        <v>301</v>
      </c>
      <c r="D245" s="14" t="s">
        <v>630</v>
      </c>
      <c r="E245" s="233">
        <f>'Func &amp; Classif'!M314</f>
        <v>0</v>
      </c>
      <c r="F245" s="66">
        <f>IF(VLOOKUP($D245,$C$5:$AU$503,3,)=0,0,(VLOOKUP($D245,$C$5:$AU$503,4,)/VLOOKUP($D245,$C$5:$AU$503,3,))*$E245)</f>
        <v>0</v>
      </c>
      <c r="G245" s="66">
        <f>IF(VLOOKUP($D245,$C$5:$AU$503,3,)=0,0,(VLOOKUP($D245,$C$5:$AU$503,5,)/VLOOKUP($D245,$C$5:$AU$503,3,))*$E245)</f>
        <v>0</v>
      </c>
      <c r="H245" s="66">
        <f>IF(VLOOKUP($D245,$C$5:$AU$503,3,)=0,0,(VLOOKUP($D245,$C$5:$AU$503,6,)/VLOOKUP($D245,$C$5:$AU$503,3,))*$E245)</f>
        <v>0</v>
      </c>
      <c r="I245" s="66">
        <f>IF(VLOOKUP($D245,$C$5:$AU$503,3,)=0,0,(VLOOKUP($D245,$C$5:$AU$503,7,)/VLOOKUP($D245,$C$5:$AU$503,3,))*$E245)</f>
        <v>0</v>
      </c>
      <c r="J245" s="66">
        <f>IF(VLOOKUP($D245,$C$5:$AU$503,3,)=0,0,(VLOOKUP($D245,$C$5:$AU$503,8,)/VLOOKUP($D245,$C$5:$AU$503,3,))*$E245)</f>
        <v>0</v>
      </c>
      <c r="K245" s="66">
        <f>IF(VLOOKUP($D245,$C$5:$AU$503,3,)=0,0,(VLOOKUP($D245,$C$5:$AU$503,9,)/VLOOKUP($D245,$C$5:$AU$503,3,))*$E245)</f>
        <v>0</v>
      </c>
      <c r="L245" s="66">
        <f>IF(VLOOKUP($D245,$C$5:$AU$503,3,)=0,0,(VLOOKUP($D245,$C$5:$AU$503,10,)/VLOOKUP($D245,$C$5:$AU$503,3,))*$E245)</f>
        <v>0</v>
      </c>
      <c r="M245" s="66">
        <f>IF(VLOOKUP($D245,$C$5:$AU$503,3,)=0,0,(VLOOKUP($D245,$C$5:$AU$503,11,)/VLOOKUP($D245,$C$5:$AU$503,3,))*$E245)</f>
        <v>0</v>
      </c>
      <c r="N245" s="66">
        <f>IF(VLOOKUP($D245,$C$5:$AU$503,3,)=0,0,(VLOOKUP($D245,$C$5:$AU$503,12,)/VLOOKUP($D245,$C$5:$AU$503,3,))*$E245)</f>
        <v>0</v>
      </c>
      <c r="O245" s="66">
        <f>IF(VLOOKUP($D245,$C$5:$AU$503,3,)=0,0,(VLOOKUP($D245,$C$5:$AU$503,13,)/VLOOKUP($D245,$C$5:$AU$503,3,))*$E245)</f>
        <v>0</v>
      </c>
      <c r="P245" s="66">
        <f>IF(VLOOKUP($D245,$C$5:$AU$503,3,)=0,0,(VLOOKUP($D245,$C$5:$AU$503,14,)/VLOOKUP($D245,$C$5:$AU$503,3,))*$E245)</f>
        <v>0</v>
      </c>
      <c r="Q245" s="66">
        <f>IF(VLOOKUP($D245,$C$5:$AU$503,3,)=0,0,(VLOOKUP($D245,$C$5:$AU$503,15,)/VLOOKUP($D245,$C$5:$AU$503,3,))*$E245)</f>
        <v>0</v>
      </c>
      <c r="R245" s="66">
        <f>IF(VLOOKUP($D245,$C$5:$AU$503,3,)=0,0,(VLOOKUP($D245,$C$5:$AU$503,16,)/VLOOKUP($D245,$C$5:$AU$503,3,))*$E245)</f>
        <v>0</v>
      </c>
      <c r="S245" s="66">
        <f>IF(VLOOKUP($D245,$C$5:$AU$503,3,)=0,0,(VLOOKUP($D245,$C$5:$AU$503,17,)/VLOOKUP($D245,$C$5:$AU$503,3,))*$E245)</f>
        <v>0</v>
      </c>
      <c r="T245" s="66">
        <f>IF(VLOOKUP($D245,$C$5:$AU$503,3,)=0,0,(VLOOKUP($D245,$C$5:$AU$503,18,)/VLOOKUP($D245,$C$5:$AU$503,3,))*$E245)</f>
        <v>0</v>
      </c>
      <c r="U245" s="66">
        <f>IF(VLOOKUP($D245,$C$5:$AU$503,3,)=0,0,(VLOOKUP($D245,$C$5:$AU$503,19,)/VLOOKUP($D245,$C$5:$AU$503,3,))*$E245)</f>
        <v>0</v>
      </c>
      <c r="V245" s="66">
        <f>IF(VLOOKUP($D245,$C$5:$AU$503,3,)=0,0,(VLOOKUP($D245,$C$5:$AU$503,20,)/VLOOKUP($D245,$C$5:$AU$503,3,))*$E245)</f>
        <v>0</v>
      </c>
      <c r="W245" s="66">
        <f>IF(VLOOKUP($D245,$C$5:$AU$503,3,)=0,0,(VLOOKUP($D245,$C$5:$AU$503,21,)/VLOOKUP($D245,$C$5:$AU$503,3,))*$E245)</f>
        <v>0</v>
      </c>
      <c r="X245" s="66">
        <f>IF(VLOOKUP($D245,$C$5:$AU$503,3,)=0,0,(VLOOKUP($D245,$C$5:$AU$503,22,)/VLOOKUP($D245,$C$5:$AU$503,3,))*$E245)</f>
        <v>0</v>
      </c>
      <c r="Y245" s="66">
        <f>IF(VLOOKUP($D245,$C$5:$AU$503,3,)=0,0,(VLOOKUP($D245,$C$5:$AU$503,23,)/VLOOKUP($D245,$C$5:$AU$503,3,))*$E245)</f>
        <v>0</v>
      </c>
      <c r="Z245" s="66">
        <f>IF(VLOOKUP($D245,$C$5:$AU$503,3,)=0,0,(VLOOKUP($D245,$C$5:$AU$503,24,)/VLOOKUP($D245,$C$5:$AU$503,3,))*$E245)</f>
        <v>0</v>
      </c>
      <c r="AA245" s="66">
        <f>IF(VLOOKUP($D245,$C$5:$AU$503,3,)=0,0,(VLOOKUP($D245,$C$5:$AU$503,25,)/VLOOKUP($D245,$C$5:$AU$503,3,))*$E245)</f>
        <v>0</v>
      </c>
      <c r="AB245" s="66">
        <f>IF(VLOOKUP($D245,$C$5:$AU$503,3,)=0,0,(VLOOKUP($D245,$C$5:$AU$503,26,)/VLOOKUP($D245,$C$5:$AU$503,3,))*$E245)</f>
        <v>0</v>
      </c>
      <c r="AC245" s="66">
        <f>IF(VLOOKUP($D245,$C$5:$AU$503,3,)=0,0,(VLOOKUP($D245,$C$5:$AU$503,27,)/VLOOKUP($D245,$C$5:$AU$503,3,))*$E245)</f>
        <v>0</v>
      </c>
      <c r="AD245" s="66">
        <f>IF(VLOOKUP($D245,$C$5:$AU$503,3,)=0,0,(VLOOKUP($D245,$C$5:$AU$503,28,)/VLOOKUP($D245,$C$5:$AU$503,3,))*$E245)</f>
        <v>0</v>
      </c>
      <c r="AE245" s="66">
        <f>IF(VLOOKUP($D245,$C$5:$AU$503,3,)=0,0,(VLOOKUP($D245,$C$5:$AU$503,29,)/VLOOKUP($D245,$C$5:$AU$503,3,))*$E245)</f>
        <v>0</v>
      </c>
      <c r="AF245" s="66">
        <f>IF(VLOOKUP($D245,$C$5:$AU$503,3,)=0,0,(VLOOKUP($D245,$C$5:$AU$503,30,)/VLOOKUP($D245,$C$5:$AU$503,3,))*$E245)</f>
        <v>0</v>
      </c>
      <c r="AG245" s="93">
        <f>SUM(F245:AF245)</f>
        <v>0</v>
      </c>
      <c r="AH245" s="30" t="str">
        <f>IF(ABS(E245-AG245)&lt;0.01,"ok","err")</f>
        <v>ok</v>
      </c>
    </row>
    <row r="246" spans="1:34" x14ac:dyDescent="0.2">
      <c r="E246" s="234"/>
    </row>
    <row r="247" spans="1:34" x14ac:dyDescent="0.2">
      <c r="A247" s="13" t="s">
        <v>2</v>
      </c>
      <c r="E247" s="234"/>
    </row>
    <row r="248" spans="1:34" x14ac:dyDescent="0.2">
      <c r="A248" s="96" t="s">
        <v>209</v>
      </c>
      <c r="C248" s="14" t="s">
        <v>302</v>
      </c>
      <c r="D248" s="14" t="s">
        <v>627</v>
      </c>
      <c r="E248" s="233">
        <f>'Func &amp; Classif'!O314</f>
        <v>0</v>
      </c>
      <c r="F248" s="66">
        <f>IF(VLOOKUP($D248,$C$5:$AU$503,3,)=0,0,(VLOOKUP($D248,$C$5:$AU$503,4,)/VLOOKUP($D248,$C$5:$AU$503,3,))*$E248)</f>
        <v>0</v>
      </c>
      <c r="G248" s="66">
        <f>IF(VLOOKUP($D248,$C$5:$AU$503,3,)=0,0,(VLOOKUP($D248,$C$5:$AU$503,5,)/VLOOKUP($D248,$C$5:$AU$503,3,))*$E248)</f>
        <v>0</v>
      </c>
      <c r="H248" s="66">
        <f>IF(VLOOKUP($D248,$C$5:$AU$503,3,)=0,0,(VLOOKUP($D248,$C$5:$AU$503,6,)/VLOOKUP($D248,$C$5:$AU$503,3,))*$E248)</f>
        <v>0</v>
      </c>
      <c r="I248" s="66">
        <f>IF(VLOOKUP($D248,$C$5:$AU$503,3,)=0,0,(VLOOKUP($D248,$C$5:$AU$503,7,)/VLOOKUP($D248,$C$5:$AU$503,3,))*$E248)</f>
        <v>0</v>
      </c>
      <c r="J248" s="66">
        <f>IF(VLOOKUP($D248,$C$5:$AU$503,3,)=0,0,(VLOOKUP($D248,$C$5:$AU$503,8,)/VLOOKUP($D248,$C$5:$AU$503,3,))*$E248)</f>
        <v>0</v>
      </c>
      <c r="K248" s="66">
        <f>IF(VLOOKUP($D248,$C$5:$AU$503,3,)=0,0,(VLOOKUP($D248,$C$5:$AU$503,9,)/VLOOKUP($D248,$C$5:$AU$503,3,))*$E248)</f>
        <v>0</v>
      </c>
      <c r="L248" s="66">
        <f>IF(VLOOKUP($D248,$C$5:$AU$503,3,)=0,0,(VLOOKUP($D248,$C$5:$AU$503,10,)/VLOOKUP($D248,$C$5:$AU$503,3,))*$E248)</f>
        <v>0</v>
      </c>
      <c r="M248" s="66">
        <f>IF(VLOOKUP($D248,$C$5:$AU$503,3,)=0,0,(VLOOKUP($D248,$C$5:$AU$503,11,)/VLOOKUP($D248,$C$5:$AU$503,3,))*$E248)</f>
        <v>0</v>
      </c>
      <c r="N248" s="66">
        <f>IF(VLOOKUP($D248,$C$5:$AU$503,3,)=0,0,(VLOOKUP($D248,$C$5:$AU$503,12,)/VLOOKUP($D248,$C$5:$AU$503,3,))*$E248)</f>
        <v>0</v>
      </c>
      <c r="O248" s="66">
        <f>IF(VLOOKUP($D248,$C$5:$AU$503,3,)=0,0,(VLOOKUP($D248,$C$5:$AU$503,13,)/VLOOKUP($D248,$C$5:$AU$503,3,))*$E248)</f>
        <v>0</v>
      </c>
      <c r="P248" s="66">
        <f>IF(VLOOKUP($D248,$C$5:$AU$503,3,)=0,0,(VLOOKUP($D248,$C$5:$AU$503,14,)/VLOOKUP($D248,$C$5:$AU$503,3,))*$E248)</f>
        <v>0</v>
      </c>
      <c r="Q248" s="66">
        <f>IF(VLOOKUP($D248,$C$5:$AU$503,3,)=0,0,(VLOOKUP($D248,$C$5:$AU$503,15,)/VLOOKUP($D248,$C$5:$AU$503,3,))*$E248)</f>
        <v>0</v>
      </c>
      <c r="R248" s="66">
        <f>IF(VLOOKUP($D248,$C$5:$AU$503,3,)=0,0,(VLOOKUP($D248,$C$5:$AU$503,16,)/VLOOKUP($D248,$C$5:$AU$503,3,))*$E248)</f>
        <v>0</v>
      </c>
      <c r="S248" s="66">
        <f>IF(VLOOKUP($D248,$C$5:$AU$503,3,)=0,0,(VLOOKUP($D248,$C$5:$AU$503,17,)/VLOOKUP($D248,$C$5:$AU$503,3,))*$E248)</f>
        <v>0</v>
      </c>
      <c r="T248" s="66">
        <f>IF(VLOOKUP($D248,$C$5:$AU$503,3,)=0,0,(VLOOKUP($D248,$C$5:$AU$503,18,)/VLOOKUP($D248,$C$5:$AU$503,3,))*$E248)</f>
        <v>0</v>
      </c>
      <c r="U248" s="66">
        <f>IF(VLOOKUP($D248,$C$5:$AU$503,3,)=0,0,(VLOOKUP($D248,$C$5:$AU$503,19,)/VLOOKUP($D248,$C$5:$AU$503,3,))*$E248)</f>
        <v>0</v>
      </c>
      <c r="V248" s="66">
        <f>IF(VLOOKUP($D248,$C$5:$AU$503,3,)=0,0,(VLOOKUP($D248,$C$5:$AU$503,20,)/VLOOKUP($D248,$C$5:$AU$503,3,))*$E248)</f>
        <v>0</v>
      </c>
      <c r="W248" s="66">
        <f>IF(VLOOKUP($D248,$C$5:$AU$503,3,)=0,0,(VLOOKUP($D248,$C$5:$AU$503,21,)/VLOOKUP($D248,$C$5:$AU$503,3,))*$E248)</f>
        <v>0</v>
      </c>
      <c r="X248" s="66">
        <f>IF(VLOOKUP($D248,$C$5:$AU$503,3,)=0,0,(VLOOKUP($D248,$C$5:$AU$503,22,)/VLOOKUP($D248,$C$5:$AU$503,3,))*$E248)</f>
        <v>0</v>
      </c>
      <c r="Y248" s="66">
        <f>IF(VLOOKUP($D248,$C$5:$AU$503,3,)=0,0,(VLOOKUP($D248,$C$5:$AU$503,23,)/VLOOKUP($D248,$C$5:$AU$503,3,))*$E248)</f>
        <v>0</v>
      </c>
      <c r="Z248" s="66">
        <f>IF(VLOOKUP($D248,$C$5:$AU$503,3,)=0,0,(VLOOKUP($D248,$C$5:$AU$503,24,)/VLOOKUP($D248,$C$5:$AU$503,3,))*$E248)</f>
        <v>0</v>
      </c>
      <c r="AA248" s="66">
        <f>IF(VLOOKUP($D248,$C$5:$AU$503,3,)=0,0,(VLOOKUP($D248,$C$5:$AU$503,25,)/VLOOKUP($D248,$C$5:$AU$503,3,))*$E248)</f>
        <v>0</v>
      </c>
      <c r="AB248" s="66">
        <f>IF(VLOOKUP($D248,$C$5:$AU$503,3,)=0,0,(VLOOKUP($D248,$C$5:$AU$503,26,)/VLOOKUP($D248,$C$5:$AU$503,3,))*$E248)</f>
        <v>0</v>
      </c>
      <c r="AC248" s="66">
        <f>IF(VLOOKUP($D248,$C$5:$AU$503,3,)=0,0,(VLOOKUP($D248,$C$5:$AU$503,27,)/VLOOKUP($D248,$C$5:$AU$503,3,))*$E248)</f>
        <v>0</v>
      </c>
      <c r="AD248" s="66">
        <f>IF(VLOOKUP($D248,$C$5:$AU$503,3,)=0,0,(VLOOKUP($D248,$C$5:$AU$503,28,)/VLOOKUP($D248,$C$5:$AU$503,3,))*$E248)</f>
        <v>0</v>
      </c>
      <c r="AE248" s="66">
        <f>IF(VLOOKUP($D248,$C$5:$AU$503,3,)=0,0,(VLOOKUP($D248,$C$5:$AU$503,29,)/VLOOKUP($D248,$C$5:$AU$503,3,))*$E248)</f>
        <v>0</v>
      </c>
      <c r="AF248" s="66">
        <f>IF(VLOOKUP($D248,$C$5:$AU$503,3,)=0,0,(VLOOKUP($D248,$C$5:$AU$503,30,)/VLOOKUP($D248,$C$5:$AU$503,3,))*$E248)</f>
        <v>0</v>
      </c>
      <c r="AG248" s="93">
        <f>SUM(F248:AF248)</f>
        <v>0</v>
      </c>
      <c r="AH248" s="30" t="str">
        <f>IF(ABS(E248-AG248)&lt;0.01,"ok","err")</f>
        <v>ok</v>
      </c>
    </row>
    <row r="249" spans="1:34" x14ac:dyDescent="0.2">
      <c r="A249" s="96" t="s">
        <v>221</v>
      </c>
      <c r="C249" s="14" t="s">
        <v>303</v>
      </c>
      <c r="D249" s="14" t="s">
        <v>223</v>
      </c>
      <c r="E249" s="234">
        <f>'Func &amp; Classif'!P314</f>
        <v>0</v>
      </c>
      <c r="F249" s="66">
        <f>IF(VLOOKUP($D249,$C$5:$AU$503,3,)=0,0,(VLOOKUP($D249,$C$5:$AU$503,4,)/VLOOKUP($D249,$C$5:$AU$503,3,))*$E249)</f>
        <v>0</v>
      </c>
      <c r="G249" s="66">
        <f>IF(VLOOKUP($D249,$C$5:$AU$503,3,)=0,0,(VLOOKUP($D249,$C$5:$AU$503,5,)/VLOOKUP($D249,$C$5:$AU$503,3,))*$E249)</f>
        <v>0</v>
      </c>
      <c r="H249" s="66">
        <f>IF(VLOOKUP($D249,$C$5:$AU$503,3,)=0,0,(VLOOKUP($D249,$C$5:$AU$503,6,)/VLOOKUP($D249,$C$5:$AU$503,3,))*$E249)</f>
        <v>0</v>
      </c>
      <c r="I249" s="66">
        <f>IF(VLOOKUP($D249,$C$5:$AU$503,3,)=0,0,(VLOOKUP($D249,$C$5:$AU$503,7,)/VLOOKUP($D249,$C$5:$AU$503,3,))*$E249)</f>
        <v>0</v>
      </c>
      <c r="J249" s="66">
        <f>IF(VLOOKUP($D249,$C$5:$AU$503,3,)=0,0,(VLOOKUP($D249,$C$5:$AU$503,8,)/VLOOKUP($D249,$C$5:$AU$503,3,))*$E249)</f>
        <v>0</v>
      </c>
      <c r="K249" s="66">
        <f>IF(VLOOKUP($D249,$C$5:$AU$503,3,)=0,0,(VLOOKUP($D249,$C$5:$AU$503,9,)/VLOOKUP($D249,$C$5:$AU$503,3,))*$E249)</f>
        <v>0</v>
      </c>
      <c r="L249" s="66">
        <f>IF(VLOOKUP($D249,$C$5:$AU$503,3,)=0,0,(VLOOKUP($D249,$C$5:$AU$503,10,)/VLOOKUP($D249,$C$5:$AU$503,3,))*$E249)</f>
        <v>0</v>
      </c>
      <c r="M249" s="66">
        <f>IF(VLOOKUP($D249,$C$5:$AU$503,3,)=0,0,(VLOOKUP($D249,$C$5:$AU$503,11,)/VLOOKUP($D249,$C$5:$AU$503,3,))*$E249)</f>
        <v>0</v>
      </c>
      <c r="N249" s="66">
        <f>IF(VLOOKUP($D249,$C$5:$AU$503,3,)=0,0,(VLOOKUP($D249,$C$5:$AU$503,12,)/VLOOKUP($D249,$C$5:$AU$503,3,))*$E249)</f>
        <v>0</v>
      </c>
      <c r="O249" s="66">
        <f>IF(VLOOKUP($D249,$C$5:$AU$503,3,)=0,0,(VLOOKUP($D249,$C$5:$AU$503,13,)/VLOOKUP($D249,$C$5:$AU$503,3,))*$E249)</f>
        <v>0</v>
      </c>
      <c r="P249" s="66">
        <f>IF(VLOOKUP($D249,$C$5:$AU$503,3,)=0,0,(VLOOKUP($D249,$C$5:$AU$503,14,)/VLOOKUP($D249,$C$5:$AU$503,3,))*$E249)</f>
        <v>0</v>
      </c>
      <c r="Q249" s="66">
        <f>IF(VLOOKUP($D249,$C$5:$AU$503,3,)=0,0,(VLOOKUP($D249,$C$5:$AU$503,15,)/VLOOKUP($D249,$C$5:$AU$503,3,))*$E249)</f>
        <v>0</v>
      </c>
      <c r="R249" s="66">
        <f>IF(VLOOKUP($D249,$C$5:$AU$503,3,)=0,0,(VLOOKUP($D249,$C$5:$AU$503,16,)/VLOOKUP($D249,$C$5:$AU$503,3,))*$E249)</f>
        <v>0</v>
      </c>
      <c r="S249" s="66">
        <f>IF(VLOOKUP($D249,$C$5:$AU$503,3,)=0,0,(VLOOKUP($D249,$C$5:$AU$503,17,)/VLOOKUP($D249,$C$5:$AU$503,3,))*$E249)</f>
        <v>0</v>
      </c>
      <c r="T249" s="66">
        <f>IF(VLOOKUP($D249,$C$5:$AU$503,3,)=0,0,(VLOOKUP($D249,$C$5:$AU$503,18,)/VLOOKUP($D249,$C$5:$AU$503,3,))*$E249)</f>
        <v>0</v>
      </c>
      <c r="U249" s="66">
        <f>IF(VLOOKUP($D249,$C$5:$AU$503,3,)=0,0,(VLOOKUP($D249,$C$5:$AU$503,19,)/VLOOKUP($D249,$C$5:$AU$503,3,))*$E249)</f>
        <v>0</v>
      </c>
      <c r="V249" s="66">
        <f>IF(VLOOKUP($D249,$C$5:$AU$503,3,)=0,0,(VLOOKUP($D249,$C$5:$AU$503,20,)/VLOOKUP($D249,$C$5:$AU$503,3,))*$E249)</f>
        <v>0</v>
      </c>
      <c r="W249" s="66">
        <f>IF(VLOOKUP($D249,$C$5:$AU$503,3,)=0,0,(VLOOKUP($D249,$C$5:$AU$503,21,)/VLOOKUP($D249,$C$5:$AU$503,3,))*$E249)</f>
        <v>0</v>
      </c>
      <c r="X249" s="66">
        <f>IF(VLOOKUP($D249,$C$5:$AU$503,3,)=0,0,(VLOOKUP($D249,$C$5:$AU$503,22,)/VLOOKUP($D249,$C$5:$AU$503,3,))*$E249)</f>
        <v>0</v>
      </c>
      <c r="Y249" s="66">
        <f>IF(VLOOKUP($D249,$C$5:$AU$503,3,)=0,0,(VLOOKUP($D249,$C$5:$AU$503,23,)/VLOOKUP($D249,$C$5:$AU$503,3,))*$E249)</f>
        <v>0</v>
      </c>
      <c r="Z249" s="66">
        <f>IF(VLOOKUP($D249,$C$5:$AU$503,3,)=0,0,(VLOOKUP($D249,$C$5:$AU$503,24,)/VLOOKUP($D249,$C$5:$AU$503,3,))*$E249)</f>
        <v>0</v>
      </c>
      <c r="AA249" s="66">
        <f>IF(VLOOKUP($D249,$C$5:$AU$503,3,)=0,0,(VLOOKUP($D249,$C$5:$AU$503,25,)/VLOOKUP($D249,$C$5:$AU$503,3,))*$E249)</f>
        <v>0</v>
      </c>
      <c r="AB249" s="66">
        <f>IF(VLOOKUP($D249,$C$5:$AU$503,3,)=0,0,(VLOOKUP($D249,$C$5:$AU$503,26,)/VLOOKUP($D249,$C$5:$AU$503,3,))*$E249)</f>
        <v>0</v>
      </c>
      <c r="AC249" s="66">
        <f>IF(VLOOKUP($D249,$C$5:$AU$503,3,)=0,0,(VLOOKUP($D249,$C$5:$AU$503,27,)/VLOOKUP($D249,$C$5:$AU$503,3,))*$E249)</f>
        <v>0</v>
      </c>
      <c r="AD249" s="66">
        <f>IF(VLOOKUP($D249,$C$5:$AU$503,3,)=0,0,(VLOOKUP($D249,$C$5:$AU$503,28,)/VLOOKUP($D249,$C$5:$AU$503,3,))*$E249)</f>
        <v>0</v>
      </c>
      <c r="AE249" s="66">
        <f>IF(VLOOKUP($D249,$C$5:$AU$503,3,)=0,0,(VLOOKUP($D249,$C$5:$AU$503,29,)/VLOOKUP($D249,$C$5:$AU$503,3,))*$E249)</f>
        <v>0</v>
      </c>
      <c r="AF249" s="66">
        <f>IF(VLOOKUP($D249,$C$5:$AU$503,3,)=0,0,(VLOOKUP($D249,$C$5:$AU$503,30,)/VLOOKUP($D249,$C$5:$AU$503,3,))*$E249)</f>
        <v>0</v>
      </c>
      <c r="AG249" s="93">
        <f>SUM(F249:AF249)</f>
        <v>0</v>
      </c>
      <c r="AH249" s="30" t="str">
        <f>IF(ABS(E249-AG249)&lt;0.01,"ok","err")</f>
        <v>ok</v>
      </c>
    </row>
    <row r="250" spans="1:34" x14ac:dyDescent="0.2">
      <c r="A250" s="14" t="s">
        <v>224</v>
      </c>
      <c r="E250" s="233">
        <f t="shared" ref="E250:T250" si="51">E248+E249</f>
        <v>0</v>
      </c>
      <c r="F250" s="66">
        <f t="shared" si="51"/>
        <v>0</v>
      </c>
      <c r="G250" s="66">
        <f t="shared" si="51"/>
        <v>0</v>
      </c>
      <c r="H250" s="66">
        <f t="shared" si="51"/>
        <v>0</v>
      </c>
      <c r="I250" s="66">
        <f t="shared" si="51"/>
        <v>0</v>
      </c>
      <c r="J250" s="66">
        <f t="shared" si="51"/>
        <v>0</v>
      </c>
      <c r="K250" s="66">
        <f t="shared" si="51"/>
        <v>0</v>
      </c>
      <c r="L250" s="66">
        <f t="shared" si="51"/>
        <v>0</v>
      </c>
      <c r="M250" s="66">
        <f t="shared" si="51"/>
        <v>0</v>
      </c>
      <c r="N250" s="66">
        <f t="shared" si="51"/>
        <v>0</v>
      </c>
      <c r="O250" s="66">
        <f t="shared" si="51"/>
        <v>0</v>
      </c>
      <c r="P250" s="66">
        <f t="shared" si="51"/>
        <v>0</v>
      </c>
      <c r="Q250" s="66">
        <f t="shared" si="51"/>
        <v>0</v>
      </c>
      <c r="R250" s="66">
        <f t="shared" si="51"/>
        <v>0</v>
      </c>
      <c r="S250" s="66">
        <f t="shared" si="51"/>
        <v>0</v>
      </c>
      <c r="T250" s="66">
        <f t="shared" si="51"/>
        <v>0</v>
      </c>
      <c r="U250" s="66">
        <f t="shared" ref="U250:AF250" si="52">U248+U249</f>
        <v>0</v>
      </c>
      <c r="V250" s="66">
        <f t="shared" si="52"/>
        <v>0</v>
      </c>
      <c r="W250" s="66">
        <f t="shared" si="52"/>
        <v>0</v>
      </c>
      <c r="X250" s="66">
        <f t="shared" si="52"/>
        <v>0</v>
      </c>
      <c r="Y250" s="66">
        <f t="shared" si="52"/>
        <v>0</v>
      </c>
      <c r="Z250" s="66">
        <f t="shared" si="52"/>
        <v>0</v>
      </c>
      <c r="AA250" s="66">
        <f t="shared" si="52"/>
        <v>0</v>
      </c>
      <c r="AB250" s="66">
        <f t="shared" si="52"/>
        <v>0</v>
      </c>
      <c r="AC250" s="66">
        <f t="shared" si="52"/>
        <v>0</v>
      </c>
      <c r="AD250" s="66">
        <f t="shared" si="52"/>
        <v>0</v>
      </c>
      <c r="AE250" s="66">
        <f t="shared" si="52"/>
        <v>0</v>
      </c>
      <c r="AF250" s="66">
        <f t="shared" si="52"/>
        <v>0</v>
      </c>
      <c r="AG250" s="93">
        <f>SUM(F250:AF250)</f>
        <v>0</v>
      </c>
      <c r="AH250" s="30" t="str">
        <f>IF(ABS(E250-AG250)&lt;0.01,"ok","err")</f>
        <v>ok</v>
      </c>
    </row>
    <row r="251" spans="1:34" x14ac:dyDescent="0.2">
      <c r="E251" s="234"/>
    </row>
    <row r="252" spans="1:34" x14ac:dyDescent="0.2">
      <c r="A252" s="13" t="s">
        <v>3</v>
      </c>
      <c r="E252" s="234"/>
    </row>
    <row r="253" spans="1:34" x14ac:dyDescent="0.2">
      <c r="A253" s="96" t="s">
        <v>209</v>
      </c>
      <c r="C253" s="14" t="s">
        <v>304</v>
      </c>
      <c r="D253" s="14" t="s">
        <v>699</v>
      </c>
      <c r="E253" s="233">
        <f>'Func &amp; Classif'!R314</f>
        <v>0</v>
      </c>
      <c r="F253" s="66">
        <f>IF(VLOOKUP($D253,$C$5:$AU$503,3,)=0,0,(VLOOKUP($D253,$C$5:$AU$503,4,)/VLOOKUP($D253,$C$5:$AU$503,3,))*$E253)</f>
        <v>0</v>
      </c>
      <c r="G253" s="66">
        <f>IF(VLOOKUP($D253,$C$5:$AU$503,3,)=0,0,(VLOOKUP($D253,$C$5:$AU$503,5,)/VLOOKUP($D253,$C$5:$AU$503,3,))*$E253)</f>
        <v>0</v>
      </c>
      <c r="H253" s="66">
        <f>IF(VLOOKUP($D253,$C$5:$AU$503,3,)=0,0,(VLOOKUP($D253,$C$5:$AU$503,6,)/VLOOKUP($D253,$C$5:$AU$503,3,))*$E253)</f>
        <v>0</v>
      </c>
      <c r="I253" s="66">
        <f>IF(VLOOKUP($D253,$C$5:$AU$503,3,)=0,0,(VLOOKUP($D253,$C$5:$AU$503,7,)/VLOOKUP($D253,$C$5:$AU$503,3,))*$E253)</f>
        <v>0</v>
      </c>
      <c r="J253" s="66">
        <f>IF(VLOOKUP($D253,$C$5:$AU$503,3,)=0,0,(VLOOKUP($D253,$C$5:$AU$503,8,)/VLOOKUP($D253,$C$5:$AU$503,3,))*$E253)</f>
        <v>0</v>
      </c>
      <c r="K253" s="66">
        <f>IF(VLOOKUP($D253,$C$5:$AU$503,3,)=0,0,(VLOOKUP($D253,$C$5:$AU$503,9,)/VLOOKUP($D253,$C$5:$AU$503,3,))*$E253)</f>
        <v>0</v>
      </c>
      <c r="L253" s="66">
        <f>IF(VLOOKUP($D253,$C$5:$AU$503,3,)=0,0,(VLOOKUP($D253,$C$5:$AU$503,10,)/VLOOKUP($D253,$C$5:$AU$503,3,))*$E253)</f>
        <v>0</v>
      </c>
      <c r="M253" s="66">
        <f>IF(VLOOKUP($D253,$C$5:$AU$503,3,)=0,0,(VLOOKUP($D253,$C$5:$AU$503,11,)/VLOOKUP($D253,$C$5:$AU$503,3,))*$E253)</f>
        <v>0</v>
      </c>
      <c r="N253" s="66">
        <f>IF(VLOOKUP($D253,$C$5:$AU$503,3,)=0,0,(VLOOKUP($D253,$C$5:$AU$503,12,)/VLOOKUP($D253,$C$5:$AU$503,3,))*$E253)</f>
        <v>0</v>
      </c>
      <c r="O253" s="66">
        <f>IF(VLOOKUP($D253,$C$5:$AU$503,3,)=0,0,(VLOOKUP($D253,$C$5:$AU$503,13,)/VLOOKUP($D253,$C$5:$AU$503,3,))*$E253)</f>
        <v>0</v>
      </c>
      <c r="P253" s="66">
        <f>IF(VLOOKUP($D253,$C$5:$AU$503,3,)=0,0,(VLOOKUP($D253,$C$5:$AU$503,14,)/VLOOKUP($D253,$C$5:$AU$503,3,))*$E253)</f>
        <v>0</v>
      </c>
      <c r="Q253" s="66">
        <f>IF(VLOOKUP($D253,$C$5:$AU$503,3,)=0,0,(VLOOKUP($D253,$C$5:$AU$503,15,)/VLOOKUP($D253,$C$5:$AU$503,3,))*$E253)</f>
        <v>0</v>
      </c>
      <c r="R253" s="66">
        <f>IF(VLOOKUP($D253,$C$5:$AU$503,3,)=0,0,(VLOOKUP($D253,$C$5:$AU$503,16,)/VLOOKUP($D253,$C$5:$AU$503,3,))*$E253)</f>
        <v>0</v>
      </c>
      <c r="S253" s="66">
        <f>IF(VLOOKUP($D253,$C$5:$AU$503,3,)=0,0,(VLOOKUP($D253,$C$5:$AU$503,17,)/VLOOKUP($D253,$C$5:$AU$503,3,))*$E253)</f>
        <v>0</v>
      </c>
      <c r="T253" s="66">
        <f>IF(VLOOKUP($D253,$C$5:$AU$503,3,)=0,0,(VLOOKUP($D253,$C$5:$AU$503,18,)/VLOOKUP($D253,$C$5:$AU$503,3,))*$E253)</f>
        <v>0</v>
      </c>
      <c r="U253" s="66">
        <f>IF(VLOOKUP($D253,$C$5:$AU$503,3,)=0,0,(VLOOKUP($D253,$C$5:$AU$503,19,)/VLOOKUP($D253,$C$5:$AU$503,3,))*$E253)</f>
        <v>0</v>
      </c>
      <c r="V253" s="66">
        <f>IF(VLOOKUP($D253,$C$5:$AU$503,3,)=0,0,(VLOOKUP($D253,$C$5:$AU$503,20,)/VLOOKUP($D253,$C$5:$AU$503,3,))*$E253)</f>
        <v>0</v>
      </c>
      <c r="W253" s="66">
        <f>IF(VLOOKUP($D253,$C$5:$AU$503,3,)=0,0,(VLOOKUP($D253,$C$5:$AU$503,21,)/VLOOKUP($D253,$C$5:$AU$503,3,))*$E253)</f>
        <v>0</v>
      </c>
      <c r="X253" s="66">
        <f>IF(VLOOKUP($D253,$C$5:$AU$503,3,)=0,0,(VLOOKUP($D253,$C$5:$AU$503,22,)/VLOOKUP($D253,$C$5:$AU$503,3,))*$E253)</f>
        <v>0</v>
      </c>
      <c r="Y253" s="66">
        <f>IF(VLOOKUP($D253,$C$5:$AU$503,3,)=0,0,(VLOOKUP($D253,$C$5:$AU$503,23,)/VLOOKUP($D253,$C$5:$AU$503,3,))*$E253)</f>
        <v>0</v>
      </c>
      <c r="Z253" s="66">
        <f>IF(VLOOKUP($D253,$C$5:$AU$503,3,)=0,0,(VLOOKUP($D253,$C$5:$AU$503,24,)/VLOOKUP($D253,$C$5:$AU$503,3,))*$E253)</f>
        <v>0</v>
      </c>
      <c r="AA253" s="66">
        <f>IF(VLOOKUP($D253,$C$5:$AU$503,3,)=0,0,(VLOOKUP($D253,$C$5:$AU$503,25,)/VLOOKUP($D253,$C$5:$AU$503,3,))*$E253)</f>
        <v>0</v>
      </c>
      <c r="AB253" s="66">
        <f>IF(VLOOKUP($D253,$C$5:$AU$503,3,)=0,0,(VLOOKUP($D253,$C$5:$AU$503,26,)/VLOOKUP($D253,$C$5:$AU$503,3,))*$E253)</f>
        <v>0</v>
      </c>
      <c r="AC253" s="66">
        <f>IF(VLOOKUP($D253,$C$5:$AU$503,3,)=0,0,(VLOOKUP($D253,$C$5:$AU$503,27,)/VLOOKUP($D253,$C$5:$AU$503,3,))*$E253)</f>
        <v>0</v>
      </c>
      <c r="AD253" s="66">
        <f>IF(VLOOKUP($D253,$C$5:$AU$503,3,)=0,0,(VLOOKUP($D253,$C$5:$AU$503,28,)/VLOOKUP($D253,$C$5:$AU$503,3,))*$E253)</f>
        <v>0</v>
      </c>
      <c r="AE253" s="66">
        <f>IF(VLOOKUP($D253,$C$5:$AU$503,3,)=0,0,(VLOOKUP($D253,$C$5:$AU$503,29,)/VLOOKUP($D253,$C$5:$AU$503,3,))*$E253)</f>
        <v>0</v>
      </c>
      <c r="AF253" s="66">
        <f>IF(VLOOKUP($D253,$C$5:$AU$503,3,)=0,0,(VLOOKUP($D253,$C$5:$AU$503,30,)/VLOOKUP($D253,$C$5:$AU$503,3,))*$E253)</f>
        <v>0</v>
      </c>
      <c r="AG253" s="93">
        <f>SUM(F253:AF253)</f>
        <v>0</v>
      </c>
      <c r="AH253" s="30" t="str">
        <f>IF(ABS(E253-AG253)&lt;0.01,"ok","err")</f>
        <v>ok</v>
      </c>
    </row>
    <row r="254" spans="1:34" x14ac:dyDescent="0.2">
      <c r="A254" s="96" t="s">
        <v>221</v>
      </c>
      <c r="C254" s="14" t="s">
        <v>305</v>
      </c>
      <c r="D254" s="14" t="s">
        <v>699</v>
      </c>
      <c r="E254" s="234">
        <f>'Func &amp; Classif'!S314</f>
        <v>0</v>
      </c>
      <c r="F254" s="66">
        <f>IF(VLOOKUP($D254,$C$5:$AU$503,3,)=0,0,(VLOOKUP($D254,$C$5:$AU$503,4,)/VLOOKUP($D254,$C$5:$AU$503,3,))*$E254)</f>
        <v>0</v>
      </c>
      <c r="G254" s="66">
        <f>IF(VLOOKUP($D254,$C$5:$AU$503,3,)=0,0,(VLOOKUP($D254,$C$5:$AU$503,5,)/VLOOKUP($D254,$C$5:$AU$503,3,))*$E254)</f>
        <v>0</v>
      </c>
      <c r="H254" s="66">
        <f>IF(VLOOKUP($D254,$C$5:$AU$503,3,)=0,0,(VLOOKUP($D254,$C$5:$AU$503,6,)/VLOOKUP($D254,$C$5:$AU$503,3,))*$E254)</f>
        <v>0</v>
      </c>
      <c r="I254" s="66">
        <f>IF(VLOOKUP($D254,$C$5:$AU$503,3,)=0,0,(VLOOKUP($D254,$C$5:$AU$503,7,)/VLOOKUP($D254,$C$5:$AU$503,3,))*$E254)</f>
        <v>0</v>
      </c>
      <c r="J254" s="66">
        <f>IF(VLOOKUP($D254,$C$5:$AU$503,3,)=0,0,(VLOOKUP($D254,$C$5:$AU$503,8,)/VLOOKUP($D254,$C$5:$AU$503,3,))*$E254)</f>
        <v>0</v>
      </c>
      <c r="K254" s="66">
        <f>IF(VLOOKUP($D254,$C$5:$AU$503,3,)=0,0,(VLOOKUP($D254,$C$5:$AU$503,9,)/VLOOKUP($D254,$C$5:$AU$503,3,))*$E254)</f>
        <v>0</v>
      </c>
      <c r="L254" s="66">
        <f>IF(VLOOKUP($D254,$C$5:$AU$503,3,)=0,0,(VLOOKUP($D254,$C$5:$AU$503,10,)/VLOOKUP($D254,$C$5:$AU$503,3,))*$E254)</f>
        <v>0</v>
      </c>
      <c r="M254" s="66">
        <f>IF(VLOOKUP($D254,$C$5:$AU$503,3,)=0,0,(VLOOKUP($D254,$C$5:$AU$503,11,)/VLOOKUP($D254,$C$5:$AU$503,3,))*$E254)</f>
        <v>0</v>
      </c>
      <c r="N254" s="66">
        <f>IF(VLOOKUP($D254,$C$5:$AU$503,3,)=0,0,(VLOOKUP($D254,$C$5:$AU$503,12,)/VLOOKUP($D254,$C$5:$AU$503,3,))*$E254)</f>
        <v>0</v>
      </c>
      <c r="O254" s="66">
        <f>IF(VLOOKUP($D254,$C$5:$AU$503,3,)=0,0,(VLOOKUP($D254,$C$5:$AU$503,13,)/VLOOKUP($D254,$C$5:$AU$503,3,))*$E254)</f>
        <v>0</v>
      </c>
      <c r="P254" s="66">
        <f>IF(VLOOKUP($D254,$C$5:$AU$503,3,)=0,0,(VLOOKUP($D254,$C$5:$AU$503,14,)/VLOOKUP($D254,$C$5:$AU$503,3,))*$E254)</f>
        <v>0</v>
      </c>
      <c r="Q254" s="66">
        <f>IF(VLOOKUP($D254,$C$5:$AU$503,3,)=0,0,(VLOOKUP($D254,$C$5:$AU$503,15,)/VLOOKUP($D254,$C$5:$AU$503,3,))*$E254)</f>
        <v>0</v>
      </c>
      <c r="R254" s="66">
        <f>IF(VLOOKUP($D254,$C$5:$AU$503,3,)=0,0,(VLOOKUP($D254,$C$5:$AU$503,16,)/VLOOKUP($D254,$C$5:$AU$503,3,))*$E254)</f>
        <v>0</v>
      </c>
      <c r="S254" s="66">
        <f>IF(VLOOKUP($D254,$C$5:$AU$503,3,)=0,0,(VLOOKUP($D254,$C$5:$AU$503,17,)/VLOOKUP($D254,$C$5:$AU$503,3,))*$E254)</f>
        <v>0</v>
      </c>
      <c r="T254" s="66">
        <f>IF(VLOOKUP($D254,$C$5:$AU$503,3,)=0,0,(VLOOKUP($D254,$C$5:$AU$503,18,)/VLOOKUP($D254,$C$5:$AU$503,3,))*$E254)</f>
        <v>0</v>
      </c>
      <c r="U254" s="66">
        <f>IF(VLOOKUP($D254,$C$5:$AU$503,3,)=0,0,(VLOOKUP($D254,$C$5:$AU$503,19,)/VLOOKUP($D254,$C$5:$AU$503,3,))*$E254)</f>
        <v>0</v>
      </c>
      <c r="V254" s="66">
        <f>IF(VLOOKUP($D254,$C$5:$AU$503,3,)=0,0,(VLOOKUP($D254,$C$5:$AU$503,20,)/VLOOKUP($D254,$C$5:$AU$503,3,))*$E254)</f>
        <v>0</v>
      </c>
      <c r="W254" s="66">
        <f>IF(VLOOKUP($D254,$C$5:$AU$503,3,)=0,0,(VLOOKUP($D254,$C$5:$AU$503,21,)/VLOOKUP($D254,$C$5:$AU$503,3,))*$E254)</f>
        <v>0</v>
      </c>
      <c r="X254" s="66">
        <f>IF(VLOOKUP($D254,$C$5:$AU$503,3,)=0,0,(VLOOKUP($D254,$C$5:$AU$503,22,)/VLOOKUP($D254,$C$5:$AU$503,3,))*$E254)</f>
        <v>0</v>
      </c>
      <c r="Y254" s="66">
        <f>IF(VLOOKUP($D254,$C$5:$AU$503,3,)=0,0,(VLOOKUP($D254,$C$5:$AU$503,23,)/VLOOKUP($D254,$C$5:$AU$503,3,))*$E254)</f>
        <v>0</v>
      </c>
      <c r="Z254" s="66">
        <f>IF(VLOOKUP($D254,$C$5:$AU$503,3,)=0,0,(VLOOKUP($D254,$C$5:$AU$503,24,)/VLOOKUP($D254,$C$5:$AU$503,3,))*$E254)</f>
        <v>0</v>
      </c>
      <c r="AA254" s="66">
        <f>IF(VLOOKUP($D254,$C$5:$AU$503,3,)=0,0,(VLOOKUP($D254,$C$5:$AU$503,25,)/VLOOKUP($D254,$C$5:$AU$503,3,))*$E254)</f>
        <v>0</v>
      </c>
      <c r="AB254" s="66">
        <f>IF(VLOOKUP($D254,$C$5:$AU$503,3,)=0,0,(VLOOKUP($D254,$C$5:$AU$503,26,)/VLOOKUP($D254,$C$5:$AU$503,3,))*$E254)</f>
        <v>0</v>
      </c>
      <c r="AC254" s="66">
        <f>IF(VLOOKUP($D254,$C$5:$AU$503,3,)=0,0,(VLOOKUP($D254,$C$5:$AU$503,27,)/VLOOKUP($D254,$C$5:$AU$503,3,))*$E254)</f>
        <v>0</v>
      </c>
      <c r="AD254" s="66">
        <f>IF(VLOOKUP($D254,$C$5:$AU$503,3,)=0,0,(VLOOKUP($D254,$C$5:$AU$503,28,)/VLOOKUP($D254,$C$5:$AU$503,3,))*$E254)</f>
        <v>0</v>
      </c>
      <c r="AE254" s="66">
        <f>IF(VLOOKUP($D254,$C$5:$AU$503,3,)=0,0,(VLOOKUP($D254,$C$5:$AU$503,29,)/VLOOKUP($D254,$C$5:$AU$503,3,))*$E254)</f>
        <v>0</v>
      </c>
      <c r="AF254" s="66">
        <f>IF(VLOOKUP($D254,$C$5:$AU$503,3,)=0,0,(VLOOKUP($D254,$C$5:$AU$503,30,)/VLOOKUP($D254,$C$5:$AU$503,3,))*$E254)</f>
        <v>0</v>
      </c>
      <c r="AG254" s="93">
        <f>SUM(F254:AF254)</f>
        <v>0</v>
      </c>
      <c r="AH254" s="30" t="str">
        <f>IF(ABS(E254-AG254)&lt;0.01,"ok","err")</f>
        <v>ok</v>
      </c>
    </row>
    <row r="255" spans="1:34" x14ac:dyDescent="0.2">
      <c r="A255" s="14" t="s">
        <v>228</v>
      </c>
      <c r="E255" s="233">
        <f t="shared" ref="E255:T255" si="53">E253+E254</f>
        <v>0</v>
      </c>
      <c r="F255" s="66">
        <f t="shared" si="53"/>
        <v>0</v>
      </c>
      <c r="G255" s="66">
        <f t="shared" si="53"/>
        <v>0</v>
      </c>
      <c r="H255" s="66">
        <f t="shared" si="53"/>
        <v>0</v>
      </c>
      <c r="I255" s="66">
        <f t="shared" si="53"/>
        <v>0</v>
      </c>
      <c r="J255" s="66">
        <f t="shared" si="53"/>
        <v>0</v>
      </c>
      <c r="K255" s="66">
        <f t="shared" si="53"/>
        <v>0</v>
      </c>
      <c r="L255" s="66">
        <f t="shared" si="53"/>
        <v>0</v>
      </c>
      <c r="M255" s="66">
        <f t="shared" si="53"/>
        <v>0</v>
      </c>
      <c r="N255" s="66">
        <f t="shared" si="53"/>
        <v>0</v>
      </c>
      <c r="O255" s="66">
        <f t="shared" si="53"/>
        <v>0</v>
      </c>
      <c r="P255" s="66">
        <f t="shared" si="53"/>
        <v>0</v>
      </c>
      <c r="Q255" s="66">
        <f t="shared" si="53"/>
        <v>0</v>
      </c>
      <c r="R255" s="66">
        <f t="shared" si="53"/>
        <v>0</v>
      </c>
      <c r="S255" s="66">
        <f t="shared" si="53"/>
        <v>0</v>
      </c>
      <c r="T255" s="66">
        <f t="shared" si="53"/>
        <v>0</v>
      </c>
      <c r="U255" s="66">
        <f t="shared" ref="U255:AF255" si="54">U253+U254</f>
        <v>0</v>
      </c>
      <c r="V255" s="66">
        <f t="shared" si="54"/>
        <v>0</v>
      </c>
      <c r="W255" s="66">
        <f t="shared" si="54"/>
        <v>0</v>
      </c>
      <c r="X255" s="66">
        <f t="shared" si="54"/>
        <v>0</v>
      </c>
      <c r="Y255" s="66">
        <f t="shared" si="54"/>
        <v>0</v>
      </c>
      <c r="Z255" s="66">
        <f t="shared" si="54"/>
        <v>0</v>
      </c>
      <c r="AA255" s="66">
        <f t="shared" si="54"/>
        <v>0</v>
      </c>
      <c r="AB255" s="66">
        <f t="shared" si="54"/>
        <v>0</v>
      </c>
      <c r="AC255" s="66">
        <f t="shared" si="54"/>
        <v>0</v>
      </c>
      <c r="AD255" s="66">
        <f t="shared" si="54"/>
        <v>0</v>
      </c>
      <c r="AE255" s="66">
        <f t="shared" si="54"/>
        <v>0</v>
      </c>
      <c r="AF255" s="66">
        <f t="shared" si="54"/>
        <v>0</v>
      </c>
      <c r="AG255" s="93">
        <f>SUM(F255:AF255)</f>
        <v>0</v>
      </c>
      <c r="AH255" s="30" t="str">
        <f>IF(ABS(E255-AG255)&lt;0.01,"ok","err")</f>
        <v>ok</v>
      </c>
    </row>
    <row r="256" spans="1:34" x14ac:dyDescent="0.2">
      <c r="E256" s="234"/>
    </row>
    <row r="257" spans="1:34" x14ac:dyDescent="0.2">
      <c r="A257" s="13" t="s">
        <v>4</v>
      </c>
      <c r="E257" s="234"/>
    </row>
    <row r="258" spans="1:34" x14ac:dyDescent="0.2">
      <c r="A258" s="96" t="s">
        <v>221</v>
      </c>
      <c r="C258" s="14" t="s">
        <v>306</v>
      </c>
      <c r="D258" s="14" t="s">
        <v>230</v>
      </c>
      <c r="E258" s="233">
        <f>'Func &amp; Classif'!U314</f>
        <v>0</v>
      </c>
      <c r="F258" s="66">
        <f>IF(VLOOKUP($D258,$C$5:$AU$503,3,)=0,0,(VLOOKUP($D258,$C$5:$AU$503,4,)/VLOOKUP($D258,$C$5:$AU$503,3,))*$E258)</f>
        <v>0</v>
      </c>
      <c r="G258" s="66">
        <f>IF(VLOOKUP($D258,$C$5:$AU$503,3,)=0,0,(VLOOKUP($D258,$C$5:$AU$503,5,)/VLOOKUP($D258,$C$5:$AU$503,3,))*$E258)</f>
        <v>0</v>
      </c>
      <c r="H258" s="66">
        <f>IF(VLOOKUP($D258,$C$5:$AU$503,3,)=0,0,(VLOOKUP($D258,$C$5:$AU$503,6,)/VLOOKUP($D258,$C$5:$AU$503,3,))*$E258)</f>
        <v>0</v>
      </c>
      <c r="I258" s="66">
        <f>IF(VLOOKUP($D258,$C$5:$AU$503,3,)=0,0,(VLOOKUP($D258,$C$5:$AU$503,7,)/VLOOKUP($D258,$C$5:$AU$503,3,))*$E258)</f>
        <v>0</v>
      </c>
      <c r="J258" s="66">
        <f>IF(VLOOKUP($D258,$C$5:$AU$503,3,)=0,0,(VLOOKUP($D258,$C$5:$AU$503,8,)/VLOOKUP($D258,$C$5:$AU$503,3,))*$E258)</f>
        <v>0</v>
      </c>
      <c r="K258" s="66">
        <f>IF(VLOOKUP($D258,$C$5:$AU$503,3,)=0,0,(VLOOKUP($D258,$C$5:$AU$503,9,)/VLOOKUP($D258,$C$5:$AU$503,3,))*$E258)</f>
        <v>0</v>
      </c>
      <c r="L258" s="66">
        <f>IF(VLOOKUP($D258,$C$5:$AU$503,3,)=0,0,(VLOOKUP($D258,$C$5:$AU$503,10,)/VLOOKUP($D258,$C$5:$AU$503,3,))*$E258)</f>
        <v>0</v>
      </c>
      <c r="M258" s="66">
        <f>IF(VLOOKUP($D258,$C$5:$AU$503,3,)=0,0,(VLOOKUP($D258,$C$5:$AU$503,11,)/VLOOKUP($D258,$C$5:$AU$503,3,))*$E258)</f>
        <v>0</v>
      </c>
      <c r="N258" s="66">
        <f>IF(VLOOKUP($D258,$C$5:$AU$503,3,)=0,0,(VLOOKUP($D258,$C$5:$AU$503,12,)/VLOOKUP($D258,$C$5:$AU$503,3,))*$E258)</f>
        <v>0</v>
      </c>
      <c r="O258" s="66">
        <f>IF(VLOOKUP($D258,$C$5:$AU$503,3,)=0,0,(VLOOKUP($D258,$C$5:$AU$503,13,)/VLOOKUP($D258,$C$5:$AU$503,3,))*$E258)</f>
        <v>0</v>
      </c>
      <c r="P258" s="66">
        <f>IF(VLOOKUP($D258,$C$5:$AU$503,3,)=0,0,(VLOOKUP($D258,$C$5:$AU$503,14,)/VLOOKUP($D258,$C$5:$AU$503,3,))*$E258)</f>
        <v>0</v>
      </c>
      <c r="Q258" s="66">
        <f>IF(VLOOKUP($D258,$C$5:$AU$503,3,)=0,0,(VLOOKUP($D258,$C$5:$AU$503,15,)/VLOOKUP($D258,$C$5:$AU$503,3,))*$E258)</f>
        <v>0</v>
      </c>
      <c r="R258" s="66">
        <f>IF(VLOOKUP($D258,$C$5:$AU$503,3,)=0,0,(VLOOKUP($D258,$C$5:$AU$503,16,)/VLOOKUP($D258,$C$5:$AU$503,3,))*$E258)</f>
        <v>0</v>
      </c>
      <c r="S258" s="66">
        <f>IF(VLOOKUP($D258,$C$5:$AU$503,3,)=0,0,(VLOOKUP($D258,$C$5:$AU$503,17,)/VLOOKUP($D258,$C$5:$AU$503,3,))*$E258)</f>
        <v>0</v>
      </c>
      <c r="T258" s="66">
        <f>IF(VLOOKUP($D258,$C$5:$AU$503,3,)=0,0,(VLOOKUP($D258,$C$5:$AU$503,18,)/VLOOKUP($D258,$C$5:$AU$503,3,))*$E258)</f>
        <v>0</v>
      </c>
      <c r="U258" s="66">
        <f>IF(VLOOKUP($D258,$C$5:$AU$503,3,)=0,0,(VLOOKUP($D258,$C$5:$AU$503,19,)/VLOOKUP($D258,$C$5:$AU$503,3,))*$E258)</f>
        <v>0</v>
      </c>
      <c r="V258" s="66">
        <f>IF(VLOOKUP($D258,$C$5:$AU$503,3,)=0,0,(VLOOKUP($D258,$C$5:$AU$503,20,)/VLOOKUP($D258,$C$5:$AU$503,3,))*$E258)</f>
        <v>0</v>
      </c>
      <c r="W258" s="66">
        <f>IF(VLOOKUP($D258,$C$5:$AU$503,3,)=0,0,(VLOOKUP($D258,$C$5:$AU$503,21,)/VLOOKUP($D258,$C$5:$AU$503,3,))*$E258)</f>
        <v>0</v>
      </c>
      <c r="X258" s="66">
        <f>IF(VLOOKUP($D258,$C$5:$AU$503,3,)=0,0,(VLOOKUP($D258,$C$5:$AU$503,22,)/VLOOKUP($D258,$C$5:$AU$503,3,))*$E258)</f>
        <v>0</v>
      </c>
      <c r="Y258" s="66">
        <f>IF(VLOOKUP($D258,$C$5:$AU$503,3,)=0,0,(VLOOKUP($D258,$C$5:$AU$503,23,)/VLOOKUP($D258,$C$5:$AU$503,3,))*$E258)</f>
        <v>0</v>
      </c>
      <c r="Z258" s="66">
        <f>IF(VLOOKUP($D258,$C$5:$AU$503,3,)=0,0,(VLOOKUP($D258,$C$5:$AU$503,24,)/VLOOKUP($D258,$C$5:$AU$503,3,))*$E258)</f>
        <v>0</v>
      </c>
      <c r="AA258" s="66">
        <f>IF(VLOOKUP($D258,$C$5:$AU$503,3,)=0,0,(VLOOKUP($D258,$C$5:$AU$503,25,)/VLOOKUP($D258,$C$5:$AU$503,3,))*$E258)</f>
        <v>0</v>
      </c>
      <c r="AB258" s="66">
        <f>IF(VLOOKUP($D258,$C$5:$AU$503,3,)=0,0,(VLOOKUP($D258,$C$5:$AU$503,26,)/VLOOKUP($D258,$C$5:$AU$503,3,))*$E258)</f>
        <v>0</v>
      </c>
      <c r="AC258" s="66">
        <f>IF(VLOOKUP($D258,$C$5:$AU$503,3,)=0,0,(VLOOKUP($D258,$C$5:$AU$503,27,)/VLOOKUP($D258,$C$5:$AU$503,3,))*$E258)</f>
        <v>0</v>
      </c>
      <c r="AD258" s="66">
        <f>IF(VLOOKUP($D258,$C$5:$AU$503,3,)=0,0,(VLOOKUP($D258,$C$5:$AU$503,28,)/VLOOKUP($D258,$C$5:$AU$503,3,))*$E258)</f>
        <v>0</v>
      </c>
      <c r="AE258" s="66">
        <f>IF(VLOOKUP($D258,$C$5:$AU$503,3,)=0,0,(VLOOKUP($D258,$C$5:$AU$503,29,)/VLOOKUP($D258,$C$5:$AU$503,3,))*$E258)</f>
        <v>0</v>
      </c>
      <c r="AF258" s="66">
        <f>IF(VLOOKUP($D258,$C$5:$AU$503,3,)=0,0,(VLOOKUP($D258,$C$5:$AU$503,30,)/VLOOKUP($D258,$C$5:$AU$503,3,))*$E258)</f>
        <v>0</v>
      </c>
      <c r="AG258" s="93">
        <f>SUM(F258:AF258)</f>
        <v>0</v>
      </c>
      <c r="AH258" s="30" t="str">
        <f>IF(ABS(E258-AG258)&lt;0.01,"ok","err")</f>
        <v>ok</v>
      </c>
    </row>
    <row r="259" spans="1:34" x14ac:dyDescent="0.2">
      <c r="E259" s="234"/>
    </row>
    <row r="260" spans="1:34" x14ac:dyDescent="0.2">
      <c r="A260" s="13" t="s">
        <v>5</v>
      </c>
      <c r="E260" s="234"/>
    </row>
    <row r="261" spans="1:34" x14ac:dyDescent="0.2">
      <c r="A261" s="96" t="s">
        <v>221</v>
      </c>
      <c r="C261" s="14" t="s">
        <v>307</v>
      </c>
      <c r="D261" s="14" t="s">
        <v>232</v>
      </c>
      <c r="E261" s="233">
        <f>'Func &amp; Classif'!W314</f>
        <v>0</v>
      </c>
      <c r="F261" s="66">
        <f>IF(VLOOKUP($D261,$C$5:$AU$503,3,)=0,0,(VLOOKUP($D261,$C$5:$AU$503,4,)/VLOOKUP($D261,$C$5:$AU$503,3,))*$E261)</f>
        <v>0</v>
      </c>
      <c r="G261" s="66">
        <f>IF(VLOOKUP($D261,$C$5:$AU$503,3,)=0,0,(VLOOKUP($D261,$C$5:$AU$503,5,)/VLOOKUP($D261,$C$5:$AU$503,3,))*$E261)</f>
        <v>0</v>
      </c>
      <c r="H261" s="66">
        <f>IF(VLOOKUP($D261,$C$5:$AU$503,3,)=0,0,(VLOOKUP($D261,$C$5:$AU$503,6,)/VLOOKUP($D261,$C$5:$AU$503,3,))*$E261)</f>
        <v>0</v>
      </c>
      <c r="I261" s="66">
        <f>IF(VLOOKUP($D261,$C$5:$AU$503,3,)=0,0,(VLOOKUP($D261,$C$5:$AU$503,7,)/VLOOKUP($D261,$C$5:$AU$503,3,))*$E261)</f>
        <v>0</v>
      </c>
      <c r="J261" s="66">
        <f>IF(VLOOKUP($D261,$C$5:$AU$503,3,)=0,0,(VLOOKUP($D261,$C$5:$AU$503,8,)/VLOOKUP($D261,$C$5:$AU$503,3,))*$E261)</f>
        <v>0</v>
      </c>
      <c r="K261" s="66">
        <f>IF(VLOOKUP($D261,$C$5:$AU$503,3,)=0,0,(VLOOKUP($D261,$C$5:$AU$503,9,)/VLOOKUP($D261,$C$5:$AU$503,3,))*$E261)</f>
        <v>0</v>
      </c>
      <c r="L261" s="66">
        <f>IF(VLOOKUP($D261,$C$5:$AU$503,3,)=0,0,(VLOOKUP($D261,$C$5:$AU$503,10,)/VLOOKUP($D261,$C$5:$AU$503,3,))*$E261)</f>
        <v>0</v>
      </c>
      <c r="M261" s="66">
        <f>IF(VLOOKUP($D261,$C$5:$AU$503,3,)=0,0,(VLOOKUP($D261,$C$5:$AU$503,11,)/VLOOKUP($D261,$C$5:$AU$503,3,))*$E261)</f>
        <v>0</v>
      </c>
      <c r="N261" s="66">
        <f>IF(VLOOKUP($D261,$C$5:$AU$503,3,)=0,0,(VLOOKUP($D261,$C$5:$AU$503,12,)/VLOOKUP($D261,$C$5:$AU$503,3,))*$E261)</f>
        <v>0</v>
      </c>
      <c r="O261" s="66">
        <f>IF(VLOOKUP($D261,$C$5:$AU$503,3,)=0,0,(VLOOKUP($D261,$C$5:$AU$503,13,)/VLOOKUP($D261,$C$5:$AU$503,3,))*$E261)</f>
        <v>0</v>
      </c>
      <c r="P261" s="66">
        <f>IF(VLOOKUP($D261,$C$5:$AU$503,3,)=0,0,(VLOOKUP($D261,$C$5:$AU$503,14,)/VLOOKUP($D261,$C$5:$AU$503,3,))*$E261)</f>
        <v>0</v>
      </c>
      <c r="Q261" s="66">
        <f>IF(VLOOKUP($D261,$C$5:$AU$503,3,)=0,0,(VLOOKUP($D261,$C$5:$AU$503,15,)/VLOOKUP($D261,$C$5:$AU$503,3,))*$E261)</f>
        <v>0</v>
      </c>
      <c r="R261" s="66">
        <f>IF(VLOOKUP($D261,$C$5:$AU$503,3,)=0,0,(VLOOKUP($D261,$C$5:$AU$503,16,)/VLOOKUP($D261,$C$5:$AU$503,3,))*$E261)</f>
        <v>0</v>
      </c>
      <c r="S261" s="66">
        <f>IF(VLOOKUP($D261,$C$5:$AU$503,3,)=0,0,(VLOOKUP($D261,$C$5:$AU$503,17,)/VLOOKUP($D261,$C$5:$AU$503,3,))*$E261)</f>
        <v>0</v>
      </c>
      <c r="T261" s="66">
        <f>IF(VLOOKUP($D261,$C$5:$AU$503,3,)=0,0,(VLOOKUP($D261,$C$5:$AU$503,18,)/VLOOKUP($D261,$C$5:$AU$503,3,))*$E261)</f>
        <v>0</v>
      </c>
      <c r="U261" s="66">
        <f>IF(VLOOKUP($D261,$C$5:$AU$503,3,)=0,0,(VLOOKUP($D261,$C$5:$AU$503,19,)/VLOOKUP($D261,$C$5:$AU$503,3,))*$E261)</f>
        <v>0</v>
      </c>
      <c r="V261" s="66">
        <f>IF(VLOOKUP($D261,$C$5:$AU$503,3,)=0,0,(VLOOKUP($D261,$C$5:$AU$503,20,)/VLOOKUP($D261,$C$5:$AU$503,3,))*$E261)</f>
        <v>0</v>
      </c>
      <c r="W261" s="66">
        <f>IF(VLOOKUP($D261,$C$5:$AU$503,3,)=0,0,(VLOOKUP($D261,$C$5:$AU$503,21,)/VLOOKUP($D261,$C$5:$AU$503,3,))*$E261)</f>
        <v>0</v>
      </c>
      <c r="X261" s="66">
        <f>IF(VLOOKUP($D261,$C$5:$AU$503,3,)=0,0,(VLOOKUP($D261,$C$5:$AU$503,22,)/VLOOKUP($D261,$C$5:$AU$503,3,))*$E261)</f>
        <v>0</v>
      </c>
      <c r="Y261" s="66">
        <f>IF(VLOOKUP($D261,$C$5:$AU$503,3,)=0,0,(VLOOKUP($D261,$C$5:$AU$503,23,)/VLOOKUP($D261,$C$5:$AU$503,3,))*$E261)</f>
        <v>0</v>
      </c>
      <c r="Z261" s="66">
        <f>IF(VLOOKUP($D261,$C$5:$AU$503,3,)=0,0,(VLOOKUP($D261,$C$5:$AU$503,24,)/VLOOKUP($D261,$C$5:$AU$503,3,))*$E261)</f>
        <v>0</v>
      </c>
      <c r="AA261" s="66">
        <f>IF(VLOOKUP($D261,$C$5:$AU$503,3,)=0,0,(VLOOKUP($D261,$C$5:$AU$503,25,)/VLOOKUP($D261,$C$5:$AU$503,3,))*$E261)</f>
        <v>0</v>
      </c>
      <c r="AB261" s="66">
        <f>IF(VLOOKUP($D261,$C$5:$AU$503,3,)=0,0,(VLOOKUP($D261,$C$5:$AU$503,26,)/VLOOKUP($D261,$C$5:$AU$503,3,))*$E261)</f>
        <v>0</v>
      </c>
      <c r="AC261" s="66">
        <f>IF(VLOOKUP($D261,$C$5:$AU$503,3,)=0,0,(VLOOKUP($D261,$C$5:$AU$503,27,)/VLOOKUP($D261,$C$5:$AU$503,3,))*$E261)</f>
        <v>0</v>
      </c>
      <c r="AD261" s="66">
        <f>IF(VLOOKUP($D261,$C$5:$AU$503,3,)=0,0,(VLOOKUP($D261,$C$5:$AU$503,28,)/VLOOKUP($D261,$C$5:$AU$503,3,))*$E261)</f>
        <v>0</v>
      </c>
      <c r="AE261" s="66">
        <f>IF(VLOOKUP($D261,$C$5:$AU$503,3,)=0,0,(VLOOKUP($D261,$C$5:$AU$503,29,)/VLOOKUP($D261,$C$5:$AU$503,3,))*$E261)</f>
        <v>0</v>
      </c>
      <c r="AF261" s="66">
        <f>IF(VLOOKUP($D261,$C$5:$AU$503,3,)=0,0,(VLOOKUP($D261,$C$5:$AU$503,30,)/VLOOKUP($D261,$C$5:$AU$503,3,))*$E261)</f>
        <v>0</v>
      </c>
      <c r="AG261" s="93">
        <f>SUM(F261:AF261)</f>
        <v>0</v>
      </c>
      <c r="AH261" s="30" t="str">
        <f>IF(ABS(E261-AG261)&lt;0.01,"ok","err")</f>
        <v>ok</v>
      </c>
    </row>
    <row r="262" spans="1:34" x14ac:dyDescent="0.2">
      <c r="E262" s="234"/>
    </row>
    <row r="263" spans="1:34" x14ac:dyDescent="0.2">
      <c r="A263" s="13" t="s">
        <v>545</v>
      </c>
      <c r="E263" s="234"/>
    </row>
    <row r="264" spans="1:34" x14ac:dyDescent="0.2">
      <c r="A264" s="96" t="s">
        <v>221</v>
      </c>
      <c r="C264" s="14" t="s">
        <v>308</v>
      </c>
      <c r="D264" s="14" t="s">
        <v>234</v>
      </c>
      <c r="E264" s="233">
        <f>'Func &amp; Classif'!Y314</f>
        <v>0</v>
      </c>
      <c r="F264" s="66">
        <f>IF(VLOOKUP($D264,$C$5:$AU$503,3,)=0,0,(VLOOKUP($D264,$C$5:$AU$503,4,)/VLOOKUP($D264,$C$5:$AU$503,3,))*$E264)</f>
        <v>0</v>
      </c>
      <c r="G264" s="66">
        <f>IF(VLOOKUP($D264,$C$5:$AU$503,3,)=0,0,(VLOOKUP($D264,$C$5:$AU$503,5,)/VLOOKUP($D264,$C$5:$AU$503,3,))*$E264)</f>
        <v>0</v>
      </c>
      <c r="H264" s="66">
        <f>IF(VLOOKUP($D264,$C$5:$AU$503,3,)=0,0,(VLOOKUP($D264,$C$5:$AU$503,6,)/VLOOKUP($D264,$C$5:$AU$503,3,))*$E264)</f>
        <v>0</v>
      </c>
      <c r="I264" s="66">
        <f>IF(VLOOKUP($D264,$C$5:$AU$503,3,)=0,0,(VLOOKUP($D264,$C$5:$AU$503,7,)/VLOOKUP($D264,$C$5:$AU$503,3,))*$E264)</f>
        <v>0</v>
      </c>
      <c r="J264" s="66">
        <f>IF(VLOOKUP($D264,$C$5:$AU$503,3,)=0,0,(VLOOKUP($D264,$C$5:$AU$503,8,)/VLOOKUP($D264,$C$5:$AU$503,3,))*$E264)</f>
        <v>0</v>
      </c>
      <c r="K264" s="66">
        <f>IF(VLOOKUP($D264,$C$5:$AU$503,3,)=0,0,(VLOOKUP($D264,$C$5:$AU$503,9,)/VLOOKUP($D264,$C$5:$AU$503,3,))*$E264)</f>
        <v>0</v>
      </c>
      <c r="L264" s="66">
        <f>IF(VLOOKUP($D264,$C$5:$AU$503,3,)=0,0,(VLOOKUP($D264,$C$5:$AU$503,10,)/VLOOKUP($D264,$C$5:$AU$503,3,))*$E264)</f>
        <v>0</v>
      </c>
      <c r="M264" s="66">
        <f>IF(VLOOKUP($D264,$C$5:$AU$503,3,)=0,0,(VLOOKUP($D264,$C$5:$AU$503,11,)/VLOOKUP($D264,$C$5:$AU$503,3,))*$E264)</f>
        <v>0</v>
      </c>
      <c r="N264" s="66">
        <f>IF(VLOOKUP($D264,$C$5:$AU$503,3,)=0,0,(VLOOKUP($D264,$C$5:$AU$503,12,)/VLOOKUP($D264,$C$5:$AU$503,3,))*$E264)</f>
        <v>0</v>
      </c>
      <c r="O264" s="66">
        <f>IF(VLOOKUP($D264,$C$5:$AU$503,3,)=0,0,(VLOOKUP($D264,$C$5:$AU$503,13,)/VLOOKUP($D264,$C$5:$AU$503,3,))*$E264)</f>
        <v>0</v>
      </c>
      <c r="P264" s="66">
        <f>IF(VLOOKUP($D264,$C$5:$AU$503,3,)=0,0,(VLOOKUP($D264,$C$5:$AU$503,14,)/VLOOKUP($D264,$C$5:$AU$503,3,))*$E264)</f>
        <v>0</v>
      </c>
      <c r="Q264" s="66">
        <f>IF(VLOOKUP($D264,$C$5:$AU$503,3,)=0,0,(VLOOKUP($D264,$C$5:$AU$503,15,)/VLOOKUP($D264,$C$5:$AU$503,3,))*$E264)</f>
        <v>0</v>
      </c>
      <c r="R264" s="66">
        <f>IF(VLOOKUP($D264,$C$5:$AU$503,3,)=0,0,(VLOOKUP($D264,$C$5:$AU$503,16,)/VLOOKUP($D264,$C$5:$AU$503,3,))*$E264)</f>
        <v>0</v>
      </c>
      <c r="S264" s="66">
        <f>IF(VLOOKUP($D264,$C$5:$AU$503,3,)=0,0,(VLOOKUP($D264,$C$5:$AU$503,17,)/VLOOKUP($D264,$C$5:$AU$503,3,))*$E264)</f>
        <v>0</v>
      </c>
      <c r="T264" s="66">
        <f>IF(VLOOKUP($D264,$C$5:$AU$503,3,)=0,0,(VLOOKUP($D264,$C$5:$AU$503,18,)/VLOOKUP($D264,$C$5:$AU$503,3,))*$E264)</f>
        <v>0</v>
      </c>
      <c r="U264" s="66">
        <f>IF(VLOOKUP($D264,$C$5:$AU$503,3,)=0,0,(VLOOKUP($D264,$C$5:$AU$503,19,)/VLOOKUP($D264,$C$5:$AU$503,3,))*$E264)</f>
        <v>0</v>
      </c>
      <c r="V264" s="66">
        <f>IF(VLOOKUP($D264,$C$5:$AU$503,3,)=0,0,(VLOOKUP($D264,$C$5:$AU$503,20,)/VLOOKUP($D264,$C$5:$AU$503,3,))*$E264)</f>
        <v>0</v>
      </c>
      <c r="W264" s="66">
        <f>IF(VLOOKUP($D264,$C$5:$AU$503,3,)=0,0,(VLOOKUP($D264,$C$5:$AU$503,21,)/VLOOKUP($D264,$C$5:$AU$503,3,))*$E264)</f>
        <v>0</v>
      </c>
      <c r="X264" s="66">
        <f>IF(VLOOKUP($D264,$C$5:$AU$503,3,)=0,0,(VLOOKUP($D264,$C$5:$AU$503,22,)/VLOOKUP($D264,$C$5:$AU$503,3,))*$E264)</f>
        <v>0</v>
      </c>
      <c r="Y264" s="66">
        <f>IF(VLOOKUP($D264,$C$5:$AU$503,3,)=0,0,(VLOOKUP($D264,$C$5:$AU$503,23,)/VLOOKUP($D264,$C$5:$AU$503,3,))*$E264)</f>
        <v>0</v>
      </c>
      <c r="Z264" s="66">
        <f>IF(VLOOKUP($D264,$C$5:$AU$503,3,)=0,0,(VLOOKUP($D264,$C$5:$AU$503,24,)/VLOOKUP($D264,$C$5:$AU$503,3,))*$E264)</f>
        <v>0</v>
      </c>
      <c r="AA264" s="66">
        <f>IF(VLOOKUP($D264,$C$5:$AU$503,3,)=0,0,(VLOOKUP($D264,$C$5:$AU$503,25,)/VLOOKUP($D264,$C$5:$AU$503,3,))*$E264)</f>
        <v>0</v>
      </c>
      <c r="AB264" s="66">
        <f>IF(VLOOKUP($D264,$C$5:$AU$503,3,)=0,0,(VLOOKUP($D264,$C$5:$AU$503,26,)/VLOOKUP($D264,$C$5:$AU$503,3,))*$E264)</f>
        <v>0</v>
      </c>
      <c r="AC264" s="66">
        <f>IF(VLOOKUP($D264,$C$5:$AU$503,3,)=0,0,(VLOOKUP($D264,$C$5:$AU$503,27,)/VLOOKUP($D264,$C$5:$AU$503,3,))*$E264)</f>
        <v>0</v>
      </c>
      <c r="AD264" s="66">
        <f>IF(VLOOKUP($D264,$C$5:$AU$503,3,)=0,0,(VLOOKUP($D264,$C$5:$AU$503,28,)/VLOOKUP($D264,$C$5:$AU$503,3,))*$E264)</f>
        <v>0</v>
      </c>
      <c r="AE264" s="66">
        <f>IF(VLOOKUP($D264,$C$5:$AU$503,3,)=0,0,(VLOOKUP($D264,$C$5:$AU$503,29,)/VLOOKUP($D264,$C$5:$AU$503,3,))*$E264)</f>
        <v>0</v>
      </c>
      <c r="AF264" s="66">
        <f>IF(VLOOKUP($D264,$C$5:$AU$503,3,)=0,0,(VLOOKUP($D264,$C$5:$AU$503,30,)/VLOOKUP($D264,$C$5:$AU$503,3,))*$E264)</f>
        <v>0</v>
      </c>
      <c r="AG264" s="93">
        <f>SUM(F264:AF264)</f>
        <v>0</v>
      </c>
      <c r="AH264" s="30" t="str">
        <f>IF(ABS(E264-AG264)&lt;0.01,"ok","err")</f>
        <v>ok</v>
      </c>
    </row>
    <row r="265" spans="1:34" x14ac:dyDescent="0.2">
      <c r="E265" s="234"/>
    </row>
    <row r="266" spans="1:34" x14ac:dyDescent="0.2">
      <c r="A266" s="13" t="s">
        <v>470</v>
      </c>
      <c r="E266" s="234"/>
    </row>
    <row r="267" spans="1:34" x14ac:dyDescent="0.2">
      <c r="A267" s="96" t="s">
        <v>221</v>
      </c>
      <c r="C267" s="14" t="s">
        <v>305</v>
      </c>
      <c r="D267" s="14" t="s">
        <v>235</v>
      </c>
      <c r="E267" s="233">
        <f>'Func &amp; Classif'!AA314</f>
        <v>0</v>
      </c>
      <c r="F267" s="66">
        <f>IF(VLOOKUP($D267,$C$5:$AU$503,3,)=0,0,(VLOOKUP($D267,$C$5:$AU$503,4,)/VLOOKUP($D267,$C$5:$AU$503,3,))*$E267)</f>
        <v>0</v>
      </c>
      <c r="G267" s="66">
        <f>IF(VLOOKUP($D267,$C$5:$AU$503,3,)=0,0,(VLOOKUP($D267,$C$5:$AU$503,5,)/VLOOKUP($D267,$C$5:$AU$503,3,))*$E267)</f>
        <v>0</v>
      </c>
      <c r="H267" s="66">
        <f>IF(VLOOKUP($D267,$C$5:$AU$503,3,)=0,0,(VLOOKUP($D267,$C$5:$AU$503,6,)/VLOOKUP($D267,$C$5:$AU$503,3,))*$E267)</f>
        <v>0</v>
      </c>
      <c r="I267" s="66">
        <f>IF(VLOOKUP($D267,$C$5:$AU$503,3,)=0,0,(VLOOKUP($D267,$C$5:$AU$503,7,)/VLOOKUP($D267,$C$5:$AU$503,3,))*$E267)</f>
        <v>0</v>
      </c>
      <c r="J267" s="66">
        <f>IF(VLOOKUP($D267,$C$5:$AU$503,3,)=0,0,(VLOOKUP($D267,$C$5:$AU$503,8,)/VLOOKUP($D267,$C$5:$AU$503,3,))*$E267)</f>
        <v>0</v>
      </c>
      <c r="K267" s="66">
        <f>IF(VLOOKUP($D267,$C$5:$AU$503,3,)=0,0,(VLOOKUP($D267,$C$5:$AU$503,9,)/VLOOKUP($D267,$C$5:$AU$503,3,))*$E267)</f>
        <v>0</v>
      </c>
      <c r="L267" s="66">
        <f>IF(VLOOKUP($D267,$C$5:$AU$503,3,)=0,0,(VLOOKUP($D267,$C$5:$AU$503,10,)/VLOOKUP($D267,$C$5:$AU$503,3,))*$E267)</f>
        <v>0</v>
      </c>
      <c r="M267" s="66">
        <f>IF(VLOOKUP($D267,$C$5:$AU$503,3,)=0,0,(VLOOKUP($D267,$C$5:$AU$503,11,)/VLOOKUP($D267,$C$5:$AU$503,3,))*$E267)</f>
        <v>0</v>
      </c>
      <c r="N267" s="66">
        <f>IF(VLOOKUP($D267,$C$5:$AU$503,3,)=0,0,(VLOOKUP($D267,$C$5:$AU$503,12,)/VLOOKUP($D267,$C$5:$AU$503,3,))*$E267)</f>
        <v>0</v>
      </c>
      <c r="O267" s="66">
        <f>IF(VLOOKUP($D267,$C$5:$AU$503,3,)=0,0,(VLOOKUP($D267,$C$5:$AU$503,13,)/VLOOKUP($D267,$C$5:$AU$503,3,))*$E267)</f>
        <v>0</v>
      </c>
      <c r="P267" s="66">
        <f>IF(VLOOKUP($D267,$C$5:$AU$503,3,)=0,0,(VLOOKUP($D267,$C$5:$AU$503,14,)/VLOOKUP($D267,$C$5:$AU$503,3,))*$E267)</f>
        <v>0</v>
      </c>
      <c r="Q267" s="66">
        <f>IF(VLOOKUP($D267,$C$5:$AU$503,3,)=0,0,(VLOOKUP($D267,$C$5:$AU$503,15,)/VLOOKUP($D267,$C$5:$AU$503,3,))*$E267)</f>
        <v>0</v>
      </c>
      <c r="R267" s="66">
        <f>IF(VLOOKUP($D267,$C$5:$AU$503,3,)=0,0,(VLOOKUP($D267,$C$5:$AU$503,16,)/VLOOKUP($D267,$C$5:$AU$503,3,))*$E267)</f>
        <v>0</v>
      </c>
      <c r="S267" s="66">
        <f>IF(VLOOKUP($D267,$C$5:$AU$503,3,)=0,0,(VLOOKUP($D267,$C$5:$AU$503,17,)/VLOOKUP($D267,$C$5:$AU$503,3,))*$E267)</f>
        <v>0</v>
      </c>
      <c r="T267" s="66">
        <f>IF(VLOOKUP($D267,$C$5:$AU$503,3,)=0,0,(VLOOKUP($D267,$C$5:$AU$503,18,)/VLOOKUP($D267,$C$5:$AU$503,3,))*$E267)</f>
        <v>0</v>
      </c>
      <c r="U267" s="66">
        <f>IF(VLOOKUP($D267,$C$5:$AU$503,3,)=0,0,(VLOOKUP($D267,$C$5:$AU$503,19,)/VLOOKUP($D267,$C$5:$AU$503,3,))*$E267)</f>
        <v>0</v>
      </c>
      <c r="V267" s="66">
        <f>IF(VLOOKUP($D267,$C$5:$AU$503,3,)=0,0,(VLOOKUP($D267,$C$5:$AU$503,20,)/VLOOKUP($D267,$C$5:$AU$503,3,))*$E267)</f>
        <v>0</v>
      </c>
      <c r="W267" s="66">
        <f>IF(VLOOKUP($D267,$C$5:$AU$503,3,)=0,0,(VLOOKUP($D267,$C$5:$AU$503,21,)/VLOOKUP($D267,$C$5:$AU$503,3,))*$E267)</f>
        <v>0</v>
      </c>
      <c r="X267" s="66">
        <f>IF(VLOOKUP($D267,$C$5:$AU$503,3,)=0,0,(VLOOKUP($D267,$C$5:$AU$503,22,)/VLOOKUP($D267,$C$5:$AU$503,3,))*$E267)</f>
        <v>0</v>
      </c>
      <c r="Y267" s="66">
        <f>IF(VLOOKUP($D267,$C$5:$AU$503,3,)=0,0,(VLOOKUP($D267,$C$5:$AU$503,23,)/VLOOKUP($D267,$C$5:$AU$503,3,))*$E267)</f>
        <v>0</v>
      </c>
      <c r="Z267" s="66">
        <f>IF(VLOOKUP($D267,$C$5:$AU$503,3,)=0,0,(VLOOKUP($D267,$C$5:$AU$503,24,)/VLOOKUP($D267,$C$5:$AU$503,3,))*$E267)</f>
        <v>0</v>
      </c>
      <c r="AA267" s="66">
        <f>IF(VLOOKUP($D267,$C$5:$AU$503,3,)=0,0,(VLOOKUP($D267,$C$5:$AU$503,25,)/VLOOKUP($D267,$C$5:$AU$503,3,))*$E267)</f>
        <v>0</v>
      </c>
      <c r="AB267" s="66">
        <f>IF(VLOOKUP($D267,$C$5:$AU$503,3,)=0,0,(VLOOKUP($D267,$C$5:$AU$503,26,)/VLOOKUP($D267,$C$5:$AU$503,3,))*$E267)</f>
        <v>0</v>
      </c>
      <c r="AC267" s="66">
        <f>IF(VLOOKUP($D267,$C$5:$AU$503,3,)=0,0,(VLOOKUP($D267,$C$5:$AU$503,27,)/VLOOKUP($D267,$C$5:$AU$503,3,))*$E267)</f>
        <v>0</v>
      </c>
      <c r="AD267" s="66">
        <f>IF(VLOOKUP($D267,$C$5:$AU$503,3,)=0,0,(VLOOKUP($D267,$C$5:$AU$503,28,)/VLOOKUP($D267,$C$5:$AU$503,3,))*$E267)</f>
        <v>0</v>
      </c>
      <c r="AE267" s="66">
        <f>IF(VLOOKUP($D267,$C$5:$AU$503,3,)=0,0,(VLOOKUP($D267,$C$5:$AU$503,29,)/VLOOKUP($D267,$C$5:$AU$503,3,))*$E267)</f>
        <v>0</v>
      </c>
      <c r="AF267" s="66">
        <f>IF(VLOOKUP($D267,$C$5:$AU$503,3,)=0,0,(VLOOKUP($D267,$C$5:$AU$503,30,)/VLOOKUP($D267,$C$5:$AU$503,3,))*$E267)</f>
        <v>0</v>
      </c>
      <c r="AG267" s="93">
        <f>SUM(F267:AF267)</f>
        <v>0</v>
      </c>
      <c r="AH267" s="30" t="str">
        <f>IF(ABS(E267-AG267)&lt;0.01,"ok","err")</f>
        <v>ok</v>
      </c>
    </row>
    <row r="268" spans="1:34" x14ac:dyDescent="0.2">
      <c r="E268" s="234"/>
    </row>
    <row r="269" spans="1:34" x14ac:dyDescent="0.2">
      <c r="A269" s="14" t="s">
        <v>0</v>
      </c>
      <c r="C269" s="14" t="s">
        <v>309</v>
      </c>
      <c r="E269" s="233">
        <f>E239+E242+E245+E250+E255+E258+E261+E264+E267</f>
        <v>0</v>
      </c>
      <c r="F269" s="66">
        <f t="shared" ref="F269:R269" si="55">F239+F242+F245+F250+F255+F258+F261+F264+F267</f>
        <v>0</v>
      </c>
      <c r="G269" s="66">
        <f t="shared" si="55"/>
        <v>0</v>
      </c>
      <c r="H269" s="66">
        <f t="shared" si="55"/>
        <v>0</v>
      </c>
      <c r="I269" s="66">
        <f t="shared" si="55"/>
        <v>0</v>
      </c>
      <c r="J269" s="66">
        <f t="shared" si="55"/>
        <v>0</v>
      </c>
      <c r="K269" s="66">
        <f t="shared" si="55"/>
        <v>0</v>
      </c>
      <c r="L269" s="66">
        <f t="shared" si="55"/>
        <v>0</v>
      </c>
      <c r="M269" s="66">
        <f t="shared" si="55"/>
        <v>0</v>
      </c>
      <c r="N269" s="66">
        <f t="shared" si="55"/>
        <v>0</v>
      </c>
      <c r="O269" s="66">
        <f t="shared" si="55"/>
        <v>0</v>
      </c>
      <c r="P269" s="66">
        <f t="shared" si="55"/>
        <v>0</v>
      </c>
      <c r="Q269" s="66">
        <f t="shared" si="55"/>
        <v>0</v>
      </c>
      <c r="R269" s="66">
        <f t="shared" si="55"/>
        <v>0</v>
      </c>
      <c r="S269" s="66">
        <f t="shared" ref="S269:AF269" si="56">S239+S245+S250+S255+S258+S261+S264+S267</f>
        <v>0</v>
      </c>
      <c r="T269" s="66">
        <f t="shared" si="56"/>
        <v>0</v>
      </c>
      <c r="U269" s="66">
        <f t="shared" si="56"/>
        <v>0</v>
      </c>
      <c r="V269" s="66">
        <f t="shared" si="56"/>
        <v>0</v>
      </c>
      <c r="W269" s="66">
        <f t="shared" si="56"/>
        <v>0</v>
      </c>
      <c r="X269" s="66">
        <f t="shared" si="56"/>
        <v>0</v>
      </c>
      <c r="Y269" s="66">
        <f t="shared" si="56"/>
        <v>0</v>
      </c>
      <c r="Z269" s="66">
        <f t="shared" si="56"/>
        <v>0</v>
      </c>
      <c r="AA269" s="66">
        <f t="shared" si="56"/>
        <v>0</v>
      </c>
      <c r="AB269" s="66">
        <f t="shared" si="56"/>
        <v>0</v>
      </c>
      <c r="AC269" s="66">
        <f t="shared" si="56"/>
        <v>0</v>
      </c>
      <c r="AD269" s="66">
        <f t="shared" si="56"/>
        <v>0</v>
      </c>
      <c r="AE269" s="66">
        <f t="shared" si="56"/>
        <v>0</v>
      </c>
      <c r="AF269" s="66">
        <f t="shared" si="56"/>
        <v>0</v>
      </c>
      <c r="AG269" s="93">
        <f>SUM(F269:AF269)</f>
        <v>0</v>
      </c>
      <c r="AH269" s="30" t="str">
        <f>IF(ABS(E269-AG269)&lt;0.01,"ok","err")</f>
        <v>ok</v>
      </c>
    </row>
    <row r="272" spans="1:34" x14ac:dyDescent="0.2">
      <c r="A272" s="28" t="s">
        <v>310</v>
      </c>
    </row>
    <row r="274" spans="1:34" x14ac:dyDescent="0.2">
      <c r="A274" s="13" t="s">
        <v>893</v>
      </c>
    </row>
    <row r="275" spans="1:34" x14ac:dyDescent="0.2">
      <c r="A275" s="96" t="s">
        <v>209</v>
      </c>
      <c r="C275" s="14" t="s">
        <v>311</v>
      </c>
      <c r="D275" s="14" t="s">
        <v>655</v>
      </c>
      <c r="E275" s="233">
        <f>'Func &amp; Classif'!H316</f>
        <v>0</v>
      </c>
      <c r="F275" s="66">
        <f>IF(VLOOKUP($D275,$C$5:$AU$503,3,)=0,0,(VLOOKUP($D275,$C$5:$AU$503,4,)/VLOOKUP($D275,$C$5:$AU$503,3,))*$E275)</f>
        <v>0</v>
      </c>
      <c r="G275" s="66">
        <f>IF(VLOOKUP($D275,$C$5:$AU$503,3,)=0,0,(VLOOKUP($D275,$C$5:$AU$503,5,)/VLOOKUP($D275,$C$5:$AU$503,3,))*$E275)</f>
        <v>0</v>
      </c>
      <c r="H275" s="66">
        <f>IF(VLOOKUP($D275,$C$5:$AU$503,3,)=0,0,(VLOOKUP($D275,$C$5:$AU$503,6,)/VLOOKUP($D275,$C$5:$AU$503,3,))*$E275)</f>
        <v>0</v>
      </c>
      <c r="I275" s="66">
        <f>IF(VLOOKUP($D275,$C$5:$AU$503,3,)=0,0,(VLOOKUP($D275,$C$5:$AU$503,7,)/VLOOKUP($D275,$C$5:$AU$503,3,))*$E275)</f>
        <v>0</v>
      </c>
      <c r="J275" s="66">
        <f>IF(VLOOKUP($D275,$C$5:$AU$503,3,)=0,0,(VLOOKUP($D275,$C$5:$AU$503,8,)/VLOOKUP($D275,$C$5:$AU$503,3,))*$E275)</f>
        <v>0</v>
      </c>
      <c r="K275" s="66">
        <f>IF(VLOOKUP($D275,$C$5:$AU$503,3,)=0,0,(VLOOKUP($D275,$C$5:$AU$503,9,)/VLOOKUP($D275,$C$5:$AU$503,3,))*$E275)</f>
        <v>0</v>
      </c>
      <c r="L275" s="66">
        <f>IF(VLOOKUP($D275,$C$5:$AU$503,3,)=0,0,(VLOOKUP($D275,$C$5:$AU$503,10,)/VLOOKUP($D275,$C$5:$AU$503,3,))*$E275)</f>
        <v>0</v>
      </c>
      <c r="M275" s="66">
        <f>IF(VLOOKUP($D275,$C$5:$AU$503,3,)=0,0,(VLOOKUP($D275,$C$5:$AU$503,11,)/VLOOKUP($D275,$C$5:$AU$503,3,))*$E275)</f>
        <v>0</v>
      </c>
      <c r="N275" s="66">
        <f>IF(VLOOKUP($D275,$C$5:$AU$503,3,)=0,0,(VLOOKUP($D275,$C$5:$AU$503,12,)/VLOOKUP($D275,$C$5:$AU$503,3,))*$E275)</f>
        <v>0</v>
      </c>
      <c r="O275" s="66">
        <f>IF(VLOOKUP($D275,$C$5:$AU$503,3,)=0,0,(VLOOKUP($D275,$C$5:$AU$503,13,)/VLOOKUP($D275,$C$5:$AU$503,3,))*$E275)</f>
        <v>0</v>
      </c>
      <c r="P275" s="66">
        <f>IF(VLOOKUP($D275,$C$5:$AU$503,3,)=0,0,(VLOOKUP($D275,$C$5:$AU$503,14,)/VLOOKUP($D275,$C$5:$AU$503,3,))*$E275)</f>
        <v>0</v>
      </c>
      <c r="Q275" s="66">
        <f>IF(VLOOKUP($D275,$C$5:$AU$503,3,)=0,0,(VLOOKUP($D275,$C$5:$AU$503,15,)/VLOOKUP($D275,$C$5:$AU$503,3,))*$E275)</f>
        <v>0</v>
      </c>
      <c r="R275" s="66">
        <f>IF(VLOOKUP($D275,$C$5:$AU$503,3,)=0,0,(VLOOKUP($D275,$C$5:$AU$503,16,)/VLOOKUP($D275,$C$5:$AU$503,3,))*$E275)</f>
        <v>0</v>
      </c>
      <c r="S275" s="66">
        <f>IF(VLOOKUP($D275,$C$5:$AU$503,3,)=0,0,(VLOOKUP($D275,$C$5:$AU$503,17,)/VLOOKUP($D275,$C$5:$AU$503,3,))*$E275)</f>
        <v>0</v>
      </c>
      <c r="T275" s="66">
        <f>IF(VLOOKUP($D275,$C$5:$AU$503,3,)=0,0,(VLOOKUP($D275,$C$5:$AU$503,18,)/VLOOKUP($D275,$C$5:$AU$503,3,))*$E275)</f>
        <v>0</v>
      </c>
      <c r="U275" s="66">
        <f>IF(VLOOKUP($D275,$C$5:$AU$503,3,)=0,0,(VLOOKUP($D275,$C$5:$AU$503,19,)/VLOOKUP($D275,$C$5:$AU$503,3,))*$E275)</f>
        <v>0</v>
      </c>
      <c r="V275" s="66">
        <f>IF(VLOOKUP($D275,$C$5:$AU$503,3,)=0,0,(VLOOKUP($D275,$C$5:$AU$503,20,)/VLOOKUP($D275,$C$5:$AU$503,3,))*$E275)</f>
        <v>0</v>
      </c>
      <c r="W275" s="66">
        <f>IF(VLOOKUP($D275,$C$5:$AU$503,3,)=0,0,(VLOOKUP($D275,$C$5:$AU$503,21,)/VLOOKUP($D275,$C$5:$AU$503,3,))*$E275)</f>
        <v>0</v>
      </c>
      <c r="X275" s="66">
        <f>IF(VLOOKUP($D275,$C$5:$AU$503,3,)=0,0,(VLOOKUP($D275,$C$5:$AU$503,22,)/VLOOKUP($D275,$C$5:$AU$503,3,))*$E275)</f>
        <v>0</v>
      </c>
      <c r="Y275" s="66">
        <f>IF(VLOOKUP($D275,$C$5:$AU$503,3,)=0,0,(VLOOKUP($D275,$C$5:$AU$503,23,)/VLOOKUP($D275,$C$5:$AU$503,3,))*$E275)</f>
        <v>0</v>
      </c>
      <c r="Z275" s="66">
        <f>IF(VLOOKUP($D275,$C$5:$AU$503,3,)=0,0,(VLOOKUP($D275,$C$5:$AU$503,24,)/VLOOKUP($D275,$C$5:$AU$503,3,))*$E275)</f>
        <v>0</v>
      </c>
      <c r="AA275" s="66">
        <f>IF(VLOOKUP($D275,$C$5:$AU$503,3,)=0,0,(VLOOKUP($D275,$C$5:$AU$503,25,)/VLOOKUP($D275,$C$5:$AU$503,3,))*$E275)</f>
        <v>0</v>
      </c>
      <c r="AB275" s="66">
        <f>IF(VLOOKUP($D275,$C$5:$AU$503,3,)=0,0,(VLOOKUP($D275,$C$5:$AU$503,26,)/VLOOKUP($D275,$C$5:$AU$503,3,))*$E275)</f>
        <v>0</v>
      </c>
      <c r="AC275" s="66">
        <f>IF(VLOOKUP($D275,$C$5:$AU$503,3,)=0,0,(VLOOKUP($D275,$C$5:$AU$503,27,)/VLOOKUP($D275,$C$5:$AU$503,3,))*$E275)</f>
        <v>0</v>
      </c>
      <c r="AD275" s="66">
        <f>IF(VLOOKUP($D275,$C$5:$AU$503,3,)=0,0,(VLOOKUP($D275,$C$5:$AU$503,28,)/VLOOKUP($D275,$C$5:$AU$503,3,))*$E275)</f>
        <v>0</v>
      </c>
      <c r="AE275" s="66">
        <f>IF(VLOOKUP($D275,$C$5:$AU$503,3,)=0,0,(VLOOKUP($D275,$C$5:$AU$503,29,)/VLOOKUP($D275,$C$5:$AU$503,3,))*$E275)</f>
        <v>0</v>
      </c>
      <c r="AF275" s="66">
        <f>IF(VLOOKUP($D275,$C$5:$AU$503,3,)=0,0,(VLOOKUP($D275,$C$5:$AU$503,30,)/VLOOKUP($D275,$C$5:$AU$503,3,))*$E275)</f>
        <v>0</v>
      </c>
      <c r="AG275" s="93">
        <f>SUM(F275:AF275)</f>
        <v>0</v>
      </c>
      <c r="AH275" s="30" t="str">
        <f>IF(ABS(E275-AG275)&lt;0.01,"ok","err")</f>
        <v>ok</v>
      </c>
    </row>
    <row r="276" spans="1:34" x14ac:dyDescent="0.2">
      <c r="A276" s="96" t="s">
        <v>212</v>
      </c>
      <c r="C276" s="14" t="s">
        <v>312</v>
      </c>
      <c r="D276" s="14" t="s">
        <v>664</v>
      </c>
      <c r="E276" s="234">
        <f>'Func &amp; Classif'!I316</f>
        <v>0</v>
      </c>
      <c r="F276" s="66">
        <f>IF(VLOOKUP($D276,$C$5:$AU$503,3,)=0,0,(VLOOKUP($D276,$C$5:$AU$503,4,)/VLOOKUP($D276,$C$5:$AU$503,3,))*$E276)</f>
        <v>0</v>
      </c>
      <c r="G276" s="66">
        <f>IF(VLOOKUP($D276,$C$5:$AU$503,3,)=0,0,(VLOOKUP($D276,$C$5:$AU$503,5,)/VLOOKUP($D276,$C$5:$AU$503,3,))*$E276)</f>
        <v>0</v>
      </c>
      <c r="H276" s="66">
        <f>IF(VLOOKUP($D276,$C$5:$AU$503,3,)=0,0,(VLOOKUP($D276,$C$5:$AU$503,6,)/VLOOKUP($D276,$C$5:$AU$503,3,))*$E276)</f>
        <v>0</v>
      </c>
      <c r="I276" s="66">
        <f>IF(VLOOKUP($D276,$C$5:$AU$503,3,)=0,0,(VLOOKUP($D276,$C$5:$AU$503,7,)/VLOOKUP($D276,$C$5:$AU$503,3,))*$E276)</f>
        <v>0</v>
      </c>
      <c r="J276" s="66">
        <f>IF(VLOOKUP($D276,$C$5:$AU$503,3,)=0,0,(VLOOKUP($D276,$C$5:$AU$503,8,)/VLOOKUP($D276,$C$5:$AU$503,3,))*$E276)</f>
        <v>0</v>
      </c>
      <c r="K276" s="66">
        <f>IF(VLOOKUP($D276,$C$5:$AU$503,3,)=0,0,(VLOOKUP($D276,$C$5:$AU$503,9,)/VLOOKUP($D276,$C$5:$AU$503,3,))*$E276)</f>
        <v>0</v>
      </c>
      <c r="L276" s="66">
        <f>IF(VLOOKUP($D276,$C$5:$AU$503,3,)=0,0,(VLOOKUP($D276,$C$5:$AU$503,10,)/VLOOKUP($D276,$C$5:$AU$503,3,))*$E276)</f>
        <v>0</v>
      </c>
      <c r="M276" s="66">
        <f>IF(VLOOKUP($D276,$C$5:$AU$503,3,)=0,0,(VLOOKUP($D276,$C$5:$AU$503,11,)/VLOOKUP($D276,$C$5:$AU$503,3,))*$E276)</f>
        <v>0</v>
      </c>
      <c r="N276" s="66">
        <f>IF(VLOOKUP($D276,$C$5:$AU$503,3,)=0,0,(VLOOKUP($D276,$C$5:$AU$503,12,)/VLOOKUP($D276,$C$5:$AU$503,3,))*$E276)</f>
        <v>0</v>
      </c>
      <c r="O276" s="66">
        <f>IF(VLOOKUP($D276,$C$5:$AU$503,3,)=0,0,(VLOOKUP($D276,$C$5:$AU$503,13,)/VLOOKUP($D276,$C$5:$AU$503,3,))*$E276)</f>
        <v>0</v>
      </c>
      <c r="P276" s="66">
        <f>IF(VLOOKUP($D276,$C$5:$AU$503,3,)=0,0,(VLOOKUP($D276,$C$5:$AU$503,14,)/VLOOKUP($D276,$C$5:$AU$503,3,))*$E276)</f>
        <v>0</v>
      </c>
      <c r="Q276" s="66">
        <f>IF(VLOOKUP($D276,$C$5:$AU$503,3,)=0,0,(VLOOKUP($D276,$C$5:$AU$503,15,)/VLOOKUP($D276,$C$5:$AU$503,3,))*$E276)</f>
        <v>0</v>
      </c>
      <c r="R276" s="66">
        <f>IF(VLOOKUP($D276,$C$5:$AU$503,3,)=0,0,(VLOOKUP($D276,$C$5:$AU$503,16,)/VLOOKUP($D276,$C$5:$AU$503,3,))*$E276)</f>
        <v>0</v>
      </c>
      <c r="S276" s="66">
        <f>IF(VLOOKUP($D276,$C$5:$AU$503,3,)=0,0,(VLOOKUP($D276,$C$5:$AU$503,17,)/VLOOKUP($D276,$C$5:$AU$503,3,))*$E276)</f>
        <v>0</v>
      </c>
      <c r="T276" s="66">
        <f>IF(VLOOKUP($D276,$C$5:$AU$503,3,)=0,0,(VLOOKUP($D276,$C$5:$AU$503,18,)/VLOOKUP($D276,$C$5:$AU$503,3,))*$E276)</f>
        <v>0</v>
      </c>
      <c r="U276" s="66">
        <f>IF(VLOOKUP($D276,$C$5:$AU$503,3,)=0,0,(VLOOKUP($D276,$C$5:$AU$503,19,)/VLOOKUP($D276,$C$5:$AU$503,3,))*$E276)</f>
        <v>0</v>
      </c>
      <c r="V276" s="66">
        <f>IF(VLOOKUP($D276,$C$5:$AU$503,3,)=0,0,(VLOOKUP($D276,$C$5:$AU$503,20,)/VLOOKUP($D276,$C$5:$AU$503,3,))*$E276)</f>
        <v>0</v>
      </c>
      <c r="W276" s="66">
        <f>IF(VLOOKUP($D276,$C$5:$AU$503,3,)=0,0,(VLOOKUP($D276,$C$5:$AU$503,21,)/VLOOKUP($D276,$C$5:$AU$503,3,))*$E276)</f>
        <v>0</v>
      </c>
      <c r="X276" s="66">
        <f>IF(VLOOKUP($D276,$C$5:$AU$503,3,)=0,0,(VLOOKUP($D276,$C$5:$AU$503,22,)/VLOOKUP($D276,$C$5:$AU$503,3,))*$E276)</f>
        <v>0</v>
      </c>
      <c r="Y276" s="66">
        <f>IF(VLOOKUP($D276,$C$5:$AU$503,3,)=0,0,(VLOOKUP($D276,$C$5:$AU$503,23,)/VLOOKUP($D276,$C$5:$AU$503,3,))*$E276)</f>
        <v>0</v>
      </c>
      <c r="Z276" s="66">
        <f>IF(VLOOKUP($D276,$C$5:$AU$503,3,)=0,0,(VLOOKUP($D276,$C$5:$AU$503,24,)/VLOOKUP($D276,$C$5:$AU$503,3,))*$E276)</f>
        <v>0</v>
      </c>
      <c r="AA276" s="66">
        <f>IF(VLOOKUP($D276,$C$5:$AU$503,3,)=0,0,(VLOOKUP($D276,$C$5:$AU$503,25,)/VLOOKUP($D276,$C$5:$AU$503,3,))*$E276)</f>
        <v>0</v>
      </c>
      <c r="AB276" s="66">
        <f>IF(VLOOKUP($D276,$C$5:$AU$503,3,)=0,0,(VLOOKUP($D276,$C$5:$AU$503,26,)/VLOOKUP($D276,$C$5:$AU$503,3,))*$E276)</f>
        <v>0</v>
      </c>
      <c r="AC276" s="66">
        <f>IF(VLOOKUP($D276,$C$5:$AU$503,3,)=0,0,(VLOOKUP($D276,$C$5:$AU$503,27,)/VLOOKUP($D276,$C$5:$AU$503,3,))*$E276)</f>
        <v>0</v>
      </c>
      <c r="AD276" s="66">
        <f>IF(VLOOKUP($D276,$C$5:$AU$503,3,)=0,0,(VLOOKUP($D276,$C$5:$AU$503,28,)/VLOOKUP($D276,$C$5:$AU$503,3,))*$E276)</f>
        <v>0</v>
      </c>
      <c r="AE276" s="66">
        <f>IF(VLOOKUP($D276,$C$5:$AU$503,3,)=0,0,(VLOOKUP($D276,$C$5:$AU$503,29,)/VLOOKUP($D276,$C$5:$AU$503,3,))*$E276)</f>
        <v>0</v>
      </c>
      <c r="AF276" s="66">
        <f>IF(VLOOKUP($D276,$C$5:$AU$503,3,)=0,0,(VLOOKUP($D276,$C$5:$AU$503,30,)/VLOOKUP($D276,$C$5:$AU$503,3,))*$E276)</f>
        <v>0</v>
      </c>
      <c r="AG276" s="93">
        <f>SUM(F276:AF276)</f>
        <v>0</v>
      </c>
      <c r="AH276" s="30" t="str">
        <f>IF(ABS(E276-AG276)&lt;0.01,"ok","err")</f>
        <v>ok</v>
      </c>
    </row>
    <row r="277" spans="1:34" x14ac:dyDescent="0.2">
      <c r="A277" s="14" t="s">
        <v>215</v>
      </c>
      <c r="C277" s="14" t="s">
        <v>313</v>
      </c>
      <c r="E277" s="234">
        <f t="shared" ref="E277:T277" si="57">E275+E276</f>
        <v>0</v>
      </c>
      <c r="F277" s="66">
        <f t="shared" si="57"/>
        <v>0</v>
      </c>
      <c r="G277" s="66">
        <f t="shared" si="57"/>
        <v>0</v>
      </c>
      <c r="H277" s="66">
        <f t="shared" si="57"/>
        <v>0</v>
      </c>
      <c r="I277" s="66">
        <f t="shared" si="57"/>
        <v>0</v>
      </c>
      <c r="J277" s="66">
        <f t="shared" si="57"/>
        <v>0</v>
      </c>
      <c r="K277" s="66">
        <f t="shared" si="57"/>
        <v>0</v>
      </c>
      <c r="L277" s="66">
        <f t="shared" si="57"/>
        <v>0</v>
      </c>
      <c r="M277" s="66">
        <f t="shared" si="57"/>
        <v>0</v>
      </c>
      <c r="N277" s="66">
        <f t="shared" si="57"/>
        <v>0</v>
      </c>
      <c r="O277" s="66">
        <f t="shared" si="57"/>
        <v>0</v>
      </c>
      <c r="P277" s="66">
        <f t="shared" si="57"/>
        <v>0</v>
      </c>
      <c r="Q277" s="66">
        <f t="shared" si="57"/>
        <v>0</v>
      </c>
      <c r="R277" s="66">
        <f t="shared" si="57"/>
        <v>0</v>
      </c>
      <c r="S277" s="66">
        <f t="shared" si="57"/>
        <v>0</v>
      </c>
      <c r="T277" s="66">
        <f t="shared" si="57"/>
        <v>0</v>
      </c>
      <c r="U277" s="66">
        <f t="shared" ref="U277:AF277" si="58">U275+U276</f>
        <v>0</v>
      </c>
      <c r="V277" s="66">
        <f t="shared" si="58"/>
        <v>0</v>
      </c>
      <c r="W277" s="66">
        <f t="shared" si="58"/>
        <v>0</v>
      </c>
      <c r="X277" s="66">
        <f t="shared" si="58"/>
        <v>0</v>
      </c>
      <c r="Y277" s="66">
        <f t="shared" si="58"/>
        <v>0</v>
      </c>
      <c r="Z277" s="66">
        <f t="shared" si="58"/>
        <v>0</v>
      </c>
      <c r="AA277" s="66">
        <f t="shared" si="58"/>
        <v>0</v>
      </c>
      <c r="AB277" s="66">
        <f t="shared" si="58"/>
        <v>0</v>
      </c>
      <c r="AC277" s="66">
        <f t="shared" si="58"/>
        <v>0</v>
      </c>
      <c r="AD277" s="66">
        <f t="shared" si="58"/>
        <v>0</v>
      </c>
      <c r="AE277" s="66">
        <f t="shared" si="58"/>
        <v>0</v>
      </c>
      <c r="AF277" s="66">
        <f t="shared" si="58"/>
        <v>0</v>
      </c>
      <c r="AG277" s="93">
        <f>SUM(F277:AF277)</f>
        <v>0</v>
      </c>
      <c r="AH277" s="30" t="str">
        <f>IF(ABS(E277-AG277)&lt;0.01,"ok","err")</f>
        <v>ok</v>
      </c>
    </row>
    <row r="278" spans="1:34" x14ac:dyDescent="0.2">
      <c r="E278" s="234"/>
      <c r="F278" s="50"/>
    </row>
    <row r="279" spans="1:34" x14ac:dyDescent="0.2">
      <c r="A279" s="13" t="s">
        <v>350</v>
      </c>
      <c r="E279" s="234"/>
      <c r="F279" s="50"/>
    </row>
    <row r="280" spans="1:34" x14ac:dyDescent="0.2">
      <c r="A280" s="96" t="s">
        <v>209</v>
      </c>
      <c r="C280" s="14" t="s">
        <v>889</v>
      </c>
      <c r="D280" s="14" t="s">
        <v>623</v>
      </c>
      <c r="E280" s="233">
        <f>'Func &amp; Classif'!K316</f>
        <v>0</v>
      </c>
      <c r="F280" s="66">
        <f>IF(VLOOKUP($D280,$C$5:$AU$503,3,)=0,0,(VLOOKUP($D280,$C$5:$AU$503,4,)/VLOOKUP($D280,$C$5:$AU$503,3,))*$E280)</f>
        <v>0</v>
      </c>
      <c r="G280" s="66">
        <f>IF(VLOOKUP($D280,$C$5:$AU$503,3,)=0,0,(VLOOKUP($D280,$C$5:$AU$503,5,)/VLOOKUP($D280,$C$5:$AU$503,3,))*$E280)</f>
        <v>0</v>
      </c>
      <c r="H280" s="66">
        <f>IF(VLOOKUP($D280,$C$5:$AU$503,3,)=0,0,(VLOOKUP($D280,$C$5:$AU$503,6,)/VLOOKUP($D280,$C$5:$AU$503,3,))*$E280)</f>
        <v>0</v>
      </c>
      <c r="I280" s="66">
        <f>IF(VLOOKUP($D280,$C$5:$AU$503,3,)=0,0,(VLOOKUP($D280,$C$5:$AU$503,7,)/VLOOKUP($D280,$C$5:$AU$503,3,))*$E280)</f>
        <v>0</v>
      </c>
      <c r="J280" s="66">
        <f>IF(VLOOKUP($D280,$C$5:$AU$503,3,)=0,0,(VLOOKUP($D280,$C$5:$AU$503,8,)/VLOOKUP($D280,$C$5:$AU$503,3,))*$E280)</f>
        <v>0</v>
      </c>
      <c r="K280" s="66">
        <f>IF(VLOOKUP($D280,$C$5:$AU$503,3,)=0,0,(VLOOKUP($D280,$C$5:$AU$503,9,)/VLOOKUP($D280,$C$5:$AU$503,3,))*$E280)</f>
        <v>0</v>
      </c>
      <c r="L280" s="66">
        <f>IF(VLOOKUP($D280,$C$5:$AU$503,3,)=0,0,(VLOOKUP($D280,$C$5:$AU$503,10,)/VLOOKUP($D280,$C$5:$AU$503,3,))*$E280)</f>
        <v>0</v>
      </c>
      <c r="M280" s="66">
        <f>IF(VLOOKUP($D280,$C$5:$AU$503,3,)=0,0,(VLOOKUP($D280,$C$5:$AU$503,11,)/VLOOKUP($D280,$C$5:$AU$503,3,))*$E280)</f>
        <v>0</v>
      </c>
      <c r="N280" s="66">
        <f>IF(VLOOKUP($D280,$C$5:$AU$503,3,)=0,0,(VLOOKUP($D280,$C$5:$AU$503,12,)/VLOOKUP($D280,$C$5:$AU$503,3,))*$E280)</f>
        <v>0</v>
      </c>
      <c r="O280" s="66">
        <f>IF(VLOOKUP($D280,$C$5:$AU$503,3,)=0,0,(VLOOKUP($D280,$C$5:$AU$503,13,)/VLOOKUP($D280,$C$5:$AU$503,3,))*$E280)</f>
        <v>0</v>
      </c>
      <c r="P280" s="66">
        <f>IF(VLOOKUP($D280,$C$5:$AU$503,3,)=0,0,(VLOOKUP($D280,$C$5:$AU$503,14,)/VLOOKUP($D280,$C$5:$AU$503,3,))*$E280)</f>
        <v>0</v>
      </c>
      <c r="Q280" s="66">
        <f>IF(VLOOKUP($D280,$C$5:$AU$503,3,)=0,0,(VLOOKUP($D280,$C$5:$AU$503,15,)/VLOOKUP($D280,$C$5:$AU$503,3,))*$E280)</f>
        <v>0</v>
      </c>
      <c r="R280" s="66">
        <f>IF(VLOOKUP($D280,$C$5:$AU$503,3,)=0,0,(VLOOKUP($D280,$C$5:$AU$503,16,)/VLOOKUP($D280,$C$5:$AU$503,3,))*$E280)</f>
        <v>0</v>
      </c>
      <c r="S280" s="66">
        <f>IF(VLOOKUP($D280,$C$5:$AU$503,3,)=0,0,(VLOOKUP($D280,$C$5:$AU$503,17,)/VLOOKUP($D280,$C$5:$AU$503,3,))*$E280)</f>
        <v>0</v>
      </c>
      <c r="T280" s="66">
        <f>IF(VLOOKUP($D280,$C$5:$AU$503,3,)=0,0,(VLOOKUP($D280,$C$5:$AU$503,18,)/VLOOKUP($D280,$C$5:$AU$503,3,))*$E280)</f>
        <v>0</v>
      </c>
      <c r="U280" s="66">
        <f>IF(VLOOKUP($D280,$C$5:$AU$503,3,)=0,0,(VLOOKUP($D280,$C$5:$AU$503,19,)/VLOOKUP($D280,$C$5:$AU$503,3,))*$E280)</f>
        <v>0</v>
      </c>
      <c r="V280" s="66">
        <f>IF(VLOOKUP($D280,$C$5:$AU$503,3,)=0,0,(VLOOKUP($D280,$C$5:$AU$503,20,)/VLOOKUP($D280,$C$5:$AU$503,3,))*$E280)</f>
        <v>0</v>
      </c>
      <c r="W280" s="66">
        <f>IF(VLOOKUP($D280,$C$5:$AU$503,3,)=0,0,(VLOOKUP($D280,$C$5:$AU$503,21,)/VLOOKUP($D280,$C$5:$AU$503,3,))*$E280)</f>
        <v>0</v>
      </c>
      <c r="X280" s="66">
        <f>IF(VLOOKUP($D280,$C$5:$AU$503,3,)=0,0,(VLOOKUP($D280,$C$5:$AU$503,22,)/VLOOKUP($D280,$C$5:$AU$503,3,))*$E280)</f>
        <v>0</v>
      </c>
      <c r="Y280" s="66">
        <f>IF(VLOOKUP($D280,$C$5:$AU$503,3,)=0,0,(VLOOKUP($D280,$C$5:$AU$503,23,)/VLOOKUP($D280,$C$5:$AU$503,3,))*$E280)</f>
        <v>0</v>
      </c>
      <c r="Z280" s="66">
        <f>IF(VLOOKUP($D280,$C$5:$AU$503,3,)=0,0,(VLOOKUP($D280,$C$5:$AU$503,24,)/VLOOKUP($D280,$C$5:$AU$503,3,))*$E280)</f>
        <v>0</v>
      </c>
      <c r="AA280" s="66">
        <f>IF(VLOOKUP($D280,$C$5:$AU$503,3,)=0,0,(VLOOKUP($D280,$C$5:$AU$503,25,)/VLOOKUP($D280,$C$5:$AU$503,3,))*$E280)</f>
        <v>0</v>
      </c>
      <c r="AB280" s="66">
        <f>IF(VLOOKUP($D280,$C$5:$AU$503,3,)=0,0,(VLOOKUP($D280,$C$5:$AU$503,26,)/VLOOKUP($D280,$C$5:$AU$503,3,))*$E280)</f>
        <v>0</v>
      </c>
      <c r="AC280" s="66">
        <f>IF(VLOOKUP($D280,$C$5:$AU$503,3,)=0,0,(VLOOKUP($D280,$C$5:$AU$503,27,)/VLOOKUP($D280,$C$5:$AU$503,3,))*$E280)</f>
        <v>0</v>
      </c>
      <c r="AD280" s="66">
        <f>IF(VLOOKUP($D280,$C$5:$AU$503,3,)=0,0,(VLOOKUP($D280,$C$5:$AU$503,28,)/VLOOKUP($D280,$C$5:$AU$503,3,))*$E280)</f>
        <v>0</v>
      </c>
      <c r="AE280" s="66">
        <f>IF(VLOOKUP($D280,$C$5:$AU$503,3,)=0,0,(VLOOKUP($D280,$C$5:$AU$503,29,)/VLOOKUP($D280,$C$5:$AU$503,3,))*$E280)</f>
        <v>0</v>
      </c>
      <c r="AF280" s="66">
        <f>IF(VLOOKUP($D280,$C$5:$AU$503,3,)=0,0,(VLOOKUP($D280,$C$5:$AU$503,30,)/VLOOKUP($D280,$C$5:$AU$503,3,))*$E280)</f>
        <v>0</v>
      </c>
      <c r="AG280" s="93">
        <f>SUM(F280:AF280)</f>
        <v>0</v>
      </c>
      <c r="AH280" s="30" t="str">
        <f>IF(ABS(E280-AG280)&lt;0.01,"ok","err")</f>
        <v>ok</v>
      </c>
    </row>
    <row r="281" spans="1:34" x14ac:dyDescent="0.2">
      <c r="E281" s="234"/>
    </row>
    <row r="282" spans="1:34" x14ac:dyDescent="0.2">
      <c r="A282" s="13" t="s">
        <v>1</v>
      </c>
      <c r="E282" s="234"/>
      <c r="F282" s="50"/>
    </row>
    <row r="283" spans="1:34" x14ac:dyDescent="0.2">
      <c r="A283" s="96" t="s">
        <v>209</v>
      </c>
      <c r="C283" s="14" t="s">
        <v>314</v>
      </c>
      <c r="D283" s="14" t="s">
        <v>630</v>
      </c>
      <c r="E283" s="233">
        <f>'Func &amp; Classif'!M316</f>
        <v>429.86996668518753</v>
      </c>
      <c r="F283" s="66">
        <f>IF(VLOOKUP($D283,$C$5:$AU$503,3,)=0,0,(VLOOKUP($D283,$C$5:$AU$503,4,)/VLOOKUP($D283,$C$5:$AU$503,3,))*$E283)</f>
        <v>329.07288019937221</v>
      </c>
      <c r="G283" s="66">
        <f>IF(VLOOKUP($D283,$C$5:$AU$503,3,)=0,0,(VLOOKUP($D283,$C$5:$AU$503,5,)/VLOOKUP($D283,$C$5:$AU$503,3,))*$E283)</f>
        <v>0</v>
      </c>
      <c r="H283" s="66">
        <f>IF(VLOOKUP($D283,$C$5:$AU$503,3,)=0,0,(VLOOKUP($D283,$C$5:$AU$503,6,)/VLOOKUP($D283,$C$5:$AU$503,3,))*$E283)</f>
        <v>52.185720605922199</v>
      </c>
      <c r="I283" s="66">
        <f>IF(VLOOKUP($D283,$C$5:$AU$503,3,)=0,0,(VLOOKUP($D283,$C$5:$AU$503,7,)/VLOOKUP($D283,$C$5:$AU$503,3,))*$E283)</f>
        <v>1.8664414128333562</v>
      </c>
      <c r="J283" s="66">
        <f>IF(VLOOKUP($D283,$C$5:$AU$503,3,)=0,0,(VLOOKUP($D283,$C$5:$AU$503,8,)/VLOOKUP($D283,$C$5:$AU$503,3,))*$E283)</f>
        <v>16.722783682147607</v>
      </c>
      <c r="K283" s="66">
        <f>IF(VLOOKUP($D283,$C$5:$AU$503,3,)=0,0,(VLOOKUP($D283,$C$5:$AU$503,9,)/VLOOKUP($D283,$C$5:$AU$503,3,))*$E283)</f>
        <v>21.308791263839176</v>
      </c>
      <c r="L283" s="66">
        <f>IF(VLOOKUP($D283,$C$5:$AU$503,3,)=0,0,(VLOOKUP($D283,$C$5:$AU$503,10,)/VLOOKUP($D283,$C$5:$AU$503,3,))*$E283)</f>
        <v>3.2898683900618266</v>
      </c>
      <c r="M283" s="66">
        <f>IF(VLOOKUP($D283,$C$5:$AU$503,3,)=0,0,(VLOOKUP($D283,$C$5:$AU$503,11,)/VLOOKUP($D283,$C$5:$AU$503,3,))*$E283)</f>
        <v>2.909703526185031</v>
      </c>
      <c r="N283" s="66">
        <f>IF(VLOOKUP($D283,$C$5:$AU$503,3,)=0,0,(VLOOKUP($D283,$C$5:$AU$503,12,)/VLOOKUP($D283,$C$5:$AU$503,3,))*$E283)</f>
        <v>2.5137776048261009</v>
      </c>
      <c r="O283" s="66">
        <f>IF(VLOOKUP($D283,$C$5:$AU$503,3,)=0,0,(VLOOKUP($D283,$C$5:$AU$503,13,)/VLOOKUP($D283,$C$5:$AU$503,3,))*$E283)</f>
        <v>0</v>
      </c>
      <c r="P283" s="66">
        <f>IF(VLOOKUP($D283,$C$5:$AU$503,3,)=0,0,(VLOOKUP($D283,$C$5:$AU$503,14,)/VLOOKUP($D283,$C$5:$AU$503,3,))*$E283)</f>
        <v>0</v>
      </c>
      <c r="Q283" s="66">
        <f>IF(VLOOKUP($D283,$C$5:$AU$503,3,)=0,0,(VLOOKUP($D283,$C$5:$AU$503,15,)/VLOOKUP($D283,$C$5:$AU$503,3,))*$E283)</f>
        <v>0</v>
      </c>
      <c r="R283" s="66">
        <f>IF(VLOOKUP($D283,$C$5:$AU$503,3,)=0,0,(VLOOKUP($D283,$C$5:$AU$503,16,)/VLOOKUP($D283,$C$5:$AU$503,3,))*$E283)</f>
        <v>0</v>
      </c>
      <c r="S283" s="66">
        <f>IF(VLOOKUP($D283,$C$5:$AU$503,3,)=0,0,(VLOOKUP($D283,$C$5:$AU$503,17,)/VLOOKUP($D283,$C$5:$AU$503,3,))*$E283)</f>
        <v>0</v>
      </c>
      <c r="T283" s="66">
        <f>IF(VLOOKUP($D283,$C$5:$AU$503,3,)=0,0,(VLOOKUP($D283,$C$5:$AU$503,18,)/VLOOKUP($D283,$C$5:$AU$503,3,))*$E283)</f>
        <v>0</v>
      </c>
      <c r="U283" s="66">
        <f>IF(VLOOKUP($D283,$C$5:$AU$503,3,)=0,0,(VLOOKUP($D283,$C$5:$AU$503,19,)/VLOOKUP($D283,$C$5:$AU$503,3,))*$E283)</f>
        <v>0</v>
      </c>
      <c r="V283" s="66">
        <f>IF(VLOOKUP($D283,$C$5:$AU$503,3,)=0,0,(VLOOKUP($D283,$C$5:$AU$503,20,)/VLOOKUP($D283,$C$5:$AU$503,3,))*$E283)</f>
        <v>0</v>
      </c>
      <c r="W283" s="66">
        <f>IF(VLOOKUP($D283,$C$5:$AU$503,3,)=0,0,(VLOOKUP($D283,$C$5:$AU$503,21,)/VLOOKUP($D283,$C$5:$AU$503,3,))*$E283)</f>
        <v>0</v>
      </c>
      <c r="X283" s="66">
        <f>IF(VLOOKUP($D283,$C$5:$AU$503,3,)=0,0,(VLOOKUP($D283,$C$5:$AU$503,22,)/VLOOKUP($D283,$C$5:$AU$503,3,))*$E283)</f>
        <v>0</v>
      </c>
      <c r="Y283" s="66">
        <f>IF(VLOOKUP($D283,$C$5:$AU$503,3,)=0,0,(VLOOKUP($D283,$C$5:$AU$503,23,)/VLOOKUP($D283,$C$5:$AU$503,3,))*$E283)</f>
        <v>0</v>
      </c>
      <c r="Z283" s="66">
        <f>IF(VLOOKUP($D283,$C$5:$AU$503,3,)=0,0,(VLOOKUP($D283,$C$5:$AU$503,24,)/VLOOKUP($D283,$C$5:$AU$503,3,))*$E283)</f>
        <v>0</v>
      </c>
      <c r="AA283" s="66">
        <f>IF(VLOOKUP($D283,$C$5:$AU$503,3,)=0,0,(VLOOKUP($D283,$C$5:$AU$503,25,)/VLOOKUP($D283,$C$5:$AU$503,3,))*$E283)</f>
        <v>0</v>
      </c>
      <c r="AB283" s="66">
        <f>IF(VLOOKUP($D283,$C$5:$AU$503,3,)=0,0,(VLOOKUP($D283,$C$5:$AU$503,26,)/VLOOKUP($D283,$C$5:$AU$503,3,))*$E283)</f>
        <v>0</v>
      </c>
      <c r="AC283" s="66">
        <f>IF(VLOOKUP($D283,$C$5:$AU$503,3,)=0,0,(VLOOKUP($D283,$C$5:$AU$503,27,)/VLOOKUP($D283,$C$5:$AU$503,3,))*$E283)</f>
        <v>0</v>
      </c>
      <c r="AD283" s="66">
        <f>IF(VLOOKUP($D283,$C$5:$AU$503,3,)=0,0,(VLOOKUP($D283,$C$5:$AU$503,28,)/VLOOKUP($D283,$C$5:$AU$503,3,))*$E283)</f>
        <v>0</v>
      </c>
      <c r="AE283" s="66">
        <f>IF(VLOOKUP($D283,$C$5:$AU$503,3,)=0,0,(VLOOKUP($D283,$C$5:$AU$503,29,)/VLOOKUP($D283,$C$5:$AU$503,3,))*$E283)</f>
        <v>0</v>
      </c>
      <c r="AF283" s="66">
        <f>IF(VLOOKUP($D283,$C$5:$AU$503,3,)=0,0,(VLOOKUP($D283,$C$5:$AU$503,30,)/VLOOKUP($D283,$C$5:$AU$503,3,))*$E283)</f>
        <v>0</v>
      </c>
      <c r="AG283" s="93">
        <f>SUM(F283:AF283)</f>
        <v>429.86996668518748</v>
      </c>
      <c r="AH283" s="30" t="str">
        <f>IF(ABS(E283-AG283)&lt;0.01,"ok","err")</f>
        <v>ok</v>
      </c>
    </row>
    <row r="284" spans="1:34" x14ac:dyDescent="0.2">
      <c r="E284" s="234"/>
    </row>
    <row r="285" spans="1:34" x14ac:dyDescent="0.2">
      <c r="A285" s="13" t="s">
        <v>2</v>
      </c>
      <c r="E285" s="234"/>
    </row>
    <row r="286" spans="1:34" x14ac:dyDescent="0.2">
      <c r="A286" s="96" t="s">
        <v>209</v>
      </c>
      <c r="C286" s="14" t="s">
        <v>315</v>
      </c>
      <c r="D286" s="14" t="s">
        <v>627</v>
      </c>
      <c r="E286" s="233">
        <f>'Func &amp; Classif'!O316</f>
        <v>56800.270514196563</v>
      </c>
      <c r="F286" s="66">
        <f>IF(VLOOKUP($D286,$C$5:$AU$503,3,)=0,0,(VLOOKUP($D286,$C$5:$AU$503,4,)/VLOOKUP($D286,$C$5:$AU$503,3,))*$E286)</f>
        <v>44956.116624664624</v>
      </c>
      <c r="G286" s="66">
        <f>IF(VLOOKUP($D286,$C$5:$AU$503,3,)=0,0,(VLOOKUP($D286,$C$5:$AU$503,5,)/VLOOKUP($D286,$C$5:$AU$503,3,))*$E286)</f>
        <v>3204.7960421217585</v>
      </c>
      <c r="H286" s="66">
        <f>IF(VLOOKUP($D286,$C$5:$AU$503,3,)=0,0,(VLOOKUP($D286,$C$5:$AU$503,6,)/VLOOKUP($D286,$C$5:$AU$503,3,))*$E286)</f>
        <v>4664.6774632599609</v>
      </c>
      <c r="I286" s="66">
        <f>IF(VLOOKUP($D286,$C$5:$AU$503,3,)=0,0,(VLOOKUP($D286,$C$5:$AU$503,7,)/VLOOKUP($D286,$C$5:$AU$503,3,))*$E286)</f>
        <v>160.21452838908939</v>
      </c>
      <c r="J286" s="66">
        <f>IF(VLOOKUP($D286,$C$5:$AU$503,3,)=0,0,(VLOOKUP($D286,$C$5:$AU$503,8,)/VLOOKUP($D286,$C$5:$AU$503,3,))*$E286)</f>
        <v>1274.1982985238399</v>
      </c>
      <c r="K286" s="66">
        <f>IF(VLOOKUP($D286,$C$5:$AU$503,3,)=0,0,(VLOOKUP($D286,$C$5:$AU$503,9,)/VLOOKUP($D286,$C$5:$AU$503,3,))*$E286)</f>
        <v>1379.973093499239</v>
      </c>
      <c r="L286" s="66">
        <f>IF(VLOOKUP($D286,$C$5:$AU$503,3,)=0,0,(VLOOKUP($D286,$C$5:$AU$503,10,)/VLOOKUP($D286,$C$5:$AU$503,3,))*$E286)</f>
        <v>517.61900880244423</v>
      </c>
      <c r="M286" s="66">
        <f>IF(VLOOKUP($D286,$C$5:$AU$503,3,)=0,0,(VLOOKUP($D286,$C$5:$AU$503,11,)/VLOOKUP($D286,$C$5:$AU$503,3,))*$E286)</f>
        <v>364.20517629425842</v>
      </c>
      <c r="N286" s="66">
        <f>IF(VLOOKUP($D286,$C$5:$AU$503,3,)=0,0,(VLOOKUP($D286,$C$5:$AU$503,12,)/VLOOKUP($D286,$C$5:$AU$503,3,))*$E286)</f>
        <v>278.47027864133582</v>
      </c>
      <c r="O286" s="66">
        <f>IF(VLOOKUP($D286,$C$5:$AU$503,3,)=0,0,(VLOOKUP($D286,$C$5:$AU$503,13,)/VLOOKUP($D286,$C$5:$AU$503,3,))*$E286)</f>
        <v>0</v>
      </c>
      <c r="P286" s="66">
        <f>IF(VLOOKUP($D286,$C$5:$AU$503,3,)=0,0,(VLOOKUP($D286,$C$5:$AU$503,14,)/VLOOKUP($D286,$C$5:$AU$503,3,))*$E286)</f>
        <v>0</v>
      </c>
      <c r="Q286" s="66">
        <f>IF(VLOOKUP($D286,$C$5:$AU$503,3,)=0,0,(VLOOKUP($D286,$C$5:$AU$503,15,)/VLOOKUP($D286,$C$5:$AU$503,3,))*$E286)</f>
        <v>0</v>
      </c>
      <c r="R286" s="66">
        <f>IF(VLOOKUP($D286,$C$5:$AU$503,3,)=0,0,(VLOOKUP($D286,$C$5:$AU$503,16,)/VLOOKUP($D286,$C$5:$AU$503,3,))*$E286)</f>
        <v>0</v>
      </c>
      <c r="S286" s="66">
        <f>IF(VLOOKUP($D286,$C$5:$AU$503,3,)=0,0,(VLOOKUP($D286,$C$5:$AU$503,17,)/VLOOKUP($D286,$C$5:$AU$503,3,))*$E286)</f>
        <v>0</v>
      </c>
      <c r="T286" s="66">
        <f>IF(VLOOKUP($D286,$C$5:$AU$503,3,)=0,0,(VLOOKUP($D286,$C$5:$AU$503,18,)/VLOOKUP($D286,$C$5:$AU$503,3,))*$E286)</f>
        <v>0</v>
      </c>
      <c r="U286" s="66">
        <f>IF(VLOOKUP($D286,$C$5:$AU$503,3,)=0,0,(VLOOKUP($D286,$C$5:$AU$503,19,)/VLOOKUP($D286,$C$5:$AU$503,3,))*$E286)</f>
        <v>0</v>
      </c>
      <c r="V286" s="66">
        <f>IF(VLOOKUP($D286,$C$5:$AU$503,3,)=0,0,(VLOOKUP($D286,$C$5:$AU$503,20,)/VLOOKUP($D286,$C$5:$AU$503,3,))*$E286)</f>
        <v>0</v>
      </c>
      <c r="W286" s="66">
        <f>IF(VLOOKUP($D286,$C$5:$AU$503,3,)=0,0,(VLOOKUP($D286,$C$5:$AU$503,21,)/VLOOKUP($D286,$C$5:$AU$503,3,))*$E286)</f>
        <v>0</v>
      </c>
      <c r="X286" s="66">
        <f>IF(VLOOKUP($D286,$C$5:$AU$503,3,)=0,0,(VLOOKUP($D286,$C$5:$AU$503,22,)/VLOOKUP($D286,$C$5:$AU$503,3,))*$E286)</f>
        <v>0</v>
      </c>
      <c r="Y286" s="66">
        <f>IF(VLOOKUP($D286,$C$5:$AU$503,3,)=0,0,(VLOOKUP($D286,$C$5:$AU$503,23,)/VLOOKUP($D286,$C$5:$AU$503,3,))*$E286)</f>
        <v>0</v>
      </c>
      <c r="Z286" s="66">
        <f>IF(VLOOKUP($D286,$C$5:$AU$503,3,)=0,0,(VLOOKUP($D286,$C$5:$AU$503,24,)/VLOOKUP($D286,$C$5:$AU$503,3,))*$E286)</f>
        <v>0</v>
      </c>
      <c r="AA286" s="66">
        <f>IF(VLOOKUP($D286,$C$5:$AU$503,3,)=0,0,(VLOOKUP($D286,$C$5:$AU$503,25,)/VLOOKUP($D286,$C$5:$AU$503,3,))*$E286)</f>
        <v>0</v>
      </c>
      <c r="AB286" s="66">
        <f>IF(VLOOKUP($D286,$C$5:$AU$503,3,)=0,0,(VLOOKUP($D286,$C$5:$AU$503,26,)/VLOOKUP($D286,$C$5:$AU$503,3,))*$E286)</f>
        <v>0</v>
      </c>
      <c r="AC286" s="66">
        <f>IF(VLOOKUP($D286,$C$5:$AU$503,3,)=0,0,(VLOOKUP($D286,$C$5:$AU$503,27,)/VLOOKUP($D286,$C$5:$AU$503,3,))*$E286)</f>
        <v>0</v>
      </c>
      <c r="AD286" s="66">
        <f>IF(VLOOKUP($D286,$C$5:$AU$503,3,)=0,0,(VLOOKUP($D286,$C$5:$AU$503,28,)/VLOOKUP($D286,$C$5:$AU$503,3,))*$E286)</f>
        <v>0</v>
      </c>
      <c r="AE286" s="66">
        <f>IF(VLOOKUP($D286,$C$5:$AU$503,3,)=0,0,(VLOOKUP($D286,$C$5:$AU$503,29,)/VLOOKUP($D286,$C$5:$AU$503,3,))*$E286)</f>
        <v>0</v>
      </c>
      <c r="AF286" s="66">
        <f>IF(VLOOKUP($D286,$C$5:$AU$503,3,)=0,0,(VLOOKUP($D286,$C$5:$AU$503,30,)/VLOOKUP($D286,$C$5:$AU$503,3,))*$E286)</f>
        <v>0</v>
      </c>
      <c r="AG286" s="93">
        <f>SUM(F286:AF286)</f>
        <v>56800.270514196549</v>
      </c>
      <c r="AH286" s="30" t="str">
        <f>IF(ABS(E286-AG286)&lt;0.01,"ok","err")</f>
        <v>ok</v>
      </c>
    </row>
    <row r="287" spans="1:34" x14ac:dyDescent="0.2">
      <c r="A287" s="96" t="s">
        <v>221</v>
      </c>
      <c r="C287" s="14" t="s">
        <v>316</v>
      </c>
      <c r="D287" s="14" t="s">
        <v>223</v>
      </c>
      <c r="E287" s="234">
        <f>'Func &amp; Classif'!P316</f>
        <v>31969.438854403099</v>
      </c>
      <c r="F287" s="66">
        <f>IF(VLOOKUP($D287,$C$5:$AU$503,3,)=0,0,(VLOOKUP($D287,$C$5:$AU$503,4,)/VLOOKUP($D287,$C$5:$AU$503,3,))*$E287)</f>
        <v>29473.664899332136</v>
      </c>
      <c r="G287" s="66">
        <f>IF(VLOOKUP($D287,$C$5:$AU$503,3,)=0,0,(VLOOKUP($D287,$C$5:$AU$503,5,)/VLOOKUP($D287,$C$5:$AU$503,3,))*$E287)</f>
        <v>2206.1465151352572</v>
      </c>
      <c r="H287" s="66">
        <f>IF(VLOOKUP($D287,$C$5:$AU$503,3,)=0,0,(VLOOKUP($D287,$C$5:$AU$503,6,)/VLOOKUP($D287,$C$5:$AU$503,3,))*$E287)</f>
        <v>201.83412220519483</v>
      </c>
      <c r="I287" s="66">
        <f>IF(VLOOKUP($D287,$C$5:$AU$503,3,)=0,0,(VLOOKUP($D287,$C$5:$AU$503,7,)/VLOOKUP($D287,$C$5:$AU$503,3,))*$E287)</f>
        <v>0.45254287489953993</v>
      </c>
      <c r="J287" s="66">
        <f>IF(VLOOKUP($D287,$C$5:$AU$503,3,)=0,0,(VLOOKUP($D287,$C$5:$AU$503,8,)/VLOOKUP($D287,$C$5:$AU$503,3,))*$E287)</f>
        <v>0.90508574979907985</v>
      </c>
      <c r="K287" s="66">
        <f>IF(VLOOKUP($D287,$C$5:$AU$503,3,)=0,0,(VLOOKUP($D287,$C$5:$AU$503,9,)/VLOOKUP($D287,$C$5:$AU$503,3,))*$E287)</f>
        <v>4.07288587409586</v>
      </c>
      <c r="L287" s="66">
        <f>IF(VLOOKUP($D287,$C$5:$AU$503,3,)=0,0,(VLOOKUP($D287,$C$5:$AU$503,10,)/VLOOKUP($D287,$C$5:$AU$503,3,))*$E287)</f>
        <v>64.261088235734675</v>
      </c>
      <c r="M287" s="66">
        <f>IF(VLOOKUP($D287,$C$5:$AU$503,3,)=0,0,(VLOOKUP($D287,$C$5:$AU$503,11,)/VLOOKUP($D287,$C$5:$AU$503,3,))*$E287)</f>
        <v>7.6932288732921785</v>
      </c>
      <c r="N287" s="66">
        <f>IF(VLOOKUP($D287,$C$5:$AU$503,3,)=0,0,(VLOOKUP($D287,$C$5:$AU$503,12,)/VLOOKUP($D287,$C$5:$AU$503,3,))*$E287)</f>
        <v>10.408486122689419</v>
      </c>
      <c r="O287" s="66">
        <f>IF(VLOOKUP($D287,$C$5:$AU$503,3,)=0,0,(VLOOKUP($D287,$C$5:$AU$503,13,)/VLOOKUP($D287,$C$5:$AU$503,3,))*$E287)</f>
        <v>0</v>
      </c>
      <c r="P287" s="66">
        <f>IF(VLOOKUP($D287,$C$5:$AU$503,3,)=0,0,(VLOOKUP($D287,$C$5:$AU$503,14,)/VLOOKUP($D287,$C$5:$AU$503,3,))*$E287)</f>
        <v>0</v>
      </c>
      <c r="Q287" s="66">
        <f>IF(VLOOKUP($D287,$C$5:$AU$503,3,)=0,0,(VLOOKUP($D287,$C$5:$AU$503,15,)/VLOOKUP($D287,$C$5:$AU$503,3,))*$E287)</f>
        <v>0</v>
      </c>
      <c r="R287" s="66">
        <f>IF(VLOOKUP($D287,$C$5:$AU$503,3,)=0,0,(VLOOKUP($D287,$C$5:$AU$503,16,)/VLOOKUP($D287,$C$5:$AU$503,3,))*$E287)</f>
        <v>0</v>
      </c>
      <c r="S287" s="66">
        <f>IF(VLOOKUP($D287,$C$5:$AU$503,3,)=0,0,(VLOOKUP($D287,$C$5:$AU$503,17,)/VLOOKUP($D287,$C$5:$AU$503,3,))*$E287)</f>
        <v>0</v>
      </c>
      <c r="T287" s="66">
        <f>IF(VLOOKUP($D287,$C$5:$AU$503,3,)=0,0,(VLOOKUP($D287,$C$5:$AU$503,18,)/VLOOKUP($D287,$C$5:$AU$503,3,))*$E287)</f>
        <v>0</v>
      </c>
      <c r="U287" s="66">
        <f>IF(VLOOKUP($D287,$C$5:$AU$503,3,)=0,0,(VLOOKUP($D287,$C$5:$AU$503,19,)/VLOOKUP($D287,$C$5:$AU$503,3,))*$E287)</f>
        <v>0</v>
      </c>
      <c r="V287" s="66">
        <f>IF(VLOOKUP($D287,$C$5:$AU$503,3,)=0,0,(VLOOKUP($D287,$C$5:$AU$503,20,)/VLOOKUP($D287,$C$5:$AU$503,3,))*$E287)</f>
        <v>0</v>
      </c>
      <c r="W287" s="66">
        <f>IF(VLOOKUP($D287,$C$5:$AU$503,3,)=0,0,(VLOOKUP($D287,$C$5:$AU$503,21,)/VLOOKUP($D287,$C$5:$AU$503,3,))*$E287)</f>
        <v>0</v>
      </c>
      <c r="X287" s="66">
        <f>IF(VLOOKUP($D287,$C$5:$AU$503,3,)=0,0,(VLOOKUP($D287,$C$5:$AU$503,22,)/VLOOKUP($D287,$C$5:$AU$503,3,))*$E287)</f>
        <v>0</v>
      </c>
      <c r="Y287" s="66">
        <f>IF(VLOOKUP($D287,$C$5:$AU$503,3,)=0,0,(VLOOKUP($D287,$C$5:$AU$503,23,)/VLOOKUP($D287,$C$5:$AU$503,3,))*$E287)</f>
        <v>0</v>
      </c>
      <c r="Z287" s="66">
        <f>IF(VLOOKUP($D287,$C$5:$AU$503,3,)=0,0,(VLOOKUP($D287,$C$5:$AU$503,24,)/VLOOKUP($D287,$C$5:$AU$503,3,))*$E287)</f>
        <v>0</v>
      </c>
      <c r="AA287" s="66">
        <f>IF(VLOOKUP($D287,$C$5:$AU$503,3,)=0,0,(VLOOKUP($D287,$C$5:$AU$503,25,)/VLOOKUP($D287,$C$5:$AU$503,3,))*$E287)</f>
        <v>0</v>
      </c>
      <c r="AB287" s="66">
        <f>IF(VLOOKUP($D287,$C$5:$AU$503,3,)=0,0,(VLOOKUP($D287,$C$5:$AU$503,26,)/VLOOKUP($D287,$C$5:$AU$503,3,))*$E287)</f>
        <v>0</v>
      </c>
      <c r="AC287" s="66">
        <f>IF(VLOOKUP($D287,$C$5:$AU$503,3,)=0,0,(VLOOKUP($D287,$C$5:$AU$503,27,)/VLOOKUP($D287,$C$5:$AU$503,3,))*$E287)</f>
        <v>0</v>
      </c>
      <c r="AD287" s="66">
        <f>IF(VLOOKUP($D287,$C$5:$AU$503,3,)=0,0,(VLOOKUP($D287,$C$5:$AU$503,28,)/VLOOKUP($D287,$C$5:$AU$503,3,))*$E287)</f>
        <v>0</v>
      </c>
      <c r="AE287" s="66">
        <f>IF(VLOOKUP($D287,$C$5:$AU$503,3,)=0,0,(VLOOKUP($D287,$C$5:$AU$503,29,)/VLOOKUP($D287,$C$5:$AU$503,3,))*$E287)</f>
        <v>0</v>
      </c>
      <c r="AF287" s="66">
        <f>IF(VLOOKUP($D287,$C$5:$AU$503,3,)=0,0,(VLOOKUP($D287,$C$5:$AU$503,30,)/VLOOKUP($D287,$C$5:$AU$503,3,))*$E287)</f>
        <v>0</v>
      </c>
      <c r="AG287" s="93">
        <f>SUM(F287:AF287)</f>
        <v>31969.438854403099</v>
      </c>
      <c r="AH287" s="30" t="str">
        <f>IF(ABS(E287-AG287)&lt;0.01,"ok","err")</f>
        <v>ok</v>
      </c>
    </row>
    <row r="288" spans="1:34" x14ac:dyDescent="0.2">
      <c r="A288" s="14" t="s">
        <v>224</v>
      </c>
      <c r="E288" s="233">
        <f t="shared" ref="E288:T288" si="59">E286+E287</f>
        <v>88769.709368599666</v>
      </c>
      <c r="F288" s="66">
        <f t="shared" si="59"/>
        <v>74429.78152399676</v>
      </c>
      <c r="G288" s="66">
        <f t="shared" si="59"/>
        <v>5410.9425572570162</v>
      </c>
      <c r="H288" s="66">
        <f t="shared" si="59"/>
        <v>4866.5115854651558</v>
      </c>
      <c r="I288" s="66">
        <f t="shared" si="59"/>
        <v>160.66707126398893</v>
      </c>
      <c r="J288" s="66">
        <f t="shared" si="59"/>
        <v>1275.103384273639</v>
      </c>
      <c r="K288" s="66">
        <f t="shared" si="59"/>
        <v>1384.0459793733348</v>
      </c>
      <c r="L288" s="66">
        <f t="shared" si="59"/>
        <v>581.88009703817886</v>
      </c>
      <c r="M288" s="66">
        <f t="shared" si="59"/>
        <v>371.89840516755061</v>
      </c>
      <c r="N288" s="66">
        <f t="shared" si="59"/>
        <v>288.87876476402522</v>
      </c>
      <c r="O288" s="66">
        <f t="shared" si="59"/>
        <v>0</v>
      </c>
      <c r="P288" s="66">
        <f t="shared" si="59"/>
        <v>0</v>
      </c>
      <c r="Q288" s="66">
        <f t="shared" si="59"/>
        <v>0</v>
      </c>
      <c r="R288" s="66">
        <f t="shared" si="59"/>
        <v>0</v>
      </c>
      <c r="S288" s="66">
        <f t="shared" si="59"/>
        <v>0</v>
      </c>
      <c r="T288" s="66">
        <f t="shared" si="59"/>
        <v>0</v>
      </c>
      <c r="U288" s="66">
        <f t="shared" ref="U288:AF288" si="60">U286+U287</f>
        <v>0</v>
      </c>
      <c r="V288" s="66">
        <f t="shared" si="60"/>
        <v>0</v>
      </c>
      <c r="W288" s="66">
        <f t="shared" si="60"/>
        <v>0</v>
      </c>
      <c r="X288" s="66">
        <f t="shared" si="60"/>
        <v>0</v>
      </c>
      <c r="Y288" s="66">
        <f t="shared" si="60"/>
        <v>0</v>
      </c>
      <c r="Z288" s="66">
        <f t="shared" si="60"/>
        <v>0</v>
      </c>
      <c r="AA288" s="66">
        <f t="shared" si="60"/>
        <v>0</v>
      </c>
      <c r="AB288" s="66">
        <f t="shared" si="60"/>
        <v>0</v>
      </c>
      <c r="AC288" s="66">
        <f t="shared" si="60"/>
        <v>0</v>
      </c>
      <c r="AD288" s="66">
        <f t="shared" si="60"/>
        <v>0</v>
      </c>
      <c r="AE288" s="66">
        <f t="shared" si="60"/>
        <v>0</v>
      </c>
      <c r="AF288" s="66">
        <f t="shared" si="60"/>
        <v>0</v>
      </c>
      <c r="AG288" s="93">
        <f>SUM(F288:AF288)</f>
        <v>88769.709368599651</v>
      </c>
      <c r="AH288" s="30" t="str">
        <f>IF(ABS(E288-AG288)&lt;0.01,"ok","err")</f>
        <v>ok</v>
      </c>
    </row>
    <row r="289" spans="1:34" x14ac:dyDescent="0.2">
      <c r="E289" s="234"/>
    </row>
    <row r="290" spans="1:34" x14ac:dyDescent="0.2">
      <c r="A290" s="13" t="s">
        <v>3</v>
      </c>
      <c r="E290" s="234"/>
    </row>
    <row r="291" spans="1:34" x14ac:dyDescent="0.2">
      <c r="A291" s="96" t="s">
        <v>209</v>
      </c>
      <c r="C291" s="14" t="s">
        <v>317</v>
      </c>
      <c r="D291" s="14" t="s">
        <v>699</v>
      </c>
      <c r="E291" s="233">
        <f>'Func &amp; Classif'!R316</f>
        <v>0</v>
      </c>
      <c r="F291" s="66">
        <f>IF(VLOOKUP($D291,$C$5:$AU$503,3,)=0,0,(VLOOKUP($D291,$C$5:$AU$503,4,)/VLOOKUP($D291,$C$5:$AU$503,3,))*$E291)</f>
        <v>0</v>
      </c>
      <c r="G291" s="66">
        <f>IF(VLOOKUP($D291,$C$5:$AU$503,3,)=0,0,(VLOOKUP($D291,$C$5:$AU$503,5,)/VLOOKUP($D291,$C$5:$AU$503,3,))*$E291)</f>
        <v>0</v>
      </c>
      <c r="H291" s="66">
        <f>IF(VLOOKUP($D291,$C$5:$AU$503,3,)=0,0,(VLOOKUP($D291,$C$5:$AU$503,6,)/VLOOKUP($D291,$C$5:$AU$503,3,))*$E291)</f>
        <v>0</v>
      </c>
      <c r="I291" s="66">
        <f>IF(VLOOKUP($D291,$C$5:$AU$503,3,)=0,0,(VLOOKUP($D291,$C$5:$AU$503,7,)/VLOOKUP($D291,$C$5:$AU$503,3,))*$E291)</f>
        <v>0</v>
      </c>
      <c r="J291" s="66">
        <f>IF(VLOOKUP($D291,$C$5:$AU$503,3,)=0,0,(VLOOKUP($D291,$C$5:$AU$503,8,)/VLOOKUP($D291,$C$5:$AU$503,3,))*$E291)</f>
        <v>0</v>
      </c>
      <c r="K291" s="66">
        <f>IF(VLOOKUP($D291,$C$5:$AU$503,3,)=0,0,(VLOOKUP($D291,$C$5:$AU$503,9,)/VLOOKUP($D291,$C$5:$AU$503,3,))*$E291)</f>
        <v>0</v>
      </c>
      <c r="L291" s="66">
        <f>IF(VLOOKUP($D291,$C$5:$AU$503,3,)=0,0,(VLOOKUP($D291,$C$5:$AU$503,10,)/VLOOKUP($D291,$C$5:$AU$503,3,))*$E291)</f>
        <v>0</v>
      </c>
      <c r="M291" s="66">
        <f>IF(VLOOKUP($D291,$C$5:$AU$503,3,)=0,0,(VLOOKUP($D291,$C$5:$AU$503,11,)/VLOOKUP($D291,$C$5:$AU$503,3,))*$E291)</f>
        <v>0</v>
      </c>
      <c r="N291" s="66">
        <f>IF(VLOOKUP($D291,$C$5:$AU$503,3,)=0,0,(VLOOKUP($D291,$C$5:$AU$503,12,)/VLOOKUP($D291,$C$5:$AU$503,3,))*$E291)</f>
        <v>0</v>
      </c>
      <c r="O291" s="66">
        <f>IF(VLOOKUP($D291,$C$5:$AU$503,3,)=0,0,(VLOOKUP($D291,$C$5:$AU$503,13,)/VLOOKUP($D291,$C$5:$AU$503,3,))*$E291)</f>
        <v>0</v>
      </c>
      <c r="P291" s="66">
        <f>IF(VLOOKUP($D291,$C$5:$AU$503,3,)=0,0,(VLOOKUP($D291,$C$5:$AU$503,14,)/VLOOKUP($D291,$C$5:$AU$503,3,))*$E291)</f>
        <v>0</v>
      </c>
      <c r="Q291" s="66">
        <f>IF(VLOOKUP($D291,$C$5:$AU$503,3,)=0,0,(VLOOKUP($D291,$C$5:$AU$503,15,)/VLOOKUP($D291,$C$5:$AU$503,3,))*$E291)</f>
        <v>0</v>
      </c>
      <c r="R291" s="66">
        <f>IF(VLOOKUP($D291,$C$5:$AU$503,3,)=0,0,(VLOOKUP($D291,$C$5:$AU$503,16,)/VLOOKUP($D291,$C$5:$AU$503,3,))*$E291)</f>
        <v>0</v>
      </c>
      <c r="S291" s="66">
        <f>IF(VLOOKUP($D291,$C$5:$AU$503,3,)=0,0,(VLOOKUP($D291,$C$5:$AU$503,17,)/VLOOKUP($D291,$C$5:$AU$503,3,))*$E291)</f>
        <v>0</v>
      </c>
      <c r="T291" s="66">
        <f>IF(VLOOKUP($D291,$C$5:$AU$503,3,)=0,0,(VLOOKUP($D291,$C$5:$AU$503,18,)/VLOOKUP($D291,$C$5:$AU$503,3,))*$E291)</f>
        <v>0</v>
      </c>
      <c r="U291" s="66">
        <f>IF(VLOOKUP($D291,$C$5:$AU$503,3,)=0,0,(VLOOKUP($D291,$C$5:$AU$503,19,)/VLOOKUP($D291,$C$5:$AU$503,3,))*$E291)</f>
        <v>0</v>
      </c>
      <c r="V291" s="66">
        <f>IF(VLOOKUP($D291,$C$5:$AU$503,3,)=0,0,(VLOOKUP($D291,$C$5:$AU$503,20,)/VLOOKUP($D291,$C$5:$AU$503,3,))*$E291)</f>
        <v>0</v>
      </c>
      <c r="W291" s="66">
        <f>IF(VLOOKUP($D291,$C$5:$AU$503,3,)=0,0,(VLOOKUP($D291,$C$5:$AU$503,21,)/VLOOKUP($D291,$C$5:$AU$503,3,))*$E291)</f>
        <v>0</v>
      </c>
      <c r="X291" s="66">
        <f>IF(VLOOKUP($D291,$C$5:$AU$503,3,)=0,0,(VLOOKUP($D291,$C$5:$AU$503,22,)/VLOOKUP($D291,$C$5:$AU$503,3,))*$E291)</f>
        <v>0</v>
      </c>
      <c r="Y291" s="66">
        <f>IF(VLOOKUP($D291,$C$5:$AU$503,3,)=0,0,(VLOOKUP($D291,$C$5:$AU$503,23,)/VLOOKUP($D291,$C$5:$AU$503,3,))*$E291)</f>
        <v>0</v>
      </c>
      <c r="Z291" s="66">
        <f>IF(VLOOKUP($D291,$C$5:$AU$503,3,)=0,0,(VLOOKUP($D291,$C$5:$AU$503,24,)/VLOOKUP($D291,$C$5:$AU$503,3,))*$E291)</f>
        <v>0</v>
      </c>
      <c r="AA291" s="66">
        <f>IF(VLOOKUP($D291,$C$5:$AU$503,3,)=0,0,(VLOOKUP($D291,$C$5:$AU$503,25,)/VLOOKUP($D291,$C$5:$AU$503,3,))*$E291)</f>
        <v>0</v>
      </c>
      <c r="AB291" s="66">
        <f>IF(VLOOKUP($D291,$C$5:$AU$503,3,)=0,0,(VLOOKUP($D291,$C$5:$AU$503,26,)/VLOOKUP($D291,$C$5:$AU$503,3,))*$E291)</f>
        <v>0</v>
      </c>
      <c r="AC291" s="66">
        <f>IF(VLOOKUP($D291,$C$5:$AU$503,3,)=0,0,(VLOOKUP($D291,$C$5:$AU$503,27,)/VLOOKUP($D291,$C$5:$AU$503,3,))*$E291)</f>
        <v>0</v>
      </c>
      <c r="AD291" s="66">
        <f>IF(VLOOKUP($D291,$C$5:$AU$503,3,)=0,0,(VLOOKUP($D291,$C$5:$AU$503,28,)/VLOOKUP($D291,$C$5:$AU$503,3,))*$E291)</f>
        <v>0</v>
      </c>
      <c r="AE291" s="66">
        <f>IF(VLOOKUP($D291,$C$5:$AU$503,3,)=0,0,(VLOOKUP($D291,$C$5:$AU$503,29,)/VLOOKUP($D291,$C$5:$AU$503,3,))*$E291)</f>
        <v>0</v>
      </c>
      <c r="AF291" s="66">
        <f>IF(VLOOKUP($D291,$C$5:$AU$503,3,)=0,0,(VLOOKUP($D291,$C$5:$AU$503,30,)/VLOOKUP($D291,$C$5:$AU$503,3,))*$E291)</f>
        <v>0</v>
      </c>
      <c r="AG291" s="93">
        <f>SUM(F291:AF291)</f>
        <v>0</v>
      </c>
      <c r="AH291" s="30" t="str">
        <f>IF(ABS(E291-AG291)&lt;0.01,"ok","err")</f>
        <v>ok</v>
      </c>
    </row>
    <row r="292" spans="1:34" x14ac:dyDescent="0.2">
      <c r="A292" s="96" t="s">
        <v>221</v>
      </c>
      <c r="C292" s="14" t="s">
        <v>318</v>
      </c>
      <c r="D292" s="14" t="s">
        <v>699</v>
      </c>
      <c r="E292" s="234">
        <f>'Func &amp; Classif'!S316</f>
        <v>14692.404285788085</v>
      </c>
      <c r="F292" s="66">
        <f>IF(VLOOKUP($D292,$C$5:$AU$503,3,)=0,0,(VLOOKUP($D292,$C$5:$AU$503,4,)/VLOOKUP($D292,$C$5:$AU$503,3,))*$E292)</f>
        <v>13504.51489795905</v>
      </c>
      <c r="G292" s="66">
        <f>IF(VLOOKUP($D292,$C$5:$AU$503,3,)=0,0,(VLOOKUP($D292,$C$5:$AU$503,5,)/VLOOKUP($D292,$C$5:$AU$503,3,))*$E292)</f>
        <v>1010.8325036089971</v>
      </c>
      <c r="H292" s="66">
        <f>IF(VLOOKUP($D292,$C$5:$AU$503,3,)=0,0,(VLOOKUP($D292,$C$5:$AU$503,6,)/VLOOKUP($D292,$C$5:$AU$503,3,))*$E292)</f>
        <v>146.73952860917143</v>
      </c>
      <c r="I292" s="66">
        <f>IF(VLOOKUP($D292,$C$5:$AU$503,3,)=0,0,(VLOOKUP($D292,$C$5:$AU$503,7,)/VLOOKUP($D292,$C$5:$AU$503,3,))*$E292)</f>
        <v>0.32901239598468934</v>
      </c>
      <c r="J292" s="66">
        <f>IF(VLOOKUP($D292,$C$5:$AU$503,3,)=0,0,(VLOOKUP($D292,$C$5:$AU$503,8,)/VLOOKUP($D292,$C$5:$AU$503,3,))*$E292)</f>
        <v>0.86712378622844077</v>
      </c>
      <c r="K292" s="66">
        <f>IF(VLOOKUP($D292,$C$5:$AU$503,3,)=0,0,(VLOOKUP($D292,$C$5:$AU$503,9,)/VLOOKUP($D292,$C$5:$AU$503,3,))*$E292)</f>
        <v>1.1208155767542205</v>
      </c>
      <c r="L292" s="66">
        <f>IF(VLOOKUP($D292,$C$5:$AU$503,3,)=0,0,(VLOOKUP($D292,$C$5:$AU$503,10,)/VLOOKUP($D292,$C$5:$AU$503,3,))*$E292)</f>
        <v>17.683979099899926</v>
      </c>
      <c r="M292" s="66">
        <f>IF(VLOOKUP($D292,$C$5:$AU$503,3,)=0,0,(VLOOKUP($D292,$C$5:$AU$503,11,)/VLOOKUP($D292,$C$5:$AU$503,3,))*$E292)</f>
        <v>2.1170960894246389</v>
      </c>
      <c r="N292" s="66">
        <f>IF(VLOOKUP($D292,$C$5:$AU$503,3,)=0,0,(VLOOKUP($D292,$C$5:$AU$503,12,)/VLOOKUP($D292,$C$5:$AU$503,3,))*$E292)</f>
        <v>8.199328662576681</v>
      </c>
      <c r="O292" s="66">
        <f>IF(VLOOKUP($D292,$C$5:$AU$503,3,)=0,0,(VLOOKUP($D292,$C$5:$AU$503,13,)/VLOOKUP($D292,$C$5:$AU$503,3,))*$E292)</f>
        <v>0</v>
      </c>
      <c r="P292" s="66">
        <f>IF(VLOOKUP($D292,$C$5:$AU$503,3,)=0,0,(VLOOKUP($D292,$C$5:$AU$503,14,)/VLOOKUP($D292,$C$5:$AU$503,3,))*$E292)</f>
        <v>0</v>
      </c>
      <c r="Q292" s="66">
        <f>IF(VLOOKUP($D292,$C$5:$AU$503,3,)=0,0,(VLOOKUP($D292,$C$5:$AU$503,15,)/VLOOKUP($D292,$C$5:$AU$503,3,))*$E292)</f>
        <v>0</v>
      </c>
      <c r="R292" s="66">
        <f>IF(VLOOKUP($D292,$C$5:$AU$503,3,)=0,0,(VLOOKUP($D292,$C$5:$AU$503,16,)/VLOOKUP($D292,$C$5:$AU$503,3,))*$E292)</f>
        <v>0</v>
      </c>
      <c r="S292" s="66">
        <f>IF(VLOOKUP($D292,$C$5:$AU$503,3,)=0,0,(VLOOKUP($D292,$C$5:$AU$503,17,)/VLOOKUP($D292,$C$5:$AU$503,3,))*$E292)</f>
        <v>0</v>
      </c>
      <c r="T292" s="66">
        <f>IF(VLOOKUP($D292,$C$5:$AU$503,3,)=0,0,(VLOOKUP($D292,$C$5:$AU$503,18,)/VLOOKUP($D292,$C$5:$AU$503,3,))*$E292)</f>
        <v>0</v>
      </c>
      <c r="U292" s="66">
        <f>IF(VLOOKUP($D292,$C$5:$AU$503,3,)=0,0,(VLOOKUP($D292,$C$5:$AU$503,19,)/VLOOKUP($D292,$C$5:$AU$503,3,))*$E292)</f>
        <v>0</v>
      </c>
      <c r="V292" s="66">
        <f>IF(VLOOKUP($D292,$C$5:$AU$503,3,)=0,0,(VLOOKUP($D292,$C$5:$AU$503,20,)/VLOOKUP($D292,$C$5:$AU$503,3,))*$E292)</f>
        <v>0</v>
      </c>
      <c r="W292" s="66">
        <f>IF(VLOOKUP($D292,$C$5:$AU$503,3,)=0,0,(VLOOKUP($D292,$C$5:$AU$503,21,)/VLOOKUP($D292,$C$5:$AU$503,3,))*$E292)</f>
        <v>0</v>
      </c>
      <c r="X292" s="66">
        <f>IF(VLOOKUP($D292,$C$5:$AU$503,3,)=0,0,(VLOOKUP($D292,$C$5:$AU$503,22,)/VLOOKUP($D292,$C$5:$AU$503,3,))*$E292)</f>
        <v>0</v>
      </c>
      <c r="Y292" s="66">
        <f>IF(VLOOKUP($D292,$C$5:$AU$503,3,)=0,0,(VLOOKUP($D292,$C$5:$AU$503,23,)/VLOOKUP($D292,$C$5:$AU$503,3,))*$E292)</f>
        <v>0</v>
      </c>
      <c r="Z292" s="66">
        <f>IF(VLOOKUP($D292,$C$5:$AU$503,3,)=0,0,(VLOOKUP($D292,$C$5:$AU$503,24,)/VLOOKUP($D292,$C$5:$AU$503,3,))*$E292)</f>
        <v>0</v>
      </c>
      <c r="AA292" s="66">
        <f>IF(VLOOKUP($D292,$C$5:$AU$503,3,)=0,0,(VLOOKUP($D292,$C$5:$AU$503,25,)/VLOOKUP($D292,$C$5:$AU$503,3,))*$E292)</f>
        <v>0</v>
      </c>
      <c r="AB292" s="66">
        <f>IF(VLOOKUP($D292,$C$5:$AU$503,3,)=0,0,(VLOOKUP($D292,$C$5:$AU$503,26,)/VLOOKUP($D292,$C$5:$AU$503,3,))*$E292)</f>
        <v>0</v>
      </c>
      <c r="AC292" s="66">
        <f>IF(VLOOKUP($D292,$C$5:$AU$503,3,)=0,0,(VLOOKUP($D292,$C$5:$AU$503,27,)/VLOOKUP($D292,$C$5:$AU$503,3,))*$E292)</f>
        <v>0</v>
      </c>
      <c r="AD292" s="66">
        <f>IF(VLOOKUP($D292,$C$5:$AU$503,3,)=0,0,(VLOOKUP($D292,$C$5:$AU$503,28,)/VLOOKUP($D292,$C$5:$AU$503,3,))*$E292)</f>
        <v>0</v>
      </c>
      <c r="AE292" s="66">
        <f>IF(VLOOKUP($D292,$C$5:$AU$503,3,)=0,0,(VLOOKUP($D292,$C$5:$AU$503,29,)/VLOOKUP($D292,$C$5:$AU$503,3,))*$E292)</f>
        <v>0</v>
      </c>
      <c r="AF292" s="66">
        <f>IF(VLOOKUP($D292,$C$5:$AU$503,3,)=0,0,(VLOOKUP($D292,$C$5:$AU$503,30,)/VLOOKUP($D292,$C$5:$AU$503,3,))*$E292)</f>
        <v>0</v>
      </c>
      <c r="AG292" s="93">
        <f>SUM(F292:AF292)</f>
        <v>14692.404285788089</v>
      </c>
      <c r="AH292" s="30" t="str">
        <f>IF(ABS(E292-AG292)&lt;0.01,"ok","err")</f>
        <v>ok</v>
      </c>
    </row>
    <row r="293" spans="1:34" x14ac:dyDescent="0.2">
      <c r="A293" s="14" t="s">
        <v>228</v>
      </c>
      <c r="E293" s="233">
        <f t="shared" ref="E293:T293" si="61">E291+E292</f>
        <v>14692.404285788085</v>
      </c>
      <c r="F293" s="66">
        <f t="shared" si="61"/>
        <v>13504.51489795905</v>
      </c>
      <c r="G293" s="66">
        <f t="shared" si="61"/>
        <v>1010.8325036089971</v>
      </c>
      <c r="H293" s="66">
        <f t="shared" si="61"/>
        <v>146.73952860917143</v>
      </c>
      <c r="I293" s="66">
        <f t="shared" si="61"/>
        <v>0.32901239598468934</v>
      </c>
      <c r="J293" s="66">
        <f t="shared" si="61"/>
        <v>0.86712378622844077</v>
      </c>
      <c r="K293" s="66">
        <f t="shared" si="61"/>
        <v>1.1208155767542205</v>
      </c>
      <c r="L293" s="66">
        <f t="shared" si="61"/>
        <v>17.683979099899926</v>
      </c>
      <c r="M293" s="66">
        <f t="shared" si="61"/>
        <v>2.1170960894246389</v>
      </c>
      <c r="N293" s="66">
        <f t="shared" si="61"/>
        <v>8.199328662576681</v>
      </c>
      <c r="O293" s="66">
        <f t="shared" si="61"/>
        <v>0</v>
      </c>
      <c r="P293" s="66">
        <f t="shared" si="61"/>
        <v>0</v>
      </c>
      <c r="Q293" s="66">
        <f t="shared" si="61"/>
        <v>0</v>
      </c>
      <c r="R293" s="66">
        <f t="shared" si="61"/>
        <v>0</v>
      </c>
      <c r="S293" s="66">
        <f t="shared" si="61"/>
        <v>0</v>
      </c>
      <c r="T293" s="66">
        <f t="shared" si="61"/>
        <v>0</v>
      </c>
      <c r="U293" s="66">
        <f t="shared" ref="U293:AF293" si="62">U291+U292</f>
        <v>0</v>
      </c>
      <c r="V293" s="66">
        <f t="shared" si="62"/>
        <v>0</v>
      </c>
      <c r="W293" s="66">
        <f t="shared" si="62"/>
        <v>0</v>
      </c>
      <c r="X293" s="66">
        <f t="shared" si="62"/>
        <v>0</v>
      </c>
      <c r="Y293" s="66">
        <f t="shared" si="62"/>
        <v>0</v>
      </c>
      <c r="Z293" s="66">
        <f t="shared" si="62"/>
        <v>0</v>
      </c>
      <c r="AA293" s="66">
        <f t="shared" si="62"/>
        <v>0</v>
      </c>
      <c r="AB293" s="66">
        <f t="shared" si="62"/>
        <v>0</v>
      </c>
      <c r="AC293" s="66">
        <f t="shared" si="62"/>
        <v>0</v>
      </c>
      <c r="AD293" s="66">
        <f t="shared" si="62"/>
        <v>0</v>
      </c>
      <c r="AE293" s="66">
        <f t="shared" si="62"/>
        <v>0</v>
      </c>
      <c r="AF293" s="66">
        <f t="shared" si="62"/>
        <v>0</v>
      </c>
      <c r="AG293" s="93">
        <f>SUM(F293:AF293)</f>
        <v>14692.404285788089</v>
      </c>
      <c r="AH293" s="30" t="str">
        <f>IF(ABS(E293-AG293)&lt;0.01,"ok","err")</f>
        <v>ok</v>
      </c>
    </row>
    <row r="294" spans="1:34" x14ac:dyDescent="0.2">
      <c r="E294" s="234"/>
    </row>
    <row r="295" spans="1:34" x14ac:dyDescent="0.2">
      <c r="A295" s="13" t="s">
        <v>4</v>
      </c>
      <c r="E295" s="234"/>
    </row>
    <row r="296" spans="1:34" x14ac:dyDescent="0.2">
      <c r="A296" s="96" t="s">
        <v>221</v>
      </c>
      <c r="C296" s="14" t="s">
        <v>319</v>
      </c>
      <c r="D296" s="14" t="s">
        <v>230</v>
      </c>
      <c r="E296" s="233">
        <f>'Func &amp; Classif'!U316</f>
        <v>6392.6610702797061</v>
      </c>
      <c r="F296" s="66">
        <f>IF(VLOOKUP($D296,$C$5:$AU$503,3,)=0,0,(VLOOKUP($D296,$C$5:$AU$503,4,)/VLOOKUP($D296,$C$5:$AU$503,3,))*$E296)</f>
        <v>4183.1138135754654</v>
      </c>
      <c r="G296" s="66">
        <f>IF(VLOOKUP($D296,$C$5:$AU$503,3,)=0,0,(VLOOKUP($D296,$C$5:$AU$503,5,)/VLOOKUP($D296,$C$5:$AU$503,3,))*$E296)</f>
        <v>1712.5316436160278</v>
      </c>
      <c r="H296" s="66">
        <f>IF(VLOOKUP($D296,$C$5:$AU$503,3,)=0,0,(VLOOKUP($D296,$C$5:$AU$503,6,)/VLOOKUP($D296,$C$5:$AU$503,3,))*$E296)</f>
        <v>393.73284932340306</v>
      </c>
      <c r="I296" s="66">
        <f>IF(VLOOKUP($D296,$C$5:$AU$503,3,)=0,0,(VLOOKUP($D296,$C$5:$AU$503,7,)/VLOOKUP($D296,$C$5:$AU$503,3,))*$E296)</f>
        <v>3.9847655542232872</v>
      </c>
      <c r="J296" s="66">
        <f>IF(VLOOKUP($D296,$C$5:$AU$503,3,)=0,0,(VLOOKUP($D296,$C$5:$AU$503,8,)/VLOOKUP($D296,$C$5:$AU$503,3,))*$E296)</f>
        <v>7.9695311084465743</v>
      </c>
      <c r="K296" s="66">
        <f>IF(VLOOKUP($D296,$C$5:$AU$503,3,)=0,0,(VLOOKUP($D296,$C$5:$AU$503,9,)/VLOOKUP($D296,$C$5:$AU$503,3,))*$E296)</f>
        <v>35.862889988009584</v>
      </c>
      <c r="L296" s="66">
        <f>IF(VLOOKUP($D296,$C$5:$AU$503,3,)=0,0,(VLOOKUP($D296,$C$5:$AU$503,10,)/VLOOKUP($D296,$C$5:$AU$503,3,))*$E296)</f>
        <v>37.97062124169085</v>
      </c>
      <c r="M296" s="66">
        <f>IF(VLOOKUP($D296,$C$5:$AU$503,3,)=0,0,(VLOOKUP($D296,$C$5:$AU$503,11,)/VLOOKUP($D296,$C$5:$AU$503,3,))*$E296)</f>
        <v>15.00775434640774</v>
      </c>
      <c r="N296" s="66">
        <f>IF(VLOOKUP($D296,$C$5:$AU$503,3,)=0,0,(VLOOKUP($D296,$C$5:$AU$503,12,)/VLOOKUP($D296,$C$5:$AU$503,3,))*$E296)</f>
        <v>2.4872015260324631</v>
      </c>
      <c r="O296" s="66">
        <f>IF(VLOOKUP($D296,$C$5:$AU$503,3,)=0,0,(VLOOKUP($D296,$C$5:$AU$503,13,)/VLOOKUP($D296,$C$5:$AU$503,3,))*$E296)</f>
        <v>0</v>
      </c>
      <c r="P296" s="66">
        <f>IF(VLOOKUP($D296,$C$5:$AU$503,3,)=0,0,(VLOOKUP($D296,$C$5:$AU$503,14,)/VLOOKUP($D296,$C$5:$AU$503,3,))*$E296)</f>
        <v>0</v>
      </c>
      <c r="Q296" s="66">
        <f>IF(VLOOKUP($D296,$C$5:$AU$503,3,)=0,0,(VLOOKUP($D296,$C$5:$AU$503,15,)/VLOOKUP($D296,$C$5:$AU$503,3,))*$E296)</f>
        <v>0</v>
      </c>
      <c r="R296" s="66">
        <f>IF(VLOOKUP($D296,$C$5:$AU$503,3,)=0,0,(VLOOKUP($D296,$C$5:$AU$503,16,)/VLOOKUP($D296,$C$5:$AU$503,3,))*$E296)</f>
        <v>0</v>
      </c>
      <c r="S296" s="66">
        <f>IF(VLOOKUP($D296,$C$5:$AU$503,3,)=0,0,(VLOOKUP($D296,$C$5:$AU$503,17,)/VLOOKUP($D296,$C$5:$AU$503,3,))*$E296)</f>
        <v>0</v>
      </c>
      <c r="T296" s="66">
        <f>IF(VLOOKUP($D296,$C$5:$AU$503,3,)=0,0,(VLOOKUP($D296,$C$5:$AU$503,18,)/VLOOKUP($D296,$C$5:$AU$503,3,))*$E296)</f>
        <v>0</v>
      </c>
      <c r="U296" s="66">
        <f>IF(VLOOKUP($D296,$C$5:$AU$503,3,)=0,0,(VLOOKUP($D296,$C$5:$AU$503,19,)/VLOOKUP($D296,$C$5:$AU$503,3,))*$E296)</f>
        <v>0</v>
      </c>
      <c r="V296" s="66">
        <f>IF(VLOOKUP($D296,$C$5:$AU$503,3,)=0,0,(VLOOKUP($D296,$C$5:$AU$503,20,)/VLOOKUP($D296,$C$5:$AU$503,3,))*$E296)</f>
        <v>0</v>
      </c>
      <c r="W296" s="66">
        <f>IF(VLOOKUP($D296,$C$5:$AU$503,3,)=0,0,(VLOOKUP($D296,$C$5:$AU$503,21,)/VLOOKUP($D296,$C$5:$AU$503,3,))*$E296)</f>
        <v>0</v>
      </c>
      <c r="X296" s="66">
        <f>IF(VLOOKUP($D296,$C$5:$AU$503,3,)=0,0,(VLOOKUP($D296,$C$5:$AU$503,22,)/VLOOKUP($D296,$C$5:$AU$503,3,))*$E296)</f>
        <v>0</v>
      </c>
      <c r="Y296" s="66">
        <f>IF(VLOOKUP($D296,$C$5:$AU$503,3,)=0,0,(VLOOKUP($D296,$C$5:$AU$503,23,)/VLOOKUP($D296,$C$5:$AU$503,3,))*$E296)</f>
        <v>0</v>
      </c>
      <c r="Z296" s="66">
        <f>IF(VLOOKUP($D296,$C$5:$AU$503,3,)=0,0,(VLOOKUP($D296,$C$5:$AU$503,24,)/VLOOKUP($D296,$C$5:$AU$503,3,))*$E296)</f>
        <v>0</v>
      </c>
      <c r="AA296" s="66">
        <f>IF(VLOOKUP($D296,$C$5:$AU$503,3,)=0,0,(VLOOKUP($D296,$C$5:$AU$503,25,)/VLOOKUP($D296,$C$5:$AU$503,3,))*$E296)</f>
        <v>0</v>
      </c>
      <c r="AB296" s="66">
        <f>IF(VLOOKUP($D296,$C$5:$AU$503,3,)=0,0,(VLOOKUP($D296,$C$5:$AU$503,26,)/VLOOKUP($D296,$C$5:$AU$503,3,))*$E296)</f>
        <v>0</v>
      </c>
      <c r="AC296" s="66">
        <f>IF(VLOOKUP($D296,$C$5:$AU$503,3,)=0,0,(VLOOKUP($D296,$C$5:$AU$503,27,)/VLOOKUP($D296,$C$5:$AU$503,3,))*$E296)</f>
        <v>0</v>
      </c>
      <c r="AD296" s="66">
        <f>IF(VLOOKUP($D296,$C$5:$AU$503,3,)=0,0,(VLOOKUP($D296,$C$5:$AU$503,28,)/VLOOKUP($D296,$C$5:$AU$503,3,))*$E296)</f>
        <v>0</v>
      </c>
      <c r="AE296" s="66">
        <f>IF(VLOOKUP($D296,$C$5:$AU$503,3,)=0,0,(VLOOKUP($D296,$C$5:$AU$503,29,)/VLOOKUP($D296,$C$5:$AU$503,3,))*$E296)</f>
        <v>0</v>
      </c>
      <c r="AF296" s="66">
        <f>IF(VLOOKUP($D296,$C$5:$AU$503,3,)=0,0,(VLOOKUP($D296,$C$5:$AU$503,30,)/VLOOKUP($D296,$C$5:$AU$503,3,))*$E296)</f>
        <v>0</v>
      </c>
      <c r="AG296" s="93">
        <f>SUM(F296:AF296)</f>
        <v>6392.6610702797061</v>
      </c>
      <c r="AH296" s="30" t="str">
        <f>IF(ABS(E296-AG296)&lt;0.01,"ok","err")</f>
        <v>ok</v>
      </c>
    </row>
    <row r="297" spans="1:34" x14ac:dyDescent="0.2">
      <c r="E297" s="234"/>
    </row>
    <row r="298" spans="1:34" x14ac:dyDescent="0.2">
      <c r="A298" s="13" t="s">
        <v>5</v>
      </c>
      <c r="E298" s="234"/>
    </row>
    <row r="299" spans="1:34" x14ac:dyDescent="0.2">
      <c r="A299" s="96" t="s">
        <v>221</v>
      </c>
      <c r="C299" s="14" t="s">
        <v>320</v>
      </c>
      <c r="D299" s="14" t="s">
        <v>232</v>
      </c>
      <c r="E299" s="233">
        <f>'Func &amp; Classif'!W316</f>
        <v>6345.7553086473736</v>
      </c>
      <c r="F299" s="66">
        <f>IF(VLOOKUP($D299,$C$5:$AU$503,3,)=0,0,(VLOOKUP($D299,$C$5:$AU$503,4,)/VLOOKUP($D299,$C$5:$AU$503,3,))*$E299)</f>
        <v>0</v>
      </c>
      <c r="G299" s="66">
        <f>IF(VLOOKUP($D299,$C$5:$AU$503,3,)=0,0,(VLOOKUP($D299,$C$5:$AU$503,5,)/VLOOKUP($D299,$C$5:$AU$503,3,))*$E299)</f>
        <v>0</v>
      </c>
      <c r="H299" s="66">
        <f>IF(VLOOKUP($D299,$C$5:$AU$503,3,)=0,0,(VLOOKUP($D299,$C$5:$AU$503,6,)/VLOOKUP($D299,$C$5:$AU$503,3,))*$E299)</f>
        <v>0</v>
      </c>
      <c r="I299" s="66">
        <f>IF(VLOOKUP($D299,$C$5:$AU$503,3,)=0,0,(VLOOKUP($D299,$C$5:$AU$503,7,)/VLOOKUP($D299,$C$5:$AU$503,3,))*$E299)</f>
        <v>0</v>
      </c>
      <c r="J299" s="66">
        <f>IF(VLOOKUP($D299,$C$5:$AU$503,3,)=0,0,(VLOOKUP($D299,$C$5:$AU$503,8,)/VLOOKUP($D299,$C$5:$AU$503,3,))*$E299)</f>
        <v>0</v>
      </c>
      <c r="K299" s="66">
        <f>IF(VLOOKUP($D299,$C$5:$AU$503,3,)=0,0,(VLOOKUP($D299,$C$5:$AU$503,9,)/VLOOKUP($D299,$C$5:$AU$503,3,))*$E299)</f>
        <v>0</v>
      </c>
      <c r="L299" s="66">
        <f>IF(VLOOKUP($D299,$C$5:$AU$503,3,)=0,0,(VLOOKUP($D299,$C$5:$AU$503,10,)/VLOOKUP($D299,$C$5:$AU$503,3,))*$E299)</f>
        <v>0</v>
      </c>
      <c r="M299" s="66">
        <f>IF(VLOOKUP($D299,$C$5:$AU$503,3,)=0,0,(VLOOKUP($D299,$C$5:$AU$503,11,)/VLOOKUP($D299,$C$5:$AU$503,3,))*$E299)</f>
        <v>0</v>
      </c>
      <c r="N299" s="66">
        <f>IF(VLOOKUP($D299,$C$5:$AU$503,3,)=0,0,(VLOOKUP($D299,$C$5:$AU$503,12,)/VLOOKUP($D299,$C$5:$AU$503,3,))*$E299)</f>
        <v>6345.7553086473736</v>
      </c>
      <c r="O299" s="66">
        <f>IF(VLOOKUP($D299,$C$5:$AU$503,3,)=0,0,(VLOOKUP($D299,$C$5:$AU$503,13,)/VLOOKUP($D299,$C$5:$AU$503,3,))*$E299)</f>
        <v>0</v>
      </c>
      <c r="P299" s="66">
        <f>IF(VLOOKUP($D299,$C$5:$AU$503,3,)=0,0,(VLOOKUP($D299,$C$5:$AU$503,14,)/VLOOKUP($D299,$C$5:$AU$503,3,))*$E299)</f>
        <v>0</v>
      </c>
      <c r="Q299" s="66">
        <f>IF(VLOOKUP($D299,$C$5:$AU$503,3,)=0,0,(VLOOKUP($D299,$C$5:$AU$503,15,)/VLOOKUP($D299,$C$5:$AU$503,3,))*$E299)</f>
        <v>0</v>
      </c>
      <c r="R299" s="66">
        <f>IF(VLOOKUP($D299,$C$5:$AU$503,3,)=0,0,(VLOOKUP($D299,$C$5:$AU$503,16,)/VLOOKUP($D299,$C$5:$AU$503,3,))*$E299)</f>
        <v>0</v>
      </c>
      <c r="S299" s="66">
        <f>IF(VLOOKUP($D299,$C$5:$AU$503,3,)=0,0,(VLOOKUP($D299,$C$5:$AU$503,17,)/VLOOKUP($D299,$C$5:$AU$503,3,))*$E299)</f>
        <v>0</v>
      </c>
      <c r="T299" s="66">
        <f>IF(VLOOKUP($D299,$C$5:$AU$503,3,)=0,0,(VLOOKUP($D299,$C$5:$AU$503,18,)/VLOOKUP($D299,$C$5:$AU$503,3,))*$E299)</f>
        <v>0</v>
      </c>
      <c r="U299" s="66">
        <f>IF(VLOOKUP($D299,$C$5:$AU$503,3,)=0,0,(VLOOKUP($D299,$C$5:$AU$503,19,)/VLOOKUP($D299,$C$5:$AU$503,3,))*$E299)</f>
        <v>0</v>
      </c>
      <c r="V299" s="66">
        <f>IF(VLOOKUP($D299,$C$5:$AU$503,3,)=0,0,(VLOOKUP($D299,$C$5:$AU$503,20,)/VLOOKUP($D299,$C$5:$AU$503,3,))*$E299)</f>
        <v>0</v>
      </c>
      <c r="W299" s="66">
        <f>IF(VLOOKUP($D299,$C$5:$AU$503,3,)=0,0,(VLOOKUP($D299,$C$5:$AU$503,21,)/VLOOKUP($D299,$C$5:$AU$503,3,))*$E299)</f>
        <v>0</v>
      </c>
      <c r="X299" s="66">
        <f>IF(VLOOKUP($D299,$C$5:$AU$503,3,)=0,0,(VLOOKUP($D299,$C$5:$AU$503,22,)/VLOOKUP($D299,$C$5:$AU$503,3,))*$E299)</f>
        <v>0</v>
      </c>
      <c r="Y299" s="66">
        <f>IF(VLOOKUP($D299,$C$5:$AU$503,3,)=0,0,(VLOOKUP($D299,$C$5:$AU$503,23,)/VLOOKUP($D299,$C$5:$AU$503,3,))*$E299)</f>
        <v>0</v>
      </c>
      <c r="Z299" s="66">
        <f>IF(VLOOKUP($D299,$C$5:$AU$503,3,)=0,0,(VLOOKUP($D299,$C$5:$AU$503,24,)/VLOOKUP($D299,$C$5:$AU$503,3,))*$E299)</f>
        <v>0</v>
      </c>
      <c r="AA299" s="66">
        <f>IF(VLOOKUP($D299,$C$5:$AU$503,3,)=0,0,(VLOOKUP($D299,$C$5:$AU$503,25,)/VLOOKUP($D299,$C$5:$AU$503,3,))*$E299)</f>
        <v>0</v>
      </c>
      <c r="AB299" s="66">
        <f>IF(VLOOKUP($D299,$C$5:$AU$503,3,)=0,0,(VLOOKUP($D299,$C$5:$AU$503,26,)/VLOOKUP($D299,$C$5:$AU$503,3,))*$E299)</f>
        <v>0</v>
      </c>
      <c r="AC299" s="66">
        <f>IF(VLOOKUP($D299,$C$5:$AU$503,3,)=0,0,(VLOOKUP($D299,$C$5:$AU$503,27,)/VLOOKUP($D299,$C$5:$AU$503,3,))*$E299)</f>
        <v>0</v>
      </c>
      <c r="AD299" s="66">
        <f>IF(VLOOKUP($D299,$C$5:$AU$503,3,)=0,0,(VLOOKUP($D299,$C$5:$AU$503,28,)/VLOOKUP($D299,$C$5:$AU$503,3,))*$E299)</f>
        <v>0</v>
      </c>
      <c r="AE299" s="66">
        <f>IF(VLOOKUP($D299,$C$5:$AU$503,3,)=0,0,(VLOOKUP($D299,$C$5:$AU$503,29,)/VLOOKUP($D299,$C$5:$AU$503,3,))*$E299)</f>
        <v>0</v>
      </c>
      <c r="AF299" s="66">
        <f>IF(VLOOKUP($D299,$C$5:$AU$503,3,)=0,0,(VLOOKUP($D299,$C$5:$AU$503,30,)/VLOOKUP($D299,$C$5:$AU$503,3,))*$E299)</f>
        <v>0</v>
      </c>
      <c r="AG299" s="93">
        <f>SUM(F299:AF299)</f>
        <v>6345.7553086473736</v>
      </c>
      <c r="AH299" s="30" t="str">
        <f>IF(ABS(E299-AG299)&lt;0.01,"ok","err")</f>
        <v>ok</v>
      </c>
    </row>
    <row r="300" spans="1:34" x14ac:dyDescent="0.2">
      <c r="E300" s="234"/>
    </row>
    <row r="301" spans="1:34" x14ac:dyDescent="0.2">
      <c r="A301" s="13" t="s">
        <v>545</v>
      </c>
      <c r="E301" s="234"/>
    </row>
    <row r="302" spans="1:34" x14ac:dyDescent="0.2">
      <c r="A302" s="96" t="s">
        <v>221</v>
      </c>
      <c r="C302" s="14" t="s">
        <v>321</v>
      </c>
      <c r="D302" s="14" t="s">
        <v>234</v>
      </c>
      <c r="E302" s="233">
        <f>'Func &amp; Classif'!Y316</f>
        <v>0</v>
      </c>
      <c r="F302" s="66">
        <f>IF(VLOOKUP($D302,$C$5:$AU$503,3,)=0,0,(VLOOKUP($D302,$C$5:$AU$503,4,)/VLOOKUP($D302,$C$5:$AU$503,3,))*$E302)</f>
        <v>0</v>
      </c>
      <c r="G302" s="66">
        <f>IF(VLOOKUP($D302,$C$5:$AU$503,3,)=0,0,(VLOOKUP($D302,$C$5:$AU$503,5,)/VLOOKUP($D302,$C$5:$AU$503,3,))*$E302)</f>
        <v>0</v>
      </c>
      <c r="H302" s="66">
        <f>IF(VLOOKUP($D302,$C$5:$AU$503,3,)=0,0,(VLOOKUP($D302,$C$5:$AU$503,6,)/VLOOKUP($D302,$C$5:$AU$503,3,))*$E302)</f>
        <v>0</v>
      </c>
      <c r="I302" s="66">
        <f>IF(VLOOKUP($D302,$C$5:$AU$503,3,)=0,0,(VLOOKUP($D302,$C$5:$AU$503,7,)/VLOOKUP($D302,$C$5:$AU$503,3,))*$E302)</f>
        <v>0</v>
      </c>
      <c r="J302" s="66">
        <f>IF(VLOOKUP($D302,$C$5:$AU$503,3,)=0,0,(VLOOKUP($D302,$C$5:$AU$503,8,)/VLOOKUP($D302,$C$5:$AU$503,3,))*$E302)</f>
        <v>0</v>
      </c>
      <c r="K302" s="66">
        <f>IF(VLOOKUP($D302,$C$5:$AU$503,3,)=0,0,(VLOOKUP($D302,$C$5:$AU$503,9,)/VLOOKUP($D302,$C$5:$AU$503,3,))*$E302)</f>
        <v>0</v>
      </c>
      <c r="L302" s="66">
        <f>IF(VLOOKUP($D302,$C$5:$AU$503,3,)=0,0,(VLOOKUP($D302,$C$5:$AU$503,10,)/VLOOKUP($D302,$C$5:$AU$503,3,))*$E302)</f>
        <v>0</v>
      </c>
      <c r="M302" s="66">
        <f>IF(VLOOKUP($D302,$C$5:$AU$503,3,)=0,0,(VLOOKUP($D302,$C$5:$AU$503,11,)/VLOOKUP($D302,$C$5:$AU$503,3,))*$E302)</f>
        <v>0</v>
      </c>
      <c r="N302" s="66">
        <f>IF(VLOOKUP($D302,$C$5:$AU$503,3,)=0,0,(VLOOKUP($D302,$C$5:$AU$503,12,)/VLOOKUP($D302,$C$5:$AU$503,3,))*$E302)</f>
        <v>0</v>
      </c>
      <c r="O302" s="66">
        <f>IF(VLOOKUP($D302,$C$5:$AU$503,3,)=0,0,(VLOOKUP($D302,$C$5:$AU$503,13,)/VLOOKUP($D302,$C$5:$AU$503,3,))*$E302)</f>
        <v>0</v>
      </c>
      <c r="P302" s="66">
        <f>IF(VLOOKUP($D302,$C$5:$AU$503,3,)=0,0,(VLOOKUP($D302,$C$5:$AU$503,14,)/VLOOKUP($D302,$C$5:$AU$503,3,))*$E302)</f>
        <v>0</v>
      </c>
      <c r="Q302" s="66">
        <f>IF(VLOOKUP($D302,$C$5:$AU$503,3,)=0,0,(VLOOKUP($D302,$C$5:$AU$503,15,)/VLOOKUP($D302,$C$5:$AU$503,3,))*$E302)</f>
        <v>0</v>
      </c>
      <c r="R302" s="66">
        <f>IF(VLOOKUP($D302,$C$5:$AU$503,3,)=0,0,(VLOOKUP($D302,$C$5:$AU$503,16,)/VLOOKUP($D302,$C$5:$AU$503,3,))*$E302)</f>
        <v>0</v>
      </c>
      <c r="S302" s="66">
        <f>IF(VLOOKUP($D302,$C$5:$AU$503,3,)=0,0,(VLOOKUP($D302,$C$5:$AU$503,17,)/VLOOKUP($D302,$C$5:$AU$503,3,))*$E302)</f>
        <v>0</v>
      </c>
      <c r="T302" s="66">
        <f>IF(VLOOKUP($D302,$C$5:$AU$503,3,)=0,0,(VLOOKUP($D302,$C$5:$AU$503,18,)/VLOOKUP($D302,$C$5:$AU$503,3,))*$E302)</f>
        <v>0</v>
      </c>
      <c r="U302" s="66">
        <f>IF(VLOOKUP($D302,$C$5:$AU$503,3,)=0,0,(VLOOKUP($D302,$C$5:$AU$503,19,)/VLOOKUP($D302,$C$5:$AU$503,3,))*$E302)</f>
        <v>0</v>
      </c>
      <c r="V302" s="66">
        <f>IF(VLOOKUP($D302,$C$5:$AU$503,3,)=0,0,(VLOOKUP($D302,$C$5:$AU$503,20,)/VLOOKUP($D302,$C$5:$AU$503,3,))*$E302)</f>
        <v>0</v>
      </c>
      <c r="W302" s="66">
        <f>IF(VLOOKUP($D302,$C$5:$AU$503,3,)=0,0,(VLOOKUP($D302,$C$5:$AU$503,21,)/VLOOKUP($D302,$C$5:$AU$503,3,))*$E302)</f>
        <v>0</v>
      </c>
      <c r="X302" s="66">
        <f>IF(VLOOKUP($D302,$C$5:$AU$503,3,)=0,0,(VLOOKUP($D302,$C$5:$AU$503,22,)/VLOOKUP($D302,$C$5:$AU$503,3,))*$E302)</f>
        <v>0</v>
      </c>
      <c r="Y302" s="66">
        <f>IF(VLOOKUP($D302,$C$5:$AU$503,3,)=0,0,(VLOOKUP($D302,$C$5:$AU$503,23,)/VLOOKUP($D302,$C$5:$AU$503,3,))*$E302)</f>
        <v>0</v>
      </c>
      <c r="Z302" s="66">
        <f>IF(VLOOKUP($D302,$C$5:$AU$503,3,)=0,0,(VLOOKUP($D302,$C$5:$AU$503,24,)/VLOOKUP($D302,$C$5:$AU$503,3,))*$E302)</f>
        <v>0</v>
      </c>
      <c r="AA302" s="66">
        <f>IF(VLOOKUP($D302,$C$5:$AU$503,3,)=0,0,(VLOOKUP($D302,$C$5:$AU$503,25,)/VLOOKUP($D302,$C$5:$AU$503,3,))*$E302)</f>
        <v>0</v>
      </c>
      <c r="AB302" s="66">
        <f>IF(VLOOKUP($D302,$C$5:$AU$503,3,)=0,0,(VLOOKUP($D302,$C$5:$AU$503,26,)/VLOOKUP($D302,$C$5:$AU$503,3,))*$E302)</f>
        <v>0</v>
      </c>
      <c r="AC302" s="66">
        <f>IF(VLOOKUP($D302,$C$5:$AU$503,3,)=0,0,(VLOOKUP($D302,$C$5:$AU$503,27,)/VLOOKUP($D302,$C$5:$AU$503,3,))*$E302)</f>
        <v>0</v>
      </c>
      <c r="AD302" s="66">
        <f>IF(VLOOKUP($D302,$C$5:$AU$503,3,)=0,0,(VLOOKUP($D302,$C$5:$AU$503,28,)/VLOOKUP($D302,$C$5:$AU$503,3,))*$E302)</f>
        <v>0</v>
      </c>
      <c r="AE302" s="66">
        <f>IF(VLOOKUP($D302,$C$5:$AU$503,3,)=0,0,(VLOOKUP($D302,$C$5:$AU$503,29,)/VLOOKUP($D302,$C$5:$AU$503,3,))*$E302)</f>
        <v>0</v>
      </c>
      <c r="AF302" s="66">
        <f>IF(VLOOKUP($D302,$C$5:$AU$503,3,)=0,0,(VLOOKUP($D302,$C$5:$AU$503,30,)/VLOOKUP($D302,$C$5:$AU$503,3,))*$E302)</f>
        <v>0</v>
      </c>
      <c r="AG302" s="93">
        <f>SUM(F302:AF302)</f>
        <v>0</v>
      </c>
      <c r="AH302" s="30" t="str">
        <f>IF(ABS(E302-AG302)&lt;0.01,"ok","err")</f>
        <v>ok</v>
      </c>
    </row>
    <row r="303" spans="1:34" x14ac:dyDescent="0.2">
      <c r="E303" s="234"/>
    </row>
    <row r="304" spans="1:34" x14ac:dyDescent="0.2">
      <c r="A304" s="13" t="s">
        <v>470</v>
      </c>
      <c r="E304" s="234"/>
    </row>
    <row r="305" spans="1:41" x14ac:dyDescent="0.2">
      <c r="A305" s="96" t="s">
        <v>221</v>
      </c>
      <c r="C305" s="14" t="s">
        <v>318</v>
      </c>
      <c r="D305" s="14" t="s">
        <v>235</v>
      </c>
      <c r="E305" s="233">
        <f>'Func &amp; Classif'!AA316</f>
        <v>0</v>
      </c>
      <c r="F305" s="66">
        <f>IF(VLOOKUP($D305,$C$5:$AU$503,3,)=0,0,(VLOOKUP($D305,$C$5:$AU$503,4,)/VLOOKUP($D305,$C$5:$AU$503,3,))*$E305)</f>
        <v>0</v>
      </c>
      <c r="G305" s="66">
        <f>IF(VLOOKUP($D305,$C$5:$AU$503,3,)=0,0,(VLOOKUP($D305,$C$5:$AU$503,5,)/VLOOKUP($D305,$C$5:$AU$503,3,))*$E305)</f>
        <v>0</v>
      </c>
      <c r="H305" s="66">
        <f>IF(VLOOKUP($D305,$C$5:$AU$503,3,)=0,0,(VLOOKUP($D305,$C$5:$AU$503,6,)/VLOOKUP($D305,$C$5:$AU$503,3,))*$E305)</f>
        <v>0</v>
      </c>
      <c r="I305" s="66">
        <f>IF(VLOOKUP($D305,$C$5:$AU$503,3,)=0,0,(VLOOKUP($D305,$C$5:$AU$503,7,)/VLOOKUP($D305,$C$5:$AU$503,3,))*$E305)</f>
        <v>0</v>
      </c>
      <c r="J305" s="66">
        <f>IF(VLOOKUP($D305,$C$5:$AU$503,3,)=0,0,(VLOOKUP($D305,$C$5:$AU$503,8,)/VLOOKUP($D305,$C$5:$AU$503,3,))*$E305)</f>
        <v>0</v>
      </c>
      <c r="K305" s="66">
        <f>IF(VLOOKUP($D305,$C$5:$AU$503,3,)=0,0,(VLOOKUP($D305,$C$5:$AU$503,9,)/VLOOKUP($D305,$C$5:$AU$503,3,))*$E305)</f>
        <v>0</v>
      </c>
      <c r="L305" s="66">
        <f>IF(VLOOKUP($D305,$C$5:$AU$503,3,)=0,0,(VLOOKUP($D305,$C$5:$AU$503,10,)/VLOOKUP($D305,$C$5:$AU$503,3,))*$E305)</f>
        <v>0</v>
      </c>
      <c r="M305" s="66">
        <f>IF(VLOOKUP($D305,$C$5:$AU$503,3,)=0,0,(VLOOKUP($D305,$C$5:$AU$503,11,)/VLOOKUP($D305,$C$5:$AU$503,3,))*$E305)</f>
        <v>0</v>
      </c>
      <c r="N305" s="66">
        <f>IF(VLOOKUP($D305,$C$5:$AU$503,3,)=0,0,(VLOOKUP($D305,$C$5:$AU$503,12,)/VLOOKUP($D305,$C$5:$AU$503,3,))*$E305)</f>
        <v>0</v>
      </c>
      <c r="O305" s="66">
        <f>IF(VLOOKUP($D305,$C$5:$AU$503,3,)=0,0,(VLOOKUP($D305,$C$5:$AU$503,13,)/VLOOKUP($D305,$C$5:$AU$503,3,))*$E305)</f>
        <v>0</v>
      </c>
      <c r="P305" s="66">
        <f>IF(VLOOKUP($D305,$C$5:$AU$503,3,)=0,0,(VLOOKUP($D305,$C$5:$AU$503,14,)/VLOOKUP($D305,$C$5:$AU$503,3,))*$E305)</f>
        <v>0</v>
      </c>
      <c r="Q305" s="66">
        <f>IF(VLOOKUP($D305,$C$5:$AU$503,3,)=0,0,(VLOOKUP($D305,$C$5:$AU$503,15,)/VLOOKUP($D305,$C$5:$AU$503,3,))*$E305)</f>
        <v>0</v>
      </c>
      <c r="R305" s="66">
        <f>IF(VLOOKUP($D305,$C$5:$AU$503,3,)=0,0,(VLOOKUP($D305,$C$5:$AU$503,16,)/VLOOKUP($D305,$C$5:$AU$503,3,))*$E305)</f>
        <v>0</v>
      </c>
      <c r="S305" s="66">
        <f>IF(VLOOKUP($D305,$C$5:$AU$503,3,)=0,0,(VLOOKUP($D305,$C$5:$AU$503,17,)/VLOOKUP($D305,$C$5:$AU$503,3,))*$E305)</f>
        <v>0</v>
      </c>
      <c r="T305" s="66">
        <f>IF(VLOOKUP($D305,$C$5:$AU$503,3,)=0,0,(VLOOKUP($D305,$C$5:$AU$503,18,)/VLOOKUP($D305,$C$5:$AU$503,3,))*$E305)</f>
        <v>0</v>
      </c>
      <c r="U305" s="66">
        <f>IF(VLOOKUP($D305,$C$5:$AU$503,3,)=0,0,(VLOOKUP($D305,$C$5:$AU$503,19,)/VLOOKUP($D305,$C$5:$AU$503,3,))*$E305)</f>
        <v>0</v>
      </c>
      <c r="V305" s="66">
        <f>IF(VLOOKUP($D305,$C$5:$AU$503,3,)=0,0,(VLOOKUP($D305,$C$5:$AU$503,20,)/VLOOKUP($D305,$C$5:$AU$503,3,))*$E305)</f>
        <v>0</v>
      </c>
      <c r="W305" s="66">
        <f>IF(VLOOKUP($D305,$C$5:$AU$503,3,)=0,0,(VLOOKUP($D305,$C$5:$AU$503,21,)/VLOOKUP($D305,$C$5:$AU$503,3,))*$E305)</f>
        <v>0</v>
      </c>
      <c r="X305" s="66">
        <f>IF(VLOOKUP($D305,$C$5:$AU$503,3,)=0,0,(VLOOKUP($D305,$C$5:$AU$503,22,)/VLOOKUP($D305,$C$5:$AU$503,3,))*$E305)</f>
        <v>0</v>
      </c>
      <c r="Y305" s="66">
        <f>IF(VLOOKUP($D305,$C$5:$AU$503,3,)=0,0,(VLOOKUP($D305,$C$5:$AU$503,23,)/VLOOKUP($D305,$C$5:$AU$503,3,))*$E305)</f>
        <v>0</v>
      </c>
      <c r="Z305" s="66">
        <f>IF(VLOOKUP($D305,$C$5:$AU$503,3,)=0,0,(VLOOKUP($D305,$C$5:$AU$503,24,)/VLOOKUP($D305,$C$5:$AU$503,3,))*$E305)</f>
        <v>0</v>
      </c>
      <c r="AA305" s="66">
        <f>IF(VLOOKUP($D305,$C$5:$AU$503,3,)=0,0,(VLOOKUP($D305,$C$5:$AU$503,25,)/VLOOKUP($D305,$C$5:$AU$503,3,))*$E305)</f>
        <v>0</v>
      </c>
      <c r="AB305" s="66">
        <f>IF(VLOOKUP($D305,$C$5:$AU$503,3,)=0,0,(VLOOKUP($D305,$C$5:$AU$503,26,)/VLOOKUP($D305,$C$5:$AU$503,3,))*$E305)</f>
        <v>0</v>
      </c>
      <c r="AC305" s="66">
        <f>IF(VLOOKUP($D305,$C$5:$AU$503,3,)=0,0,(VLOOKUP($D305,$C$5:$AU$503,27,)/VLOOKUP($D305,$C$5:$AU$503,3,))*$E305)</f>
        <v>0</v>
      </c>
      <c r="AD305" s="66">
        <f>IF(VLOOKUP($D305,$C$5:$AU$503,3,)=0,0,(VLOOKUP($D305,$C$5:$AU$503,28,)/VLOOKUP($D305,$C$5:$AU$503,3,))*$E305)</f>
        <v>0</v>
      </c>
      <c r="AE305" s="66">
        <f>IF(VLOOKUP($D305,$C$5:$AU$503,3,)=0,0,(VLOOKUP($D305,$C$5:$AU$503,29,)/VLOOKUP($D305,$C$5:$AU$503,3,))*$E305)</f>
        <v>0</v>
      </c>
      <c r="AF305" s="66">
        <f>IF(VLOOKUP($D305,$C$5:$AU$503,3,)=0,0,(VLOOKUP($D305,$C$5:$AU$503,30,)/VLOOKUP($D305,$C$5:$AU$503,3,))*$E305)</f>
        <v>0</v>
      </c>
      <c r="AG305" s="93">
        <f>SUM(F305:AF305)</f>
        <v>0</v>
      </c>
      <c r="AH305" s="30" t="str">
        <f>IF(ABS(E305-AG305)&lt;0.01,"ok","err")</f>
        <v>ok</v>
      </c>
    </row>
    <row r="306" spans="1:41" x14ac:dyDescent="0.2">
      <c r="E306" s="234"/>
    </row>
    <row r="307" spans="1:41" x14ac:dyDescent="0.2">
      <c r="A307" s="14" t="s">
        <v>0</v>
      </c>
      <c r="C307" s="14" t="s">
        <v>322</v>
      </c>
      <c r="E307" s="233">
        <f>E277+E280+E283+E288+E293+E296+E299+E302+E305</f>
        <v>116630.40000000002</v>
      </c>
      <c r="F307" s="66">
        <f t="shared" ref="F307:R307" si="63">F277+F280+F283+F288+F293+F296+F299+F302+F305</f>
        <v>92446.483115730633</v>
      </c>
      <c r="G307" s="66">
        <f t="shared" si="63"/>
        <v>8134.3067044820418</v>
      </c>
      <c r="H307" s="66">
        <f t="shared" si="63"/>
        <v>5459.169684003652</v>
      </c>
      <c r="I307" s="66">
        <f t="shared" si="63"/>
        <v>166.84729062703025</v>
      </c>
      <c r="J307" s="66">
        <f t="shared" si="63"/>
        <v>1300.6628228504615</v>
      </c>
      <c r="K307" s="66">
        <f t="shared" si="63"/>
        <v>1442.3384762019377</v>
      </c>
      <c r="L307" s="66">
        <f t="shared" si="63"/>
        <v>640.82456576983145</v>
      </c>
      <c r="M307" s="66">
        <f t="shared" si="63"/>
        <v>391.93295912956802</v>
      </c>
      <c r="N307" s="66">
        <f t="shared" si="63"/>
        <v>6647.8343812048342</v>
      </c>
      <c r="O307" s="66">
        <f t="shared" si="63"/>
        <v>0</v>
      </c>
      <c r="P307" s="66">
        <f t="shared" si="63"/>
        <v>0</v>
      </c>
      <c r="Q307" s="66">
        <f t="shared" si="63"/>
        <v>0</v>
      </c>
      <c r="R307" s="66">
        <f t="shared" si="63"/>
        <v>0</v>
      </c>
      <c r="S307" s="66">
        <f t="shared" ref="S307:AF307" si="64">S277+S283+S288+S293+S296+S299+S302+S305</f>
        <v>0</v>
      </c>
      <c r="T307" s="66">
        <f t="shared" si="64"/>
        <v>0</v>
      </c>
      <c r="U307" s="66">
        <f t="shared" si="64"/>
        <v>0</v>
      </c>
      <c r="V307" s="66">
        <f t="shared" si="64"/>
        <v>0</v>
      </c>
      <c r="W307" s="66">
        <f t="shared" si="64"/>
        <v>0</v>
      </c>
      <c r="X307" s="66">
        <f t="shared" si="64"/>
        <v>0</v>
      </c>
      <c r="Y307" s="66">
        <f t="shared" si="64"/>
        <v>0</v>
      </c>
      <c r="Z307" s="66">
        <f t="shared" si="64"/>
        <v>0</v>
      </c>
      <c r="AA307" s="66">
        <f t="shared" si="64"/>
        <v>0</v>
      </c>
      <c r="AB307" s="66">
        <f t="shared" si="64"/>
        <v>0</v>
      </c>
      <c r="AC307" s="66">
        <f t="shared" si="64"/>
        <v>0</v>
      </c>
      <c r="AD307" s="66">
        <f t="shared" si="64"/>
        <v>0</v>
      </c>
      <c r="AE307" s="66">
        <f t="shared" si="64"/>
        <v>0</v>
      </c>
      <c r="AF307" s="66">
        <f t="shared" si="64"/>
        <v>0</v>
      </c>
      <c r="AG307" s="93">
        <f>SUM(F307:AF307)</f>
        <v>116630.39999999998</v>
      </c>
      <c r="AH307" s="30" t="str">
        <f>IF(ABS(E307-AG307)&lt;0.01,"ok","err")</f>
        <v>ok</v>
      </c>
    </row>
    <row r="308" spans="1:41" x14ac:dyDescent="0.2">
      <c r="E308" s="233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93"/>
      <c r="AH308" s="30"/>
    </row>
    <row r="309" spans="1:41" x14ac:dyDescent="0.2">
      <c r="E309" s="233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93"/>
      <c r="AH309" s="30"/>
    </row>
    <row r="310" spans="1:41" x14ac:dyDescent="0.2">
      <c r="A310" s="28" t="s">
        <v>581</v>
      </c>
    </row>
    <row r="311" spans="1:41" x14ac:dyDescent="0.2">
      <c r="E311" s="226"/>
    </row>
    <row r="312" spans="1:41" x14ac:dyDescent="0.2">
      <c r="A312" s="13" t="s">
        <v>323</v>
      </c>
      <c r="E312" s="235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AJ312" s="90"/>
      <c r="AK312" s="176"/>
      <c r="AL312" s="90"/>
      <c r="AM312" s="90"/>
      <c r="AN312" s="90"/>
      <c r="AO312" s="90"/>
    </row>
    <row r="313" spans="1:41" x14ac:dyDescent="0.2">
      <c r="A313" s="14" t="s">
        <v>763</v>
      </c>
      <c r="C313" s="14" t="s">
        <v>324</v>
      </c>
      <c r="D313" s="14" t="s">
        <v>561</v>
      </c>
      <c r="E313" s="233">
        <f>'Billing Det'!E25</f>
        <v>149668025.12000006</v>
      </c>
      <c r="F313" s="66">
        <f>IF(VLOOKUP($D313,$C$5:$AU$503,3,)=0,0,(VLOOKUP($D313,$C$5:$AU$503,4,)/VLOOKUP($D313,$C$5:$AU$503,3,))*$E313)</f>
        <v>98317802.830000028</v>
      </c>
      <c r="G313" s="66">
        <f>IF(VLOOKUP($D313,$C$5:$AU$503,3,)=0,0,(VLOOKUP($D313,$C$5:$AU$503,5,)/VLOOKUP($D313,$C$5:$AU$503,3,))*$E313)</f>
        <v>10181475.759999998</v>
      </c>
      <c r="H313" s="66">
        <f>IF(VLOOKUP($D313,$C$5:$AU$503,3,)=0,0,(VLOOKUP($D313,$C$5:$AU$503,6,)/VLOOKUP($D313,$C$5:$AU$503,3,))*$E313)</f>
        <v>19913480.189999998</v>
      </c>
      <c r="I313" s="66">
        <f>IF(VLOOKUP($D313,$C$5:$AU$503,3,)=0,0,(VLOOKUP($D313,$C$5:$AU$503,7,)/VLOOKUP($D313,$C$5:$AU$503,3,))*$E313)</f>
        <v>851695.84000000008</v>
      </c>
      <c r="J313" s="66">
        <f>IF(VLOOKUP($D313,$C$5:$AU$503,3,)=0,0,(VLOOKUP($D313,$C$5:$AU$503,8,)/VLOOKUP($D313,$C$5:$AU$503,3,))*$E313)</f>
        <v>6421394.1199999992</v>
      </c>
      <c r="K313" s="66">
        <f>IF(VLOOKUP($D313,$C$5:$AU$503,3,)=0,0,(VLOOKUP($D313,$C$5:$AU$503,9,)/VLOOKUP($D313,$C$5:$AU$503,3,))*$E313)</f>
        <v>6850007.7399999993</v>
      </c>
      <c r="L313" s="66">
        <f>IF(VLOOKUP($D313,$C$5:$AU$503,3,)=0,0,(VLOOKUP($D313,$C$5:$AU$503,10,)/VLOOKUP($D313,$C$5:$AU$503,3,))*$E313)</f>
        <v>1666788.1599999997</v>
      </c>
      <c r="M313" s="66">
        <f>IF(VLOOKUP($D313,$C$5:$AU$503,3,)=0,0,(VLOOKUP($D313,$C$5:$AU$503,11,)/VLOOKUP($D313,$C$5:$AU$503,3,))*$E313)</f>
        <v>1119040.3600000001</v>
      </c>
      <c r="N313" s="66">
        <f>IF(VLOOKUP($D313,$C$5:$AU$503,3,)=0,0,(VLOOKUP($D313,$C$5:$AU$503,12,)/VLOOKUP($D313,$C$5:$AU$503,3,))*$E313)</f>
        <v>4346340.12</v>
      </c>
      <c r="O313" s="66">
        <f>IF(VLOOKUP($D313,$C$5:$AU$503,3,)=0,0,(VLOOKUP($D313,$C$5:$AU$503,13,)/VLOOKUP($D313,$C$5:$AU$503,3,))*$E313)</f>
        <v>0</v>
      </c>
      <c r="P313" s="66">
        <f>IF(VLOOKUP($D313,$C$5:$AU$503,3,)=0,0,(VLOOKUP($D313,$C$5:$AU$503,14,)/VLOOKUP($D313,$C$5:$AU$503,3,))*$E313)</f>
        <v>0</v>
      </c>
      <c r="Q313" s="66">
        <f>IF(VLOOKUP($D313,$C$5:$AU$503,3,)=0,0,(VLOOKUP($D313,$C$5:$AU$503,15,)/VLOOKUP($D313,$C$5:$AU$503,3,))*$E313)</f>
        <v>0</v>
      </c>
      <c r="R313" s="66">
        <f>IF(VLOOKUP($D313,$C$5:$AU$503,3,)=0,0,(VLOOKUP($D313,$C$5:$AU$503,16,)/VLOOKUP($D313,$C$5:$AU$503,3,))*$E313)</f>
        <v>0</v>
      </c>
      <c r="S313" s="66">
        <f>IF(VLOOKUP($D313,$C$5:$AU$503,3,)=0,0,(VLOOKUP($D313,$C$5:$AU$503,17,)/VLOOKUP($D313,$C$5:$AU$503,3,))*$E313)</f>
        <v>0</v>
      </c>
      <c r="T313" s="66">
        <f>IF(VLOOKUP($D313,$C$5:$AU$503,3,)=0,0,(VLOOKUP($D313,$C$5:$AU$503,18,)/VLOOKUP($D313,$C$5:$AU$503,3,))*$E313)</f>
        <v>0</v>
      </c>
      <c r="U313" s="66">
        <f>IF(VLOOKUP($D313,$C$5:$AU$503,3,)=0,0,(VLOOKUP($D313,$C$5:$AU$503,19,)/VLOOKUP($D313,$C$5:$AU$503,3,))*$E313)</f>
        <v>0</v>
      </c>
      <c r="V313" s="66">
        <f>IF(VLOOKUP($D313,$C$5:$AU$503,3,)=0,0,(VLOOKUP($D313,$C$5:$AU$503,20,)/VLOOKUP($D313,$C$5:$AU$503,3,))*$E313)</f>
        <v>0</v>
      </c>
      <c r="W313" s="66">
        <f>IF(VLOOKUP($D313,$C$5:$AU$503,3,)=0,0,(VLOOKUP($D313,$C$5:$AU$503,21,)/VLOOKUP($D313,$C$5:$AU$503,3,))*$E313)</f>
        <v>0</v>
      </c>
      <c r="X313" s="66">
        <f>IF(VLOOKUP($D313,$C$5:$AU$503,3,)=0,0,(VLOOKUP($D313,$C$5:$AU$503,22,)/VLOOKUP($D313,$C$5:$AU$503,3,))*$E313)</f>
        <v>0</v>
      </c>
      <c r="Y313" s="66">
        <f>IF(VLOOKUP($D313,$C$5:$AU$503,3,)=0,0,(VLOOKUP($D313,$C$5:$AU$503,23,)/VLOOKUP($D313,$C$5:$AU$503,3,))*$E313)</f>
        <v>0</v>
      </c>
      <c r="Z313" s="66">
        <f>IF(VLOOKUP($D313,$C$5:$AU$503,3,)=0,0,(VLOOKUP($D313,$C$5:$AU$503,24,)/VLOOKUP($D313,$C$5:$AU$503,3,))*$E313)</f>
        <v>0</v>
      </c>
      <c r="AA313" s="66">
        <f>IF(VLOOKUP($D313,$C$5:$AU$503,3,)=0,0,(VLOOKUP($D313,$C$5:$AU$503,25,)/VLOOKUP($D313,$C$5:$AU$503,3,))*$E313)</f>
        <v>0</v>
      </c>
      <c r="AB313" s="66">
        <f>IF(VLOOKUP($D313,$C$5:$AU$503,3,)=0,0,(VLOOKUP($D313,$C$5:$AU$503,26,)/VLOOKUP($D313,$C$5:$AU$503,3,))*$E313)</f>
        <v>0</v>
      </c>
      <c r="AC313" s="66">
        <f>IF(VLOOKUP($D313,$C$5:$AU$503,3,)=0,0,(VLOOKUP($D313,$C$5:$AU$503,27,)/VLOOKUP($D313,$C$5:$AU$503,3,))*$E313)</f>
        <v>0</v>
      </c>
      <c r="AD313" s="66">
        <f>IF(VLOOKUP($D313,$C$5:$AU$503,3,)=0,0,(VLOOKUP($D313,$C$5:$AU$503,28,)/VLOOKUP($D313,$C$5:$AU$503,3,))*$E313)</f>
        <v>0</v>
      </c>
      <c r="AE313" s="66">
        <f>IF(VLOOKUP($D313,$C$5:$AU$503,3,)=0,0,(VLOOKUP($D313,$C$5:$AU$503,29,)/VLOOKUP($D313,$C$5:$AU$503,3,))*$E313)</f>
        <v>0</v>
      </c>
      <c r="AF313" s="66">
        <f>IF(VLOOKUP($D313,$C$5:$AU$503,3,)=0,0,(VLOOKUP($D313,$C$5:$AU$503,30,)/VLOOKUP($D313,$C$5:$AU$503,3,))*$E313)</f>
        <v>0</v>
      </c>
      <c r="AG313" s="93">
        <f t="shared" ref="AG313:AG314" si="65">SUM(F313:AF313)</f>
        <v>149668025.12000006</v>
      </c>
      <c r="AH313" s="30" t="str">
        <f t="shared" ref="AH313:AH314" si="66">IF(ABS(E313-AG313)&lt;0.01,"ok","err")</f>
        <v>ok</v>
      </c>
      <c r="AJ313" s="79"/>
      <c r="AK313" s="79"/>
      <c r="AL313" s="79"/>
      <c r="AM313" s="79"/>
      <c r="AN313" s="79"/>
      <c r="AO313" s="79"/>
    </row>
    <row r="314" spans="1:41" x14ac:dyDescent="0.2">
      <c r="A314" s="14" t="s">
        <v>764</v>
      </c>
      <c r="D314" s="14" t="s">
        <v>747</v>
      </c>
      <c r="E314" s="233">
        <v>4236134.49</v>
      </c>
      <c r="F314" s="66">
        <f>IF(VLOOKUP($D314,$C$5:$AU$503,3,)=0,0,(VLOOKUP($D314,$C$5:$AU$503,4,)/VLOOKUP($D314,$C$5:$AU$503,3,))*$E314)</f>
        <v>3893640.5653701788</v>
      </c>
      <c r="G314" s="66">
        <f>IF(VLOOKUP($D314,$C$5:$AU$503,3,)=0,0,(VLOOKUP($D314,$C$5:$AU$503,5,)/VLOOKUP($D314,$C$5:$AU$503,3,))*$E314)</f>
        <v>291444.63689262269</v>
      </c>
      <c r="H314" s="66">
        <f>IF(VLOOKUP($D314,$C$5:$AU$503,3,)=0,0,(VLOOKUP($D314,$C$5:$AU$503,6,)/VLOOKUP($D314,$C$5:$AU$503,3,))*$E314)</f>
        <v>42308.145494535063</v>
      </c>
      <c r="I314" s="66">
        <f>IF(VLOOKUP($D314,$C$5:$AU$503,3,)=0,0,(VLOOKUP($D314,$C$5:$AU$503,7,)/VLOOKUP($D314,$C$5:$AU$503,3,))*$E314)</f>
        <v>94.861312768015836</v>
      </c>
      <c r="J314" s="66">
        <f>IF(VLOOKUP($D314,$C$5:$AU$503,3,)=0,0,(VLOOKUP($D314,$C$5:$AU$503,8,)/VLOOKUP($D314,$C$5:$AU$503,3,))*$E314)</f>
        <v>250.01033911752691</v>
      </c>
      <c r="K314" s="66">
        <f>IF(VLOOKUP($D314,$C$5:$AU$503,3,)=0,0,(VLOOKUP($D314,$C$5:$AU$503,9,)/VLOOKUP($D314,$C$5:$AU$503,3,))*$E314)</f>
        <v>323.15510989650949</v>
      </c>
      <c r="L314" s="66">
        <f>IF(VLOOKUP($D314,$C$5:$AU$503,3,)=0,0,(VLOOKUP($D314,$C$5:$AU$503,10,)/VLOOKUP($D314,$C$5:$AU$503,3,))*$E314)</f>
        <v>5098.6695117004829</v>
      </c>
      <c r="M314" s="66">
        <f>IF(VLOOKUP($D314,$C$5:$AU$503,3,)=0,0,(VLOOKUP($D314,$C$5:$AU$503,11,)/VLOOKUP($D314,$C$5:$AU$503,3,))*$E314)</f>
        <v>610.40409647118463</v>
      </c>
      <c r="N314" s="66">
        <f>IF(VLOOKUP($D314,$C$5:$AU$503,3,)=0,0,(VLOOKUP($D314,$C$5:$AU$503,12,)/VLOOKUP($D314,$C$5:$AU$503,3,))*$E314)</f>
        <v>2364.0418727099832</v>
      </c>
      <c r="O314" s="66">
        <f>IF(VLOOKUP($D314,$C$5:$AU$503,3,)=0,0,(VLOOKUP($D314,$C$5:$AU$503,13,)/VLOOKUP($D314,$C$5:$AU$503,3,))*$E314)</f>
        <v>0</v>
      </c>
      <c r="P314" s="66">
        <f>IF(VLOOKUP($D314,$C$5:$AU$503,3,)=0,0,(VLOOKUP($D314,$C$5:$AU$503,14,)/VLOOKUP($D314,$C$5:$AU$503,3,))*$E314)</f>
        <v>0</v>
      </c>
      <c r="Q314" s="66">
        <f>IF(VLOOKUP($D314,$C$5:$AU$503,3,)=0,0,(VLOOKUP($D314,$C$5:$AU$503,15,)/VLOOKUP($D314,$C$5:$AU$503,3,))*$E314)</f>
        <v>0</v>
      </c>
      <c r="R314" s="66">
        <f>IF(VLOOKUP($D314,$C$5:$AU$503,3,)=0,0,(VLOOKUP($D314,$C$5:$AU$503,16,)/VLOOKUP($D314,$C$5:$AU$503,3,))*$E314)</f>
        <v>0</v>
      </c>
      <c r="S314" s="66">
        <f>IF(VLOOKUP($D314,$C$5:$AU$503,3,)=0,0,(VLOOKUP($D314,$C$5:$AU$503,17,)/VLOOKUP($D314,$C$5:$AU$503,3,))*$E314)</f>
        <v>0</v>
      </c>
      <c r="T314" s="66">
        <f>IF(VLOOKUP($D314,$C$5:$AU$503,3,)=0,0,(VLOOKUP($D314,$C$5:$AU$503,18,)/VLOOKUP($D314,$C$5:$AU$503,3,))*$E314)</f>
        <v>0</v>
      </c>
      <c r="U314" s="66">
        <f>IF(VLOOKUP($D314,$C$5:$AU$503,3,)=0,0,(VLOOKUP($D314,$C$5:$AU$503,19,)/VLOOKUP($D314,$C$5:$AU$503,3,))*$E314)</f>
        <v>0</v>
      </c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93">
        <f t="shared" si="65"/>
        <v>4236134.49</v>
      </c>
      <c r="AH314" s="30" t="str">
        <f t="shared" si="66"/>
        <v>ok</v>
      </c>
      <c r="AJ314" s="79"/>
      <c r="AK314" s="79"/>
      <c r="AL314" s="79"/>
      <c r="AM314" s="79"/>
      <c r="AN314" s="79"/>
      <c r="AO314" s="79"/>
    </row>
    <row r="315" spans="1:41" x14ac:dyDescent="0.2">
      <c r="AG315" s="93"/>
    </row>
    <row r="316" spans="1:41" x14ac:dyDescent="0.2">
      <c r="A316" s="14" t="s">
        <v>325</v>
      </c>
      <c r="C316" s="14" t="s">
        <v>326</v>
      </c>
      <c r="E316" s="226">
        <f t="shared" ref="E316:AF316" si="67">SUM(E313:E315)</f>
        <v>153904159.61000007</v>
      </c>
      <c r="F316" s="93">
        <f t="shared" si="67"/>
        <v>102211443.3953702</v>
      </c>
      <c r="G316" s="93">
        <f t="shared" si="67"/>
        <v>10472920.39689262</v>
      </c>
      <c r="H316" s="93">
        <f t="shared" si="67"/>
        <v>19955788.335494533</v>
      </c>
      <c r="I316" s="93">
        <f t="shared" si="67"/>
        <v>851790.70131276816</v>
      </c>
      <c r="J316" s="93">
        <f t="shared" si="67"/>
        <v>6421644.1303391168</v>
      </c>
      <c r="K316" s="93">
        <f t="shared" si="67"/>
        <v>6850330.8951098956</v>
      </c>
      <c r="L316" s="93">
        <f t="shared" si="67"/>
        <v>1671886.8295117002</v>
      </c>
      <c r="M316" s="93">
        <f t="shared" si="67"/>
        <v>1119650.7640964712</v>
      </c>
      <c r="N316" s="93">
        <f t="shared" si="67"/>
        <v>4348704.1618727101</v>
      </c>
      <c r="O316" s="93">
        <f t="shared" si="67"/>
        <v>0</v>
      </c>
      <c r="P316" s="93">
        <f t="shared" si="67"/>
        <v>0</v>
      </c>
      <c r="Q316" s="93">
        <f t="shared" si="67"/>
        <v>0</v>
      </c>
      <c r="R316" s="93">
        <f t="shared" si="67"/>
        <v>0</v>
      </c>
      <c r="S316" s="93">
        <f t="shared" si="67"/>
        <v>0</v>
      </c>
      <c r="T316" s="93">
        <f t="shared" si="67"/>
        <v>0</v>
      </c>
      <c r="U316" s="93">
        <f t="shared" si="67"/>
        <v>0</v>
      </c>
      <c r="V316" s="93">
        <f t="shared" si="67"/>
        <v>0</v>
      </c>
      <c r="W316" s="93">
        <f t="shared" si="67"/>
        <v>0</v>
      </c>
      <c r="X316" s="93">
        <f t="shared" si="67"/>
        <v>0</v>
      </c>
      <c r="Y316" s="93">
        <f t="shared" si="67"/>
        <v>0</v>
      </c>
      <c r="Z316" s="93">
        <f t="shared" si="67"/>
        <v>0</v>
      </c>
      <c r="AA316" s="93">
        <f t="shared" si="67"/>
        <v>0</v>
      </c>
      <c r="AB316" s="93">
        <f t="shared" si="67"/>
        <v>0</v>
      </c>
      <c r="AC316" s="93">
        <f t="shared" si="67"/>
        <v>0</v>
      </c>
      <c r="AD316" s="93">
        <f t="shared" si="67"/>
        <v>0</v>
      </c>
      <c r="AE316" s="93">
        <f t="shared" si="67"/>
        <v>0</v>
      </c>
      <c r="AF316" s="93">
        <f t="shared" si="67"/>
        <v>0</v>
      </c>
      <c r="AG316" s="93">
        <f>SUM(F316:AF316)</f>
        <v>153904159.61000001</v>
      </c>
      <c r="AH316" s="30" t="str">
        <f>IF(ABS(E316-AG316)&lt;0.01,"ok","err")</f>
        <v>ok</v>
      </c>
    </row>
    <row r="318" spans="1:41" x14ac:dyDescent="0.2">
      <c r="A318" s="13" t="s">
        <v>327</v>
      </c>
      <c r="AJ318" s="90"/>
      <c r="AK318" s="176"/>
      <c r="AL318" s="90"/>
      <c r="AM318" s="90"/>
      <c r="AN318" s="90"/>
      <c r="AO318" s="90"/>
    </row>
    <row r="319" spans="1:41" x14ac:dyDescent="0.2">
      <c r="A319" s="96" t="s">
        <v>328</v>
      </c>
      <c r="E319" s="226">
        <f t="shared" ref="E319:AF319" si="68">E155</f>
        <v>141123429.34600005</v>
      </c>
      <c r="F319" s="93">
        <f t="shared" si="68"/>
        <v>100300161.27749009</v>
      </c>
      <c r="G319" s="93">
        <f t="shared" si="68"/>
        <v>6879198.5786439767</v>
      </c>
      <c r="H319" s="93">
        <f t="shared" si="68"/>
        <v>17201961.654668048</v>
      </c>
      <c r="I319" s="93">
        <f t="shared" si="68"/>
        <v>772877.37463915162</v>
      </c>
      <c r="J319" s="93">
        <f t="shared" si="68"/>
        <v>5982013.3345473949</v>
      </c>
      <c r="K319" s="93">
        <f t="shared" si="68"/>
        <v>6380601.0071332548</v>
      </c>
      <c r="L319" s="93">
        <f t="shared" si="68"/>
        <v>1197821.2819699133</v>
      </c>
      <c r="M319" s="93">
        <f t="shared" si="68"/>
        <v>1001233.4006733692</v>
      </c>
      <c r="N319" s="93">
        <f t="shared" si="68"/>
        <v>1407561.4362348171</v>
      </c>
      <c r="O319" s="93">
        <f t="shared" si="68"/>
        <v>0</v>
      </c>
      <c r="P319" s="93">
        <f t="shared" si="68"/>
        <v>0</v>
      </c>
      <c r="Q319" s="93">
        <f t="shared" si="68"/>
        <v>0</v>
      </c>
      <c r="R319" s="93">
        <f t="shared" si="68"/>
        <v>0</v>
      </c>
      <c r="S319" s="93">
        <f t="shared" si="68"/>
        <v>0</v>
      </c>
      <c r="T319" s="93">
        <f t="shared" si="68"/>
        <v>0</v>
      </c>
      <c r="U319" s="93">
        <f t="shared" si="68"/>
        <v>0</v>
      </c>
      <c r="V319" s="93">
        <f t="shared" si="68"/>
        <v>0</v>
      </c>
      <c r="W319" s="93">
        <f t="shared" si="68"/>
        <v>0</v>
      </c>
      <c r="X319" s="93">
        <f t="shared" si="68"/>
        <v>0</v>
      </c>
      <c r="Y319" s="93">
        <f t="shared" si="68"/>
        <v>0</v>
      </c>
      <c r="Z319" s="93">
        <f t="shared" si="68"/>
        <v>0</v>
      </c>
      <c r="AA319" s="93">
        <f t="shared" si="68"/>
        <v>0</v>
      </c>
      <c r="AB319" s="93">
        <f t="shared" si="68"/>
        <v>0</v>
      </c>
      <c r="AC319" s="93">
        <f t="shared" si="68"/>
        <v>0</v>
      </c>
      <c r="AD319" s="93">
        <f t="shared" si="68"/>
        <v>0</v>
      </c>
      <c r="AE319" s="93">
        <f t="shared" si="68"/>
        <v>0</v>
      </c>
      <c r="AF319" s="93">
        <f t="shared" si="68"/>
        <v>0</v>
      </c>
      <c r="AG319" s="93">
        <f>SUM(F319:AF319)</f>
        <v>141123429.34600002</v>
      </c>
      <c r="AH319" s="30" t="str">
        <f>IF(ABS(E319-AG319)&lt;0.01,"ok","err")</f>
        <v>ok</v>
      </c>
      <c r="AJ319" s="79"/>
      <c r="AK319" s="79"/>
      <c r="AL319" s="79"/>
      <c r="AM319" s="79"/>
      <c r="AN319" s="79"/>
      <c r="AO319" s="79"/>
    </row>
    <row r="320" spans="1:41" x14ac:dyDescent="0.2">
      <c r="A320" s="96" t="s">
        <v>329</v>
      </c>
      <c r="E320" s="234">
        <f t="shared" ref="E320:AF320" si="69">E231</f>
        <v>10543105.700000003</v>
      </c>
      <c r="F320" s="50">
        <f t="shared" si="69"/>
        <v>8356938.1832044963</v>
      </c>
      <c r="G320" s="50">
        <f t="shared" si="69"/>
        <v>735321.62610753998</v>
      </c>
      <c r="H320" s="50">
        <f t="shared" si="69"/>
        <v>493495.71820628352</v>
      </c>
      <c r="I320" s="50">
        <f t="shared" si="69"/>
        <v>15082.590995481452</v>
      </c>
      <c r="J320" s="50">
        <f t="shared" si="69"/>
        <v>117576.76919030372</v>
      </c>
      <c r="K320" s="50">
        <f t="shared" si="69"/>
        <v>130383.90513771684</v>
      </c>
      <c r="L320" s="50">
        <f t="shared" si="69"/>
        <v>57928.988771949145</v>
      </c>
      <c r="M320" s="50">
        <f t="shared" si="69"/>
        <v>35429.79030695957</v>
      </c>
      <c r="N320" s="50">
        <f t="shared" si="69"/>
        <v>600948.12807927164</v>
      </c>
      <c r="O320" s="50">
        <f t="shared" si="69"/>
        <v>0</v>
      </c>
      <c r="P320" s="50">
        <f t="shared" si="69"/>
        <v>0</v>
      </c>
      <c r="Q320" s="50">
        <f t="shared" si="69"/>
        <v>0</v>
      </c>
      <c r="R320" s="50">
        <f t="shared" si="69"/>
        <v>0</v>
      </c>
      <c r="S320" s="50">
        <f t="shared" si="69"/>
        <v>0</v>
      </c>
      <c r="T320" s="50">
        <f t="shared" si="69"/>
        <v>0</v>
      </c>
      <c r="U320" s="50">
        <f t="shared" si="69"/>
        <v>0</v>
      </c>
      <c r="V320" s="50">
        <f t="shared" si="69"/>
        <v>0</v>
      </c>
      <c r="W320" s="50">
        <f t="shared" si="69"/>
        <v>0</v>
      </c>
      <c r="X320" s="50">
        <f t="shared" si="69"/>
        <v>0</v>
      </c>
      <c r="Y320" s="50">
        <f t="shared" si="69"/>
        <v>0</v>
      </c>
      <c r="Z320" s="50">
        <f t="shared" si="69"/>
        <v>0</v>
      </c>
      <c r="AA320" s="50">
        <f t="shared" si="69"/>
        <v>0</v>
      </c>
      <c r="AB320" s="50">
        <f t="shared" si="69"/>
        <v>0</v>
      </c>
      <c r="AC320" s="50">
        <f t="shared" si="69"/>
        <v>0</v>
      </c>
      <c r="AD320" s="50">
        <f t="shared" si="69"/>
        <v>0</v>
      </c>
      <c r="AE320" s="50">
        <f t="shared" si="69"/>
        <v>0</v>
      </c>
      <c r="AF320" s="50">
        <f t="shared" si="69"/>
        <v>0</v>
      </c>
      <c r="AG320" s="93">
        <f>SUM(F320:AF320)</f>
        <v>10543105.700000001</v>
      </c>
      <c r="AH320" s="30" t="str">
        <f>IF(ABS(E320-AG320)&lt;0.01,"ok","err")</f>
        <v>ok</v>
      </c>
      <c r="AJ320" s="79"/>
      <c r="AK320" s="79"/>
      <c r="AL320" s="79"/>
      <c r="AM320" s="79"/>
      <c r="AN320" s="79"/>
      <c r="AO320" s="79"/>
    </row>
    <row r="321" spans="1:41" x14ac:dyDescent="0.2">
      <c r="A321" s="96" t="s">
        <v>330</v>
      </c>
      <c r="D321" s="14" t="s">
        <v>248</v>
      </c>
      <c r="E321" s="234">
        <f t="shared" ref="E321:AF321" si="70">E269</f>
        <v>0</v>
      </c>
      <c r="F321" s="50">
        <f t="shared" si="70"/>
        <v>0</v>
      </c>
      <c r="G321" s="50">
        <f t="shared" si="70"/>
        <v>0</v>
      </c>
      <c r="H321" s="50">
        <f t="shared" si="70"/>
        <v>0</v>
      </c>
      <c r="I321" s="50">
        <f t="shared" si="70"/>
        <v>0</v>
      </c>
      <c r="J321" s="50">
        <f t="shared" si="70"/>
        <v>0</v>
      </c>
      <c r="K321" s="50">
        <f t="shared" si="70"/>
        <v>0</v>
      </c>
      <c r="L321" s="50">
        <f t="shared" si="70"/>
        <v>0</v>
      </c>
      <c r="M321" s="50">
        <f t="shared" si="70"/>
        <v>0</v>
      </c>
      <c r="N321" s="50">
        <f t="shared" si="70"/>
        <v>0</v>
      </c>
      <c r="O321" s="50">
        <f t="shared" si="70"/>
        <v>0</v>
      </c>
      <c r="P321" s="50">
        <f t="shared" si="70"/>
        <v>0</v>
      </c>
      <c r="Q321" s="50">
        <f t="shared" si="70"/>
        <v>0</v>
      </c>
      <c r="R321" s="50">
        <f t="shared" si="70"/>
        <v>0</v>
      </c>
      <c r="S321" s="50">
        <f t="shared" si="70"/>
        <v>0</v>
      </c>
      <c r="T321" s="50">
        <f t="shared" si="70"/>
        <v>0</v>
      </c>
      <c r="U321" s="50">
        <f t="shared" si="70"/>
        <v>0</v>
      </c>
      <c r="V321" s="50">
        <f t="shared" si="70"/>
        <v>0</v>
      </c>
      <c r="W321" s="50">
        <f t="shared" si="70"/>
        <v>0</v>
      </c>
      <c r="X321" s="50">
        <f t="shared" si="70"/>
        <v>0</v>
      </c>
      <c r="Y321" s="50">
        <f t="shared" si="70"/>
        <v>0</v>
      </c>
      <c r="Z321" s="50">
        <f t="shared" si="70"/>
        <v>0</v>
      </c>
      <c r="AA321" s="50">
        <f t="shared" si="70"/>
        <v>0</v>
      </c>
      <c r="AB321" s="50">
        <f t="shared" si="70"/>
        <v>0</v>
      </c>
      <c r="AC321" s="50">
        <f t="shared" si="70"/>
        <v>0</v>
      </c>
      <c r="AD321" s="50">
        <f t="shared" si="70"/>
        <v>0</v>
      </c>
      <c r="AE321" s="50">
        <f t="shared" si="70"/>
        <v>0</v>
      </c>
      <c r="AF321" s="50">
        <f t="shared" si="70"/>
        <v>0</v>
      </c>
      <c r="AG321" s="93">
        <f>SUM(F321:AF321)</f>
        <v>0</v>
      </c>
      <c r="AH321" s="30" t="str">
        <f>IF(ABS(E321-AG321)&lt;0.01,"ok","err")</f>
        <v>ok</v>
      </c>
      <c r="AJ321" s="79"/>
      <c r="AK321" s="79"/>
      <c r="AL321" s="79"/>
      <c r="AM321" s="79"/>
      <c r="AN321" s="79"/>
      <c r="AO321" s="79"/>
    </row>
    <row r="322" spans="1:41" x14ac:dyDescent="0.2">
      <c r="A322" s="96" t="s">
        <v>331</v>
      </c>
      <c r="E322" s="234">
        <f t="shared" ref="E322:AF322" si="71">E307</f>
        <v>116630.40000000002</v>
      </c>
      <c r="F322" s="50">
        <f t="shared" si="71"/>
        <v>92446.483115730633</v>
      </c>
      <c r="G322" s="50">
        <f t="shared" si="71"/>
        <v>8134.3067044820418</v>
      </c>
      <c r="H322" s="50">
        <f t="shared" si="71"/>
        <v>5459.169684003652</v>
      </c>
      <c r="I322" s="50">
        <f t="shared" si="71"/>
        <v>166.84729062703025</v>
      </c>
      <c r="J322" s="50">
        <f t="shared" si="71"/>
        <v>1300.6628228504615</v>
      </c>
      <c r="K322" s="50">
        <f t="shared" si="71"/>
        <v>1442.3384762019377</v>
      </c>
      <c r="L322" s="50">
        <f t="shared" si="71"/>
        <v>640.82456576983145</v>
      </c>
      <c r="M322" s="50">
        <f t="shared" si="71"/>
        <v>391.93295912956802</v>
      </c>
      <c r="N322" s="50">
        <f t="shared" si="71"/>
        <v>6647.8343812048342</v>
      </c>
      <c r="O322" s="50">
        <f t="shared" si="71"/>
        <v>0</v>
      </c>
      <c r="P322" s="50">
        <f t="shared" si="71"/>
        <v>0</v>
      </c>
      <c r="Q322" s="50">
        <f t="shared" si="71"/>
        <v>0</v>
      </c>
      <c r="R322" s="50">
        <f t="shared" si="71"/>
        <v>0</v>
      </c>
      <c r="S322" s="50">
        <f t="shared" si="71"/>
        <v>0</v>
      </c>
      <c r="T322" s="50">
        <f t="shared" si="71"/>
        <v>0</v>
      </c>
      <c r="U322" s="50">
        <f t="shared" si="71"/>
        <v>0</v>
      </c>
      <c r="V322" s="50">
        <f t="shared" si="71"/>
        <v>0</v>
      </c>
      <c r="W322" s="50">
        <f t="shared" si="71"/>
        <v>0</v>
      </c>
      <c r="X322" s="50">
        <f t="shared" si="71"/>
        <v>0</v>
      </c>
      <c r="Y322" s="50">
        <f t="shared" si="71"/>
        <v>0</v>
      </c>
      <c r="Z322" s="50">
        <f t="shared" si="71"/>
        <v>0</v>
      </c>
      <c r="AA322" s="50">
        <f t="shared" si="71"/>
        <v>0</v>
      </c>
      <c r="AB322" s="50">
        <f t="shared" si="71"/>
        <v>0</v>
      </c>
      <c r="AC322" s="50">
        <f t="shared" si="71"/>
        <v>0</v>
      </c>
      <c r="AD322" s="50">
        <f t="shared" si="71"/>
        <v>0</v>
      </c>
      <c r="AE322" s="50">
        <f t="shared" si="71"/>
        <v>0</v>
      </c>
      <c r="AF322" s="50">
        <f t="shared" si="71"/>
        <v>0</v>
      </c>
      <c r="AG322" s="93">
        <f>SUM(F322:AF322)</f>
        <v>116630.39999999998</v>
      </c>
      <c r="AH322" s="30" t="str">
        <f>IF(ABS(E322-AG322)&lt;0.01,"ok","err")</f>
        <v>ok</v>
      </c>
      <c r="AJ322" s="79"/>
      <c r="AK322" s="79"/>
      <c r="AL322" s="79"/>
      <c r="AM322" s="79"/>
      <c r="AN322" s="79"/>
      <c r="AO322" s="79"/>
    </row>
    <row r="323" spans="1:41" x14ac:dyDescent="0.2">
      <c r="A323" s="96"/>
      <c r="AG323" s="93"/>
      <c r="AH323" s="30"/>
      <c r="AJ323" s="79"/>
      <c r="AK323" s="79"/>
      <c r="AL323" s="79"/>
      <c r="AM323" s="79"/>
      <c r="AN323" s="79"/>
      <c r="AO323" s="79"/>
    </row>
    <row r="324" spans="1:41" x14ac:dyDescent="0.2">
      <c r="A324" s="14" t="s">
        <v>332</v>
      </c>
      <c r="C324" s="14" t="s">
        <v>198</v>
      </c>
      <c r="E324" s="226">
        <f t="shared" ref="E324:T324" si="72">SUM(E319:E323)</f>
        <v>151783165.44600007</v>
      </c>
      <c r="F324" s="93">
        <f t="shared" si="72"/>
        <v>108749545.94381033</v>
      </c>
      <c r="G324" s="93">
        <f t="shared" si="72"/>
        <v>7622654.5114559988</v>
      </c>
      <c r="H324" s="93">
        <f t="shared" si="72"/>
        <v>17700916.542558335</v>
      </c>
      <c r="I324" s="93">
        <f t="shared" si="72"/>
        <v>788126.81292526016</v>
      </c>
      <c r="J324" s="93">
        <f t="shared" si="72"/>
        <v>6100890.7665605489</v>
      </c>
      <c r="K324" s="93">
        <f t="shared" si="72"/>
        <v>6512427.2507471731</v>
      </c>
      <c r="L324" s="93">
        <f t="shared" si="72"/>
        <v>1256391.0953076323</v>
      </c>
      <c r="M324" s="93">
        <f t="shared" si="72"/>
        <v>1037055.1239394583</v>
      </c>
      <c r="N324" s="93">
        <f t="shared" si="72"/>
        <v>2015157.3986952936</v>
      </c>
      <c r="O324" s="93">
        <f t="shared" si="72"/>
        <v>0</v>
      </c>
      <c r="P324" s="93">
        <f t="shared" si="72"/>
        <v>0</v>
      </c>
      <c r="Q324" s="93">
        <f t="shared" si="72"/>
        <v>0</v>
      </c>
      <c r="R324" s="93">
        <f t="shared" si="72"/>
        <v>0</v>
      </c>
      <c r="S324" s="93">
        <f t="shared" si="72"/>
        <v>0</v>
      </c>
      <c r="T324" s="93">
        <f t="shared" si="72"/>
        <v>0</v>
      </c>
      <c r="U324" s="93">
        <f t="shared" ref="U324:AF324" si="73">SUM(U319:U323)</f>
        <v>0</v>
      </c>
      <c r="V324" s="93">
        <f t="shared" si="73"/>
        <v>0</v>
      </c>
      <c r="W324" s="93">
        <f t="shared" si="73"/>
        <v>0</v>
      </c>
      <c r="X324" s="93">
        <f t="shared" si="73"/>
        <v>0</v>
      </c>
      <c r="Y324" s="93">
        <f t="shared" si="73"/>
        <v>0</v>
      </c>
      <c r="Z324" s="93">
        <f t="shared" si="73"/>
        <v>0</v>
      </c>
      <c r="AA324" s="93">
        <f t="shared" si="73"/>
        <v>0</v>
      </c>
      <c r="AB324" s="93">
        <f t="shared" si="73"/>
        <v>0</v>
      </c>
      <c r="AC324" s="93">
        <f t="shared" si="73"/>
        <v>0</v>
      </c>
      <c r="AD324" s="93">
        <f t="shared" si="73"/>
        <v>0</v>
      </c>
      <c r="AE324" s="93">
        <f t="shared" si="73"/>
        <v>0</v>
      </c>
      <c r="AF324" s="93">
        <f t="shared" si="73"/>
        <v>0</v>
      </c>
      <c r="AG324" s="93">
        <f>SUM(F324:AF324)</f>
        <v>151783165.44600001</v>
      </c>
      <c r="AH324" s="30" t="str">
        <f>IF(ABS(E324-AG324)&lt;0.01,"ok","err")</f>
        <v>ok</v>
      </c>
      <c r="AJ324" s="79"/>
      <c r="AK324" s="79"/>
      <c r="AL324" s="79"/>
      <c r="AM324" s="79"/>
      <c r="AN324" s="79"/>
      <c r="AO324" s="79"/>
    </row>
    <row r="325" spans="1:41" x14ac:dyDescent="0.2">
      <c r="A325" s="96"/>
    </row>
    <row r="326" spans="1:41" x14ac:dyDescent="0.2">
      <c r="A326" s="14" t="s">
        <v>333</v>
      </c>
      <c r="C326" s="14" t="s">
        <v>182</v>
      </c>
      <c r="E326" s="226">
        <f>E316-E324</f>
        <v>2120994.1640000045</v>
      </c>
      <c r="F326" s="93">
        <f t="shared" ref="F326:R326" si="74">F316-F324</f>
        <v>-6538102.5484401286</v>
      </c>
      <c r="G326" s="93">
        <f t="shared" si="74"/>
        <v>2850265.8854366215</v>
      </c>
      <c r="H326" s="93">
        <f t="shared" si="74"/>
        <v>2254871.7929361984</v>
      </c>
      <c r="I326" s="93">
        <f t="shared" si="74"/>
        <v>63663.888387507992</v>
      </c>
      <c r="J326" s="93">
        <f t="shared" si="74"/>
        <v>320753.36377856787</v>
      </c>
      <c r="K326" s="93">
        <f t="shared" si="74"/>
        <v>337903.64436272252</v>
      </c>
      <c r="L326" s="93">
        <f t="shared" si="74"/>
        <v>415495.73420406785</v>
      </c>
      <c r="M326" s="93">
        <f t="shared" si="74"/>
        <v>82595.640157012967</v>
      </c>
      <c r="N326" s="93">
        <f t="shared" si="74"/>
        <v>2333546.7631774163</v>
      </c>
      <c r="O326" s="93">
        <f t="shared" si="74"/>
        <v>0</v>
      </c>
      <c r="P326" s="93">
        <f t="shared" si="74"/>
        <v>0</v>
      </c>
      <c r="Q326" s="93">
        <f>Q316-Q324</f>
        <v>0</v>
      </c>
      <c r="R326" s="93">
        <f t="shared" si="74"/>
        <v>0</v>
      </c>
      <c r="S326" s="93">
        <f>S316-S324</f>
        <v>0</v>
      </c>
      <c r="T326" s="93">
        <f>T316-T324</f>
        <v>0</v>
      </c>
      <c r="U326" s="93">
        <f t="shared" ref="U326:AF326" si="75">U316-U324</f>
        <v>0</v>
      </c>
      <c r="V326" s="93">
        <f t="shared" si="75"/>
        <v>0</v>
      </c>
      <c r="W326" s="93">
        <f t="shared" si="75"/>
        <v>0</v>
      </c>
      <c r="X326" s="93">
        <f t="shared" si="75"/>
        <v>0</v>
      </c>
      <c r="Y326" s="93">
        <f t="shared" si="75"/>
        <v>0</v>
      </c>
      <c r="Z326" s="93">
        <f t="shared" si="75"/>
        <v>0</v>
      </c>
      <c r="AA326" s="93">
        <f t="shared" si="75"/>
        <v>0</v>
      </c>
      <c r="AB326" s="93">
        <f t="shared" si="75"/>
        <v>0</v>
      </c>
      <c r="AC326" s="93">
        <f t="shared" si="75"/>
        <v>0</v>
      </c>
      <c r="AD326" s="93">
        <f t="shared" si="75"/>
        <v>0</v>
      </c>
      <c r="AE326" s="93">
        <f t="shared" si="75"/>
        <v>0</v>
      </c>
      <c r="AF326" s="93">
        <f t="shared" si="75"/>
        <v>0</v>
      </c>
      <c r="AG326" s="93">
        <f>SUM(F326:AF326)</f>
        <v>2120994.1639999868</v>
      </c>
      <c r="AH326" s="30" t="str">
        <f>IF(ABS(E326-AG326)&lt;0.01,"ok","err")</f>
        <v>ok</v>
      </c>
    </row>
    <row r="328" spans="1:41" x14ac:dyDescent="0.2">
      <c r="A328" s="13" t="s">
        <v>249</v>
      </c>
      <c r="E328" s="226">
        <f t="shared" ref="E328:AF328" si="76">E117</f>
        <v>223016187.61401922</v>
      </c>
      <c r="F328" s="93">
        <f t="shared" si="76"/>
        <v>176926919.16421211</v>
      </c>
      <c r="G328" s="93">
        <f t="shared" si="76"/>
        <v>15569769.029888142</v>
      </c>
      <c r="H328" s="93">
        <f t="shared" si="76"/>
        <v>10445376.335771658</v>
      </c>
      <c r="I328" s="93">
        <f t="shared" si="76"/>
        <v>319263.09023531183</v>
      </c>
      <c r="J328" s="93">
        <f t="shared" si="76"/>
        <v>2488839.8258682913</v>
      </c>
      <c r="K328" s="93">
        <f t="shared" si="76"/>
        <v>2760134.3510021139</v>
      </c>
      <c r="L328" s="93">
        <f t="shared" si="76"/>
        <v>1226618.0908832785</v>
      </c>
      <c r="M328" s="93">
        <f t="shared" si="76"/>
        <v>749995.90534109029</v>
      </c>
      <c r="N328" s="93">
        <f>N117</f>
        <v>12529271.820817271</v>
      </c>
      <c r="O328" s="93">
        <f t="shared" si="76"/>
        <v>0</v>
      </c>
      <c r="P328" s="93">
        <f t="shared" si="76"/>
        <v>0</v>
      </c>
      <c r="Q328" s="93">
        <f t="shared" si="76"/>
        <v>0</v>
      </c>
      <c r="R328" s="93">
        <f t="shared" si="76"/>
        <v>0</v>
      </c>
      <c r="S328" s="93">
        <f t="shared" si="76"/>
        <v>0</v>
      </c>
      <c r="T328" s="93">
        <f t="shared" si="76"/>
        <v>0</v>
      </c>
      <c r="U328" s="93">
        <f t="shared" si="76"/>
        <v>0</v>
      </c>
      <c r="V328" s="93">
        <f t="shared" si="76"/>
        <v>0</v>
      </c>
      <c r="W328" s="93">
        <f t="shared" si="76"/>
        <v>0</v>
      </c>
      <c r="X328" s="93">
        <f t="shared" si="76"/>
        <v>0</v>
      </c>
      <c r="Y328" s="93">
        <f t="shared" si="76"/>
        <v>0</v>
      </c>
      <c r="Z328" s="93">
        <f t="shared" si="76"/>
        <v>0</v>
      </c>
      <c r="AA328" s="93">
        <f t="shared" si="76"/>
        <v>0</v>
      </c>
      <c r="AB328" s="93">
        <f t="shared" si="76"/>
        <v>0</v>
      </c>
      <c r="AC328" s="93">
        <f t="shared" si="76"/>
        <v>0</v>
      </c>
      <c r="AD328" s="93">
        <f t="shared" si="76"/>
        <v>0</v>
      </c>
      <c r="AE328" s="93">
        <f t="shared" si="76"/>
        <v>0</v>
      </c>
      <c r="AF328" s="93">
        <f t="shared" si="76"/>
        <v>0</v>
      </c>
      <c r="AG328" s="93">
        <f>SUM(F328:AF328)</f>
        <v>223016187.61401927</v>
      </c>
      <c r="AH328" s="30" t="str">
        <f>IF(ABS(E328-AG328)&lt;0.01,"ok","err")</f>
        <v>ok</v>
      </c>
    </row>
    <row r="329" spans="1:41" ht="13.5" thickBot="1" x14ac:dyDescent="0.25"/>
    <row r="330" spans="1:41" s="13" customFormat="1" ht="13.5" thickBot="1" x14ac:dyDescent="0.25">
      <c r="A330" s="177" t="s">
        <v>334</v>
      </c>
      <c r="B330" s="178"/>
      <c r="C330" s="178"/>
      <c r="D330" s="178"/>
      <c r="E330" s="244">
        <f>E326/E328</f>
        <v>9.5104942232752746E-3</v>
      </c>
      <c r="F330" s="103">
        <f t="shared" ref="F330:R330" si="77">F326/F328</f>
        <v>-3.6953690141249142E-2</v>
      </c>
      <c r="G330" s="103">
        <f t="shared" si="77"/>
        <v>0.18306410839911469</v>
      </c>
      <c r="H330" s="103">
        <f t="shared" si="77"/>
        <v>0.21587271922545034</v>
      </c>
      <c r="I330" s="103">
        <f t="shared" si="77"/>
        <v>0.19940885850783668</v>
      </c>
      <c r="J330" s="103">
        <f t="shared" si="77"/>
        <v>0.12887665989781619</v>
      </c>
      <c r="K330" s="103">
        <f t="shared" si="77"/>
        <v>0.12242289736368842</v>
      </c>
      <c r="L330" s="103">
        <f t="shared" si="77"/>
        <v>0.3387327622934963</v>
      </c>
      <c r="M330" s="103">
        <f t="shared" si="77"/>
        <v>0.11012812145880894</v>
      </c>
      <c r="N330" s="103">
        <f t="shared" si="77"/>
        <v>0.18624759655227924</v>
      </c>
      <c r="O330" s="103" t="e">
        <f t="shared" si="77"/>
        <v>#DIV/0!</v>
      </c>
      <c r="P330" s="103" t="e">
        <f t="shared" si="77"/>
        <v>#DIV/0!</v>
      </c>
      <c r="Q330" s="103" t="e">
        <f>Q326/Q328</f>
        <v>#DIV/0!</v>
      </c>
      <c r="R330" s="103" t="e">
        <f t="shared" si="77"/>
        <v>#DIV/0!</v>
      </c>
      <c r="S330" s="103" t="e">
        <f>S326/S328</f>
        <v>#DIV/0!</v>
      </c>
      <c r="T330" s="103" t="e">
        <f>T326/T328</f>
        <v>#DIV/0!</v>
      </c>
      <c r="U330" s="103" t="e">
        <f t="shared" ref="U330:AG330" si="78">U326/U328</f>
        <v>#DIV/0!</v>
      </c>
      <c r="V330" s="103" t="e">
        <f t="shared" si="78"/>
        <v>#DIV/0!</v>
      </c>
      <c r="W330" s="103" t="e">
        <f t="shared" si="78"/>
        <v>#DIV/0!</v>
      </c>
      <c r="X330" s="103" t="e">
        <f t="shared" si="78"/>
        <v>#DIV/0!</v>
      </c>
      <c r="Y330" s="103" t="e">
        <f t="shared" si="78"/>
        <v>#DIV/0!</v>
      </c>
      <c r="Z330" s="103" t="e">
        <f t="shared" si="78"/>
        <v>#DIV/0!</v>
      </c>
      <c r="AA330" s="103" t="e">
        <f t="shared" si="78"/>
        <v>#DIV/0!</v>
      </c>
      <c r="AB330" s="103" t="e">
        <f t="shared" si="78"/>
        <v>#DIV/0!</v>
      </c>
      <c r="AC330" s="103" t="e">
        <f t="shared" si="78"/>
        <v>#DIV/0!</v>
      </c>
      <c r="AD330" s="103" t="e">
        <f t="shared" si="78"/>
        <v>#DIV/0!</v>
      </c>
      <c r="AE330" s="103" t="e">
        <f t="shared" si="78"/>
        <v>#DIV/0!</v>
      </c>
      <c r="AF330" s="103" t="e">
        <f t="shared" si="78"/>
        <v>#DIV/0!</v>
      </c>
      <c r="AG330" s="103">
        <f t="shared" si="78"/>
        <v>9.510494223275193E-3</v>
      </c>
      <c r="AH330" s="30" t="str">
        <f>IF(ABS(E330-AG330)&lt;0.01,"ok","err")</f>
        <v>ok</v>
      </c>
      <c r="AK330" s="179"/>
    </row>
    <row r="331" spans="1:41" s="13" customFormat="1" x14ac:dyDescent="0.2">
      <c r="A331" s="13" t="s">
        <v>956</v>
      </c>
      <c r="E331" s="245">
        <f>E330/$E$330</f>
        <v>1</v>
      </c>
      <c r="F331" s="180">
        <f t="shared" ref="F331:AF331" si="79">F330/$E$330</f>
        <v>-3.8855699055903359</v>
      </c>
      <c r="G331" s="180">
        <f t="shared" si="79"/>
        <v>19.248643035931533</v>
      </c>
      <c r="H331" s="180">
        <f t="shared" si="79"/>
        <v>22.698370258944014</v>
      </c>
      <c r="I331" s="180">
        <f t="shared" si="79"/>
        <v>20.96724458544103</v>
      </c>
      <c r="J331" s="180">
        <f t="shared" si="79"/>
        <v>13.550995024255737</v>
      </c>
      <c r="K331" s="180">
        <f t="shared" si="79"/>
        <v>12.872401211714081</v>
      </c>
      <c r="L331" s="180">
        <f t="shared" si="79"/>
        <v>35.616736032971559</v>
      </c>
      <c r="M331" s="180">
        <f t="shared" si="79"/>
        <v>11.579642327029608</v>
      </c>
      <c r="N331" s="180">
        <f t="shared" si="79"/>
        <v>19.583377286163611</v>
      </c>
      <c r="O331" s="180" t="e">
        <f t="shared" si="79"/>
        <v>#DIV/0!</v>
      </c>
      <c r="P331" s="180" t="e">
        <f t="shared" si="79"/>
        <v>#DIV/0!</v>
      </c>
      <c r="Q331" s="180" t="e">
        <f t="shared" si="79"/>
        <v>#DIV/0!</v>
      </c>
      <c r="R331" s="180" t="e">
        <f t="shared" si="79"/>
        <v>#DIV/0!</v>
      </c>
      <c r="S331" s="180" t="e">
        <f t="shared" si="79"/>
        <v>#DIV/0!</v>
      </c>
      <c r="T331" s="180" t="e">
        <f t="shared" si="79"/>
        <v>#DIV/0!</v>
      </c>
      <c r="U331" s="180" t="e">
        <f t="shared" si="79"/>
        <v>#DIV/0!</v>
      </c>
      <c r="V331" s="180" t="e">
        <f t="shared" si="79"/>
        <v>#DIV/0!</v>
      </c>
      <c r="W331" s="180" t="e">
        <f t="shared" si="79"/>
        <v>#DIV/0!</v>
      </c>
      <c r="X331" s="180" t="e">
        <f t="shared" si="79"/>
        <v>#DIV/0!</v>
      </c>
      <c r="Y331" s="180" t="e">
        <f t="shared" si="79"/>
        <v>#DIV/0!</v>
      </c>
      <c r="Z331" s="180" t="e">
        <f t="shared" si="79"/>
        <v>#DIV/0!</v>
      </c>
      <c r="AA331" s="180" t="e">
        <f t="shared" si="79"/>
        <v>#DIV/0!</v>
      </c>
      <c r="AB331" s="180" t="e">
        <f t="shared" si="79"/>
        <v>#DIV/0!</v>
      </c>
      <c r="AC331" s="180" t="e">
        <f t="shared" si="79"/>
        <v>#DIV/0!</v>
      </c>
      <c r="AD331" s="180" t="e">
        <f t="shared" si="79"/>
        <v>#DIV/0!</v>
      </c>
      <c r="AE331" s="180" t="e">
        <f t="shared" si="79"/>
        <v>#DIV/0!</v>
      </c>
      <c r="AF331" s="180" t="e">
        <f t="shared" si="79"/>
        <v>#DIV/0!</v>
      </c>
      <c r="AG331" s="181"/>
      <c r="AH331" s="30"/>
      <c r="AK331" s="179"/>
    </row>
    <row r="334" spans="1:41" x14ac:dyDescent="0.2">
      <c r="A334" s="28" t="s">
        <v>865</v>
      </c>
    </row>
    <row r="336" spans="1:41" x14ac:dyDescent="0.2">
      <c r="A336" s="13" t="s">
        <v>323</v>
      </c>
    </row>
    <row r="338" spans="1:46" x14ac:dyDescent="0.2">
      <c r="A338" s="14" t="s">
        <v>568</v>
      </c>
      <c r="E338" s="226">
        <f t="shared" ref="E338:AF338" si="80">E316</f>
        <v>153904159.61000007</v>
      </c>
      <c r="F338" s="93">
        <f t="shared" si="80"/>
        <v>102211443.3953702</v>
      </c>
      <c r="G338" s="93">
        <f t="shared" si="80"/>
        <v>10472920.39689262</v>
      </c>
      <c r="H338" s="93">
        <f t="shared" si="80"/>
        <v>19955788.335494533</v>
      </c>
      <c r="I338" s="93">
        <f t="shared" si="80"/>
        <v>851790.70131276816</v>
      </c>
      <c r="J338" s="93">
        <f t="shared" si="80"/>
        <v>6421644.1303391168</v>
      </c>
      <c r="K338" s="93">
        <f t="shared" si="80"/>
        <v>6850330.8951098956</v>
      </c>
      <c r="L338" s="93">
        <f t="shared" si="80"/>
        <v>1671886.8295117002</v>
      </c>
      <c r="M338" s="93">
        <f t="shared" si="80"/>
        <v>1119650.7640964712</v>
      </c>
      <c r="N338" s="93">
        <f t="shared" si="80"/>
        <v>4348704.1618727101</v>
      </c>
      <c r="O338" s="93">
        <f t="shared" si="80"/>
        <v>0</v>
      </c>
      <c r="P338" s="93">
        <f t="shared" si="80"/>
        <v>0</v>
      </c>
      <c r="Q338" s="93">
        <f t="shared" si="80"/>
        <v>0</v>
      </c>
      <c r="R338" s="93">
        <f t="shared" si="80"/>
        <v>0</v>
      </c>
      <c r="S338" s="93">
        <f t="shared" si="80"/>
        <v>0</v>
      </c>
      <c r="T338" s="93">
        <f t="shared" si="80"/>
        <v>0</v>
      </c>
      <c r="U338" s="93">
        <f t="shared" si="80"/>
        <v>0</v>
      </c>
      <c r="V338" s="93">
        <f t="shared" si="80"/>
        <v>0</v>
      </c>
      <c r="W338" s="93">
        <f t="shared" si="80"/>
        <v>0</v>
      </c>
      <c r="X338" s="93">
        <f t="shared" si="80"/>
        <v>0</v>
      </c>
      <c r="Y338" s="93">
        <f t="shared" si="80"/>
        <v>0</v>
      </c>
      <c r="Z338" s="93">
        <f t="shared" si="80"/>
        <v>0</v>
      </c>
      <c r="AA338" s="93">
        <f t="shared" si="80"/>
        <v>0</v>
      </c>
      <c r="AB338" s="93">
        <f t="shared" si="80"/>
        <v>0</v>
      </c>
      <c r="AC338" s="93">
        <f t="shared" si="80"/>
        <v>0</v>
      </c>
      <c r="AD338" s="93">
        <f t="shared" si="80"/>
        <v>0</v>
      </c>
      <c r="AE338" s="93">
        <f t="shared" si="80"/>
        <v>0</v>
      </c>
      <c r="AF338" s="93">
        <f t="shared" si="80"/>
        <v>0</v>
      </c>
      <c r="AG338" s="93">
        <f>SUM(F338:AF338)</f>
        <v>153904159.61000001</v>
      </c>
      <c r="AH338" s="30" t="str">
        <f>IF(ABS(E338-AG338)&lt;0.01,"ok","err")</f>
        <v>ok</v>
      </c>
    </row>
    <row r="339" spans="1:46" x14ac:dyDescent="0.2">
      <c r="E339" s="226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30"/>
    </row>
    <row r="340" spans="1:46" s="232" customFormat="1" x14ac:dyDescent="0.2">
      <c r="A340" s="232" t="s">
        <v>569</v>
      </c>
      <c r="E340" s="226"/>
      <c r="F340" s="226"/>
      <c r="G340" s="226"/>
      <c r="H340" s="226"/>
      <c r="I340" s="226"/>
      <c r="J340" s="226"/>
      <c r="K340" s="226"/>
      <c r="L340" s="226"/>
      <c r="M340" s="226"/>
      <c r="N340" s="226"/>
      <c r="O340" s="226"/>
      <c r="P340" s="226"/>
      <c r="Q340" s="226"/>
      <c r="R340" s="226"/>
      <c r="S340" s="226"/>
      <c r="T340" s="226"/>
      <c r="U340" s="226"/>
      <c r="V340" s="226"/>
      <c r="W340" s="226"/>
      <c r="X340" s="226"/>
      <c r="Y340" s="226"/>
      <c r="Z340" s="226"/>
      <c r="AA340" s="226"/>
      <c r="AB340" s="226"/>
      <c r="AC340" s="226"/>
      <c r="AD340" s="226"/>
      <c r="AE340" s="226"/>
      <c r="AF340" s="226"/>
      <c r="AG340" s="226"/>
      <c r="AH340" s="240"/>
      <c r="AK340" s="234"/>
    </row>
    <row r="341" spans="1:46" s="232" customFormat="1" x14ac:dyDescent="0.2">
      <c r="A341" s="232">
        <v>1.01</v>
      </c>
      <c r="B341" s="232" t="s">
        <v>952</v>
      </c>
      <c r="C341" s="232" t="s">
        <v>1243</v>
      </c>
      <c r="E341" s="226">
        <v>-11874072</v>
      </c>
      <c r="F341" s="226">
        <f>$E341*$AI341*AK341/$AT341</f>
        <v>-7456174.071357863</v>
      </c>
      <c r="G341" s="226">
        <f t="shared" ref="G341:N341" si="81">$E341*$AI341*AL341/$AT341</f>
        <v>-708852.13637551991</v>
      </c>
      <c r="H341" s="226">
        <f t="shared" si="81"/>
        <v>-1821280.9396194075</v>
      </c>
      <c r="I341" s="226">
        <f t="shared" si="81"/>
        <v>-97141.207615821346</v>
      </c>
      <c r="J341" s="226">
        <f t="shared" si="81"/>
        <v>-760657.4364413562</v>
      </c>
      <c r="K341" s="226">
        <f t="shared" si="81"/>
        <v>-804752.56481152761</v>
      </c>
      <c r="L341" s="226">
        <f t="shared" si="81"/>
        <v>-115557.65037834807</v>
      </c>
      <c r="M341" s="226">
        <f t="shared" si="81"/>
        <v>-101432.98640852197</v>
      </c>
      <c r="N341" s="226">
        <f t="shared" si="81"/>
        <v>-8223.0069916331777</v>
      </c>
      <c r="O341" s="233">
        <v>0</v>
      </c>
      <c r="P341" s="233">
        <v>0</v>
      </c>
      <c r="Q341" s="233">
        <v>0</v>
      </c>
      <c r="R341" s="233">
        <v>0</v>
      </c>
      <c r="S341" s="233">
        <v>0</v>
      </c>
      <c r="T341" s="233">
        <v>0</v>
      </c>
      <c r="U341" s="233">
        <v>0</v>
      </c>
      <c r="V341" s="233">
        <v>0</v>
      </c>
      <c r="W341" s="233">
        <v>0</v>
      </c>
      <c r="X341" s="233">
        <v>0</v>
      </c>
      <c r="Y341" s="233">
        <v>0</v>
      </c>
      <c r="Z341" s="233">
        <v>0</v>
      </c>
      <c r="AA341" s="233">
        <v>0</v>
      </c>
      <c r="AB341" s="233">
        <v>0</v>
      </c>
      <c r="AC341" s="233">
        <v>0</v>
      </c>
      <c r="AD341" s="233">
        <v>0</v>
      </c>
      <c r="AE341" s="233">
        <v>0</v>
      </c>
      <c r="AF341" s="233">
        <v>0</v>
      </c>
      <c r="AG341" s="226">
        <f t="shared" ref="AG341" si="82">SUM(F341:AF341)</f>
        <v>-11874071.999999998</v>
      </c>
      <c r="AH341" s="240" t="str">
        <f t="shared" ref="AH341" si="83">IF(ABS(E341-AG341)&lt;0.01,"ok","err")</f>
        <v>ok</v>
      </c>
      <c r="AI341" s="232">
        <v>1</v>
      </c>
      <c r="AK341" s="234">
        <v>7518615.290000001</v>
      </c>
      <c r="AL341" s="232">
        <v>714788.36999999988</v>
      </c>
      <c r="AM341" s="232">
        <v>1836533.1319999998</v>
      </c>
      <c r="AN341" s="232">
        <v>97954.71</v>
      </c>
      <c r="AO341" s="232">
        <v>767027.51</v>
      </c>
      <c r="AP341" s="232">
        <v>811491.91</v>
      </c>
      <c r="AQ341" s="232">
        <v>116525.38</v>
      </c>
      <c r="AR341" s="232">
        <v>102282.43</v>
      </c>
      <c r="AS341" s="232">
        <v>8291.869999999999</v>
      </c>
      <c r="AT341" s="238">
        <f>SUM(AK341:AS341)</f>
        <v>11973510.602000002</v>
      </c>
    </row>
    <row r="342" spans="1:46" s="232" customFormat="1" x14ac:dyDescent="0.2">
      <c r="A342" s="232">
        <v>1.02</v>
      </c>
      <c r="B342" s="232" t="s">
        <v>953</v>
      </c>
      <c r="C342" s="232" t="s">
        <v>1244</v>
      </c>
      <c r="E342" s="226">
        <v>-15673494</v>
      </c>
      <c r="F342" s="226">
        <f>$E342*$AI342*AK342/$AT342</f>
        <v>-10654851.22222914</v>
      </c>
      <c r="G342" s="226">
        <f t="shared" ref="G342" si="84">$E342*$AI342*AL342/$AT342</f>
        <v>-1127682.8558918559</v>
      </c>
      <c r="H342" s="226">
        <f t="shared" ref="H342" si="85">$E342*$AI342*AM342/$AT342</f>
        <v>-2101242.6159549593</v>
      </c>
      <c r="I342" s="226">
        <f t="shared" ref="I342" si="86">$E342*$AI342*AN342/$AT342</f>
        <v>-89731.850971675594</v>
      </c>
      <c r="J342" s="226">
        <f t="shared" ref="J342" si="87">$E342*$AI342*AO342/$AT342</f>
        <v>-661722.77869314176</v>
      </c>
      <c r="K342" s="226">
        <f t="shared" ref="K342" si="88">$E342*$AI342*AP342/$AT342</f>
        <v>-706363.71889024088</v>
      </c>
      <c r="L342" s="226">
        <f t="shared" ref="L342" si="89">$E342*$AI342*AQ342/$AT342</f>
        <v>-179448.07305361479</v>
      </c>
      <c r="M342" s="226">
        <f t="shared" ref="M342" si="90">$E342*$AI342*AR342/$AT342</f>
        <v>-116708.99807438854</v>
      </c>
      <c r="N342" s="226">
        <f t="shared" ref="N342" si="91">$E342*$AI342*AS342/$AT342</f>
        <v>-35741.886240981359</v>
      </c>
      <c r="O342" s="233">
        <v>0</v>
      </c>
      <c r="P342" s="233">
        <v>0</v>
      </c>
      <c r="Q342" s="233">
        <v>0</v>
      </c>
      <c r="R342" s="233">
        <v>0</v>
      </c>
      <c r="S342" s="233">
        <v>0</v>
      </c>
      <c r="T342" s="233">
        <v>0</v>
      </c>
      <c r="U342" s="233">
        <v>0</v>
      </c>
      <c r="V342" s="233">
        <v>0</v>
      </c>
      <c r="W342" s="233">
        <v>0</v>
      </c>
      <c r="X342" s="233">
        <v>0</v>
      </c>
      <c r="Y342" s="233">
        <v>0</v>
      </c>
      <c r="Z342" s="233">
        <v>0</v>
      </c>
      <c r="AA342" s="233">
        <v>0</v>
      </c>
      <c r="AB342" s="233">
        <v>0</v>
      </c>
      <c r="AC342" s="233">
        <v>0</v>
      </c>
      <c r="AD342" s="233">
        <v>0</v>
      </c>
      <c r="AE342" s="233">
        <v>0</v>
      </c>
      <c r="AF342" s="233">
        <v>0</v>
      </c>
      <c r="AG342" s="226">
        <f t="shared" ref="AG342" si="92">SUM(F342:AF342)</f>
        <v>-15673493.999999998</v>
      </c>
      <c r="AH342" s="240" t="str">
        <f t="shared" ref="AH342" si="93">IF(ABS(E342-AG342)&lt;0.01,"ok","err")</f>
        <v>ok</v>
      </c>
      <c r="AI342" s="232">
        <v>1</v>
      </c>
      <c r="AK342" s="234">
        <v>10696512.58</v>
      </c>
      <c r="AL342" s="232">
        <v>1132092.19</v>
      </c>
      <c r="AM342" s="232">
        <v>2109458.65</v>
      </c>
      <c r="AN342" s="232">
        <v>90082.71</v>
      </c>
      <c r="AO342" s="232">
        <v>664310.16999999993</v>
      </c>
      <c r="AP342" s="232">
        <v>709125.65999999992</v>
      </c>
      <c r="AQ342" s="232">
        <v>180149.73</v>
      </c>
      <c r="AR342" s="232">
        <v>117165.34</v>
      </c>
      <c r="AS342" s="232">
        <v>35881.64</v>
      </c>
      <c r="AT342" s="238">
        <f>SUM(AK342:AS342)</f>
        <v>15734778.670000002</v>
      </c>
    </row>
    <row r="343" spans="1:46" s="232" customFormat="1" x14ac:dyDescent="0.2">
      <c r="A343" s="232">
        <v>1.04</v>
      </c>
      <c r="B343" s="232" t="s">
        <v>954</v>
      </c>
      <c r="C343" s="232" t="s">
        <v>1245</v>
      </c>
      <c r="E343" s="226">
        <v>1427710.63</v>
      </c>
      <c r="F343" s="233">
        <f>$AI343*AK343</f>
        <v>-44167.199102767743</v>
      </c>
      <c r="G343" s="233">
        <f t="shared" ref="G343:I343" si="94">$AI343*AL343</f>
        <v>-116554.62916258461</v>
      </c>
      <c r="H343" s="233">
        <f t="shared" si="94"/>
        <v>1406645.309155605</v>
      </c>
      <c r="I343" s="233">
        <f t="shared" si="94"/>
        <v>181787.14576577462</v>
      </c>
      <c r="J343" s="233">
        <v>0</v>
      </c>
      <c r="K343" s="233">
        <v>0</v>
      </c>
      <c r="L343" s="233">
        <v>0</v>
      </c>
      <c r="M343" s="233">
        <v>0</v>
      </c>
      <c r="N343" s="233">
        <v>0</v>
      </c>
      <c r="O343" s="233">
        <v>0</v>
      </c>
      <c r="P343" s="233">
        <v>0</v>
      </c>
      <c r="Q343" s="233">
        <v>0</v>
      </c>
      <c r="R343" s="233">
        <v>0</v>
      </c>
      <c r="S343" s="233">
        <v>0</v>
      </c>
      <c r="T343" s="233">
        <v>0</v>
      </c>
      <c r="U343" s="233">
        <v>0</v>
      </c>
      <c r="V343" s="233">
        <v>0</v>
      </c>
      <c r="W343" s="233">
        <v>0</v>
      </c>
      <c r="X343" s="233">
        <v>0</v>
      </c>
      <c r="Y343" s="233">
        <v>0</v>
      </c>
      <c r="Z343" s="233">
        <v>0</v>
      </c>
      <c r="AA343" s="233">
        <v>0</v>
      </c>
      <c r="AB343" s="233">
        <v>0</v>
      </c>
      <c r="AC343" s="233">
        <v>0</v>
      </c>
      <c r="AD343" s="233">
        <v>0</v>
      </c>
      <c r="AE343" s="233">
        <v>0</v>
      </c>
      <c r="AF343" s="233">
        <v>0</v>
      </c>
      <c r="AG343" s="226">
        <f t="shared" ref="AG343:AG349" si="95">SUM(F343:AF343)</f>
        <v>1427710.6266560273</v>
      </c>
      <c r="AH343" s="240" t="str">
        <f t="shared" ref="AH343:AH350" si="96">IF(ABS(E343-AG343)&lt;0.01,"ok","err")</f>
        <v>ok</v>
      </c>
      <c r="AI343" s="232">
        <v>1</v>
      </c>
      <c r="AK343" s="234">
        <v>-44167.199102767743</v>
      </c>
      <c r="AL343" s="232">
        <v>-116554.62916258461</v>
      </c>
      <c r="AM343" s="232">
        <v>1406645.309155605</v>
      </c>
      <c r="AN343" s="232">
        <v>181787.14576577462</v>
      </c>
    </row>
    <row r="344" spans="1:46" s="232" customFormat="1" x14ac:dyDescent="0.2">
      <c r="A344" s="232">
        <v>1.17</v>
      </c>
      <c r="B344" s="232" t="s">
        <v>1247</v>
      </c>
      <c r="E344" s="226">
        <f>AI344*AK344</f>
        <v>1854.3</v>
      </c>
      <c r="F344" s="226">
        <f>E344</f>
        <v>1854.3</v>
      </c>
      <c r="G344" s="226">
        <v>0</v>
      </c>
      <c r="H344" s="226">
        <v>0</v>
      </c>
      <c r="I344" s="226">
        <v>0</v>
      </c>
      <c r="J344" s="226">
        <v>0</v>
      </c>
      <c r="K344" s="226">
        <v>0</v>
      </c>
      <c r="L344" s="226">
        <v>0</v>
      </c>
      <c r="M344" s="226">
        <v>0</v>
      </c>
      <c r="N344" s="226">
        <v>0</v>
      </c>
      <c r="O344" s="226">
        <v>0</v>
      </c>
      <c r="P344" s="226">
        <v>0</v>
      </c>
      <c r="Q344" s="226">
        <v>0</v>
      </c>
      <c r="R344" s="226">
        <v>0</v>
      </c>
      <c r="S344" s="226">
        <v>0</v>
      </c>
      <c r="T344" s="226">
        <v>0</v>
      </c>
      <c r="U344" s="226">
        <v>0</v>
      </c>
      <c r="V344" s="226">
        <v>0</v>
      </c>
      <c r="W344" s="226">
        <v>0</v>
      </c>
      <c r="X344" s="226">
        <v>0</v>
      </c>
      <c r="Y344" s="226">
        <v>0</v>
      </c>
      <c r="Z344" s="226">
        <v>0</v>
      </c>
      <c r="AA344" s="226">
        <v>0</v>
      </c>
      <c r="AB344" s="226">
        <v>0</v>
      </c>
      <c r="AC344" s="226">
        <v>0</v>
      </c>
      <c r="AD344" s="226">
        <v>0</v>
      </c>
      <c r="AE344" s="226">
        <v>0</v>
      </c>
      <c r="AF344" s="226">
        <v>0</v>
      </c>
      <c r="AG344" s="226">
        <f t="shared" si="95"/>
        <v>1854.3</v>
      </c>
      <c r="AH344" s="240" t="str">
        <f t="shared" ref="AH344:AH346" si="97">IF(ABS(E344-AG344)&lt;0.01,"ok","err")</f>
        <v>ok</v>
      </c>
      <c r="AI344" s="232">
        <v>1</v>
      </c>
      <c r="AK344" s="234">
        <v>1854.3</v>
      </c>
    </row>
    <row r="345" spans="1:46" s="232" customFormat="1" x14ac:dyDescent="0.2">
      <c r="A345" s="232">
        <v>1.18</v>
      </c>
      <c r="B345" s="232" t="s">
        <v>1248</v>
      </c>
      <c r="E345" s="226">
        <f t="shared" ref="E345:E348" si="98">AI345*AK345</f>
        <v>271271.67</v>
      </c>
      <c r="F345" s="226">
        <f t="shared" ref="F345:F348" si="99">E345</f>
        <v>271271.67</v>
      </c>
      <c r="G345" s="226">
        <v>0</v>
      </c>
      <c r="H345" s="226">
        <v>0</v>
      </c>
      <c r="I345" s="226">
        <v>0</v>
      </c>
      <c r="J345" s="226">
        <v>0</v>
      </c>
      <c r="K345" s="226">
        <v>0</v>
      </c>
      <c r="L345" s="226">
        <v>0</v>
      </c>
      <c r="M345" s="226">
        <v>0</v>
      </c>
      <c r="N345" s="226">
        <v>0</v>
      </c>
      <c r="O345" s="226">
        <v>0</v>
      </c>
      <c r="P345" s="226">
        <v>0</v>
      </c>
      <c r="Q345" s="226">
        <v>0</v>
      </c>
      <c r="R345" s="226">
        <v>0</v>
      </c>
      <c r="S345" s="226">
        <v>0</v>
      </c>
      <c r="T345" s="226">
        <v>0</v>
      </c>
      <c r="U345" s="226">
        <v>0</v>
      </c>
      <c r="V345" s="226">
        <v>0</v>
      </c>
      <c r="W345" s="226">
        <v>0</v>
      </c>
      <c r="X345" s="226">
        <v>0</v>
      </c>
      <c r="Y345" s="226">
        <v>0</v>
      </c>
      <c r="Z345" s="226">
        <v>0</v>
      </c>
      <c r="AA345" s="226">
        <v>0</v>
      </c>
      <c r="AB345" s="226">
        <v>0</v>
      </c>
      <c r="AC345" s="226">
        <v>0</v>
      </c>
      <c r="AD345" s="226">
        <v>0</v>
      </c>
      <c r="AE345" s="226">
        <v>0</v>
      </c>
      <c r="AF345" s="226">
        <v>0</v>
      </c>
      <c r="AG345" s="226">
        <f t="shared" si="95"/>
        <v>271271.67</v>
      </c>
      <c r="AH345" s="240" t="str">
        <f t="shared" ref="AH345" si="100">IF(ABS(E345-AG345)&lt;0.01,"ok","err")</f>
        <v>ok</v>
      </c>
      <c r="AI345" s="232">
        <v>1</v>
      </c>
      <c r="AK345" s="234">
        <v>271271.67</v>
      </c>
    </row>
    <row r="346" spans="1:46" s="232" customFormat="1" x14ac:dyDescent="0.2">
      <c r="A346" s="232">
        <v>1.19</v>
      </c>
      <c r="B346" s="232" t="s">
        <v>1249</v>
      </c>
      <c r="E346" s="226">
        <f t="shared" si="98"/>
        <v>42960</v>
      </c>
      <c r="F346" s="226">
        <f t="shared" si="99"/>
        <v>42960</v>
      </c>
      <c r="G346" s="226">
        <v>0</v>
      </c>
      <c r="H346" s="226">
        <v>0</v>
      </c>
      <c r="I346" s="226">
        <v>0</v>
      </c>
      <c r="J346" s="226">
        <v>0</v>
      </c>
      <c r="K346" s="226">
        <v>0</v>
      </c>
      <c r="L346" s="226">
        <v>0</v>
      </c>
      <c r="M346" s="226">
        <v>0</v>
      </c>
      <c r="N346" s="226">
        <v>0</v>
      </c>
      <c r="O346" s="226">
        <v>0</v>
      </c>
      <c r="P346" s="226">
        <v>0</v>
      </c>
      <c r="Q346" s="226">
        <v>0</v>
      </c>
      <c r="R346" s="226">
        <v>0</v>
      </c>
      <c r="S346" s="226">
        <v>0</v>
      </c>
      <c r="T346" s="226">
        <v>0</v>
      </c>
      <c r="U346" s="226">
        <v>0</v>
      </c>
      <c r="V346" s="226">
        <v>0</v>
      </c>
      <c r="W346" s="226">
        <v>0</v>
      </c>
      <c r="X346" s="226">
        <v>0</v>
      </c>
      <c r="Y346" s="226">
        <v>0</v>
      </c>
      <c r="Z346" s="226">
        <v>0</v>
      </c>
      <c r="AA346" s="226">
        <v>0</v>
      </c>
      <c r="AB346" s="226">
        <v>0</v>
      </c>
      <c r="AC346" s="226">
        <v>0</v>
      </c>
      <c r="AD346" s="226">
        <v>0</v>
      </c>
      <c r="AE346" s="226">
        <v>0</v>
      </c>
      <c r="AF346" s="226">
        <v>0</v>
      </c>
      <c r="AG346" s="226">
        <f t="shared" si="95"/>
        <v>42960</v>
      </c>
      <c r="AH346" s="240" t="str">
        <f t="shared" si="97"/>
        <v>ok</v>
      </c>
      <c r="AI346" s="232">
        <v>1</v>
      </c>
      <c r="AK346" s="234">
        <v>42960</v>
      </c>
    </row>
    <row r="347" spans="1:46" s="232" customFormat="1" x14ac:dyDescent="0.2">
      <c r="A347" s="242">
        <v>1.2</v>
      </c>
      <c r="B347" s="232" t="s">
        <v>1250</v>
      </c>
      <c r="E347" s="226">
        <f t="shared" si="98"/>
        <v>6000</v>
      </c>
      <c r="F347" s="226">
        <f t="shared" si="99"/>
        <v>6000</v>
      </c>
      <c r="G347" s="226">
        <v>0</v>
      </c>
      <c r="H347" s="226">
        <v>0</v>
      </c>
      <c r="I347" s="226">
        <v>0</v>
      </c>
      <c r="J347" s="226">
        <v>0</v>
      </c>
      <c r="K347" s="226">
        <v>0</v>
      </c>
      <c r="L347" s="226">
        <v>0</v>
      </c>
      <c r="M347" s="226">
        <v>0</v>
      </c>
      <c r="N347" s="226">
        <v>0</v>
      </c>
      <c r="O347" s="226">
        <v>0</v>
      </c>
      <c r="P347" s="226">
        <v>0</v>
      </c>
      <c r="Q347" s="226">
        <v>0</v>
      </c>
      <c r="R347" s="226">
        <v>0</v>
      </c>
      <c r="S347" s="226">
        <v>0</v>
      </c>
      <c r="T347" s="226">
        <v>0</v>
      </c>
      <c r="U347" s="226">
        <v>0</v>
      </c>
      <c r="V347" s="226">
        <v>0</v>
      </c>
      <c r="W347" s="226">
        <v>0</v>
      </c>
      <c r="X347" s="226">
        <v>0</v>
      </c>
      <c r="Y347" s="226">
        <v>0</v>
      </c>
      <c r="Z347" s="226">
        <v>0</v>
      </c>
      <c r="AA347" s="226">
        <v>0</v>
      </c>
      <c r="AB347" s="226">
        <v>0</v>
      </c>
      <c r="AC347" s="226">
        <v>0</v>
      </c>
      <c r="AD347" s="226">
        <v>0</v>
      </c>
      <c r="AE347" s="226">
        <v>0</v>
      </c>
      <c r="AF347" s="226">
        <v>0</v>
      </c>
      <c r="AG347" s="226">
        <f t="shared" si="95"/>
        <v>6000</v>
      </c>
      <c r="AH347" s="240" t="str">
        <f t="shared" si="96"/>
        <v>ok</v>
      </c>
      <c r="AI347" s="232">
        <v>1</v>
      </c>
      <c r="AK347" s="234">
        <v>6000</v>
      </c>
    </row>
    <row r="348" spans="1:46" s="232" customFormat="1" x14ac:dyDescent="0.2">
      <c r="A348" s="232">
        <v>1.21</v>
      </c>
      <c r="B348" s="232" t="s">
        <v>1251</v>
      </c>
      <c r="E348" s="226">
        <f t="shared" si="98"/>
        <v>6384</v>
      </c>
      <c r="F348" s="226">
        <f t="shared" si="99"/>
        <v>6384</v>
      </c>
      <c r="G348" s="226">
        <v>0</v>
      </c>
      <c r="H348" s="226">
        <v>0</v>
      </c>
      <c r="I348" s="226">
        <v>0</v>
      </c>
      <c r="J348" s="226">
        <v>0</v>
      </c>
      <c r="K348" s="226">
        <v>0</v>
      </c>
      <c r="L348" s="226">
        <v>0</v>
      </c>
      <c r="M348" s="226">
        <v>0</v>
      </c>
      <c r="N348" s="226">
        <v>0</v>
      </c>
      <c r="O348" s="226">
        <v>0</v>
      </c>
      <c r="P348" s="226">
        <v>0</v>
      </c>
      <c r="Q348" s="226">
        <v>0</v>
      </c>
      <c r="R348" s="226">
        <v>0</v>
      </c>
      <c r="S348" s="226">
        <v>0</v>
      </c>
      <c r="T348" s="226">
        <v>0</v>
      </c>
      <c r="U348" s="226">
        <v>0</v>
      </c>
      <c r="V348" s="226">
        <v>0</v>
      </c>
      <c r="W348" s="226">
        <v>0</v>
      </c>
      <c r="X348" s="226">
        <v>0</v>
      </c>
      <c r="Y348" s="226">
        <v>0</v>
      </c>
      <c r="Z348" s="226">
        <v>0</v>
      </c>
      <c r="AA348" s="226">
        <v>0</v>
      </c>
      <c r="AB348" s="226">
        <v>0</v>
      </c>
      <c r="AC348" s="226">
        <v>0</v>
      </c>
      <c r="AD348" s="226">
        <v>0</v>
      </c>
      <c r="AE348" s="226">
        <v>0</v>
      </c>
      <c r="AF348" s="226">
        <v>0</v>
      </c>
      <c r="AG348" s="226">
        <f t="shared" si="95"/>
        <v>6384</v>
      </c>
      <c r="AH348" s="240" t="str">
        <f t="shared" si="96"/>
        <v>ok</v>
      </c>
      <c r="AI348" s="232">
        <v>1</v>
      </c>
      <c r="AK348" s="234">
        <v>6384</v>
      </c>
    </row>
    <row r="349" spans="1:46" hidden="1" x14ac:dyDescent="0.2">
      <c r="B349" s="224" t="s">
        <v>1070</v>
      </c>
      <c r="C349" s="224"/>
      <c r="D349" s="224"/>
      <c r="E349" s="246">
        <f>AK358*AI349</f>
        <v>0</v>
      </c>
      <c r="F349" s="225">
        <f>AK349*AI349</f>
        <v>0</v>
      </c>
      <c r="G349" s="225">
        <v>0</v>
      </c>
      <c r="H349" s="225">
        <v>0</v>
      </c>
      <c r="I349" s="225">
        <v>0</v>
      </c>
      <c r="J349" s="225">
        <v>0</v>
      </c>
      <c r="K349" s="225">
        <v>0</v>
      </c>
      <c r="L349" s="225">
        <v>0</v>
      </c>
      <c r="M349" s="225">
        <v>0</v>
      </c>
      <c r="N349" s="225">
        <v>0</v>
      </c>
      <c r="O349" s="225">
        <v>0</v>
      </c>
      <c r="P349" s="225">
        <v>0</v>
      </c>
      <c r="Q349" s="225">
        <v>0</v>
      </c>
      <c r="R349" s="225">
        <v>0</v>
      </c>
      <c r="S349" s="225">
        <v>0</v>
      </c>
      <c r="T349" s="225">
        <v>0</v>
      </c>
      <c r="U349" s="225">
        <v>0</v>
      </c>
      <c r="V349" s="225">
        <v>0</v>
      </c>
      <c r="W349" s="225">
        <v>0</v>
      </c>
      <c r="X349" s="225">
        <v>0</v>
      </c>
      <c r="Y349" s="225">
        <v>0</v>
      </c>
      <c r="Z349" s="225">
        <v>0</v>
      </c>
      <c r="AA349" s="225">
        <v>0</v>
      </c>
      <c r="AB349" s="225">
        <v>0</v>
      </c>
      <c r="AC349" s="225">
        <v>0</v>
      </c>
      <c r="AD349" s="225">
        <v>0</v>
      </c>
      <c r="AE349" s="225">
        <v>0</v>
      </c>
      <c r="AF349" s="225">
        <v>0</v>
      </c>
      <c r="AG349" s="225">
        <f t="shared" si="95"/>
        <v>0</v>
      </c>
      <c r="AH349" s="30" t="str">
        <f t="shared" si="96"/>
        <v>ok</v>
      </c>
      <c r="AI349" s="14">
        <v>0</v>
      </c>
      <c r="AJ349" s="30" t="s">
        <v>1238</v>
      </c>
      <c r="AK349" s="50">
        <v>10767835.375506651</v>
      </c>
    </row>
    <row r="350" spans="1:46" x14ac:dyDescent="0.2">
      <c r="B350" s="27" t="s">
        <v>900</v>
      </c>
      <c r="E350" s="247">
        <f t="shared" ref="E350:AG350" si="101">SUM(E341:E349)</f>
        <v>-25791385.399999999</v>
      </c>
      <c r="F350" s="104">
        <f t="shared" si="101"/>
        <v>-17826722.522689767</v>
      </c>
      <c r="G350" s="104">
        <f t="shared" si="101"/>
        <v>-1953089.6214299605</v>
      </c>
      <c r="H350" s="104">
        <f t="shared" si="101"/>
        <v>-2515878.246418762</v>
      </c>
      <c r="I350" s="104">
        <f t="shared" si="101"/>
        <v>-5085.9128217223042</v>
      </c>
      <c r="J350" s="104">
        <f t="shared" si="101"/>
        <v>-1422380.215134498</v>
      </c>
      <c r="K350" s="104">
        <f t="shared" si="101"/>
        <v>-1511116.2837017686</v>
      </c>
      <c r="L350" s="104">
        <f t="shared" si="101"/>
        <v>-295005.72343196289</v>
      </c>
      <c r="M350" s="104">
        <f t="shared" si="101"/>
        <v>-218141.98448291051</v>
      </c>
      <c r="N350" s="104">
        <f t="shared" si="101"/>
        <v>-43964.893232614537</v>
      </c>
      <c r="O350" s="104">
        <f t="shared" si="101"/>
        <v>0</v>
      </c>
      <c r="P350" s="104">
        <f t="shared" si="101"/>
        <v>0</v>
      </c>
      <c r="Q350" s="104">
        <f t="shared" si="101"/>
        <v>0</v>
      </c>
      <c r="R350" s="104">
        <f t="shared" si="101"/>
        <v>0</v>
      </c>
      <c r="S350" s="104">
        <f t="shared" si="101"/>
        <v>0</v>
      </c>
      <c r="T350" s="104">
        <f t="shared" si="101"/>
        <v>0</v>
      </c>
      <c r="U350" s="104">
        <f t="shared" si="101"/>
        <v>0</v>
      </c>
      <c r="V350" s="104">
        <f t="shared" si="101"/>
        <v>0</v>
      </c>
      <c r="W350" s="104">
        <f t="shared" si="101"/>
        <v>0</v>
      </c>
      <c r="X350" s="104">
        <f t="shared" si="101"/>
        <v>0</v>
      </c>
      <c r="Y350" s="104">
        <f t="shared" si="101"/>
        <v>0</v>
      </c>
      <c r="Z350" s="104">
        <f t="shared" si="101"/>
        <v>0</v>
      </c>
      <c r="AA350" s="104">
        <f t="shared" si="101"/>
        <v>0</v>
      </c>
      <c r="AB350" s="104">
        <f t="shared" si="101"/>
        <v>0</v>
      </c>
      <c r="AC350" s="104">
        <f t="shared" si="101"/>
        <v>0</v>
      </c>
      <c r="AD350" s="104">
        <f t="shared" si="101"/>
        <v>0</v>
      </c>
      <c r="AE350" s="104">
        <f t="shared" si="101"/>
        <v>0</v>
      </c>
      <c r="AF350" s="104">
        <f t="shared" si="101"/>
        <v>0</v>
      </c>
      <c r="AG350" s="104">
        <f t="shared" si="101"/>
        <v>-25791385.403343968</v>
      </c>
      <c r="AH350" s="30" t="str">
        <f t="shared" si="96"/>
        <v>ok</v>
      </c>
      <c r="AJ350" s="30" t="s">
        <v>1090</v>
      </c>
      <c r="AK350" s="50">
        <v>0</v>
      </c>
    </row>
    <row r="351" spans="1:46" x14ac:dyDescent="0.2">
      <c r="A351" s="14" t="s">
        <v>750</v>
      </c>
      <c r="B351" s="14" t="s">
        <v>750</v>
      </c>
      <c r="AJ351" s="30" t="s">
        <v>1092</v>
      </c>
      <c r="AK351" s="50">
        <v>0</v>
      </c>
    </row>
    <row r="352" spans="1:46" x14ac:dyDescent="0.2">
      <c r="A352" s="14" t="s">
        <v>570</v>
      </c>
      <c r="E352" s="226">
        <f>E338+E350</f>
        <v>128112774.21000007</v>
      </c>
      <c r="F352" s="93">
        <f t="shared" ref="F352:AG352" si="102">F338+F350</f>
        <v>84384720.872680426</v>
      </c>
      <c r="G352" s="93">
        <f t="shared" si="102"/>
        <v>8519830.7754626591</v>
      </c>
      <c r="H352" s="93">
        <f t="shared" si="102"/>
        <v>17439910.08907577</v>
      </c>
      <c r="I352" s="93">
        <f t="shared" si="102"/>
        <v>846704.78849104582</v>
      </c>
      <c r="J352" s="93">
        <f t="shared" si="102"/>
        <v>4999263.9152046191</v>
      </c>
      <c r="K352" s="93">
        <f t="shared" si="102"/>
        <v>5339214.6114081275</v>
      </c>
      <c r="L352" s="93">
        <f t="shared" si="102"/>
        <v>1376881.1060797372</v>
      </c>
      <c r="M352" s="93">
        <f t="shared" si="102"/>
        <v>901508.77961356076</v>
      </c>
      <c r="N352" s="93">
        <f t="shared" si="102"/>
        <v>4304739.2686400954</v>
      </c>
      <c r="O352" s="93">
        <f t="shared" si="102"/>
        <v>0</v>
      </c>
      <c r="P352" s="93">
        <f t="shared" si="102"/>
        <v>0</v>
      </c>
      <c r="Q352" s="93">
        <f t="shared" si="102"/>
        <v>0</v>
      </c>
      <c r="R352" s="93">
        <f t="shared" si="102"/>
        <v>0</v>
      </c>
      <c r="S352" s="93">
        <f t="shared" si="102"/>
        <v>0</v>
      </c>
      <c r="T352" s="93">
        <f t="shared" si="102"/>
        <v>0</v>
      </c>
      <c r="U352" s="93">
        <f t="shared" si="102"/>
        <v>0</v>
      </c>
      <c r="V352" s="93">
        <f t="shared" si="102"/>
        <v>0</v>
      </c>
      <c r="W352" s="93">
        <f t="shared" si="102"/>
        <v>0</v>
      </c>
      <c r="X352" s="93">
        <f t="shared" si="102"/>
        <v>0</v>
      </c>
      <c r="Y352" s="93">
        <f t="shared" si="102"/>
        <v>0</v>
      </c>
      <c r="Z352" s="93">
        <f t="shared" si="102"/>
        <v>0</v>
      </c>
      <c r="AA352" s="93">
        <f t="shared" si="102"/>
        <v>0</v>
      </c>
      <c r="AB352" s="93">
        <f t="shared" si="102"/>
        <v>0</v>
      </c>
      <c r="AC352" s="93">
        <f t="shared" si="102"/>
        <v>0</v>
      </c>
      <c r="AD352" s="93">
        <f t="shared" si="102"/>
        <v>0</v>
      </c>
      <c r="AE352" s="93">
        <f t="shared" si="102"/>
        <v>0</v>
      </c>
      <c r="AF352" s="93">
        <f t="shared" si="102"/>
        <v>0</v>
      </c>
      <c r="AG352" s="93">
        <f t="shared" si="102"/>
        <v>128112774.20665604</v>
      </c>
      <c r="AH352" s="30" t="str">
        <f>IF(ABS(E352-AG352)&lt;0.01,"ok","err")</f>
        <v>ok</v>
      </c>
      <c r="AJ352" s="30" t="s">
        <v>1223</v>
      </c>
      <c r="AK352" s="50">
        <v>0</v>
      </c>
    </row>
    <row r="353" spans="1:40" x14ac:dyDescent="0.2">
      <c r="AJ353" s="30" t="s">
        <v>1224</v>
      </c>
      <c r="AK353" s="50">
        <v>0</v>
      </c>
    </row>
    <row r="354" spans="1:40" x14ac:dyDescent="0.2">
      <c r="A354" s="13" t="s">
        <v>327</v>
      </c>
      <c r="AJ354" s="30" t="s">
        <v>1225</v>
      </c>
      <c r="AK354" s="50">
        <v>0</v>
      </c>
    </row>
    <row r="355" spans="1:40" x14ac:dyDescent="0.2">
      <c r="AJ355" s="30" t="s">
        <v>1100</v>
      </c>
      <c r="AK355" s="50">
        <v>0</v>
      </c>
    </row>
    <row r="356" spans="1:40" x14ac:dyDescent="0.2">
      <c r="A356" s="14" t="s">
        <v>571</v>
      </c>
      <c r="C356" s="14" t="s">
        <v>198</v>
      </c>
      <c r="E356" s="226">
        <f t="shared" ref="E356:U356" si="103">E324</f>
        <v>151783165.44600007</v>
      </c>
      <c r="F356" s="93">
        <f t="shared" si="103"/>
        <v>108749545.94381033</v>
      </c>
      <c r="G356" s="93">
        <f t="shared" si="103"/>
        <v>7622654.5114559988</v>
      </c>
      <c r="H356" s="93">
        <f t="shared" si="103"/>
        <v>17700916.542558335</v>
      </c>
      <c r="I356" s="93">
        <f t="shared" si="103"/>
        <v>788126.81292526016</v>
      </c>
      <c r="J356" s="93">
        <f t="shared" si="103"/>
        <v>6100890.7665605489</v>
      </c>
      <c r="K356" s="93">
        <f t="shared" si="103"/>
        <v>6512427.2507471731</v>
      </c>
      <c r="L356" s="93">
        <f t="shared" si="103"/>
        <v>1256391.0953076323</v>
      </c>
      <c r="M356" s="93">
        <f t="shared" si="103"/>
        <v>1037055.1239394583</v>
      </c>
      <c r="N356" s="93">
        <f t="shared" si="103"/>
        <v>2015157.3986952936</v>
      </c>
      <c r="O356" s="93">
        <f t="shared" si="103"/>
        <v>0</v>
      </c>
      <c r="P356" s="93">
        <f t="shared" si="103"/>
        <v>0</v>
      </c>
      <c r="Q356" s="93">
        <f t="shared" si="103"/>
        <v>0</v>
      </c>
      <c r="R356" s="93">
        <f t="shared" si="103"/>
        <v>0</v>
      </c>
      <c r="S356" s="93">
        <f t="shared" si="103"/>
        <v>0</v>
      </c>
      <c r="T356" s="93">
        <f t="shared" si="103"/>
        <v>0</v>
      </c>
      <c r="U356" s="93">
        <f t="shared" si="103"/>
        <v>0</v>
      </c>
      <c r="V356" s="93">
        <f t="shared" ref="V356:AE356" si="104">V324-V125</f>
        <v>0</v>
      </c>
      <c r="W356" s="93">
        <f t="shared" si="104"/>
        <v>0</v>
      </c>
      <c r="X356" s="93">
        <f t="shared" si="104"/>
        <v>0</v>
      </c>
      <c r="Y356" s="93">
        <f t="shared" si="104"/>
        <v>0</v>
      </c>
      <c r="Z356" s="93">
        <f t="shared" si="104"/>
        <v>0</v>
      </c>
      <c r="AA356" s="93">
        <f t="shared" si="104"/>
        <v>0</v>
      </c>
      <c r="AB356" s="93">
        <f t="shared" si="104"/>
        <v>0</v>
      </c>
      <c r="AC356" s="93">
        <f t="shared" si="104"/>
        <v>0</v>
      </c>
      <c r="AD356" s="93">
        <f t="shared" si="104"/>
        <v>0</v>
      </c>
      <c r="AE356" s="93">
        <f t="shared" si="104"/>
        <v>0</v>
      </c>
      <c r="AF356" s="93">
        <f>AF324</f>
        <v>0</v>
      </c>
      <c r="AG356" s="93">
        <f>SUM(F356:AF356)</f>
        <v>151783165.44600001</v>
      </c>
      <c r="AH356" s="30" t="str">
        <f>IF(ABS(E356-AG356)&lt;0.01,"ok","err")</f>
        <v>ok</v>
      </c>
      <c r="AJ356" s="30" t="s">
        <v>1102</v>
      </c>
      <c r="AK356" s="50">
        <v>0</v>
      </c>
    </row>
    <row r="357" spans="1:40" x14ac:dyDescent="0.2">
      <c r="AJ357" s="30" t="s">
        <v>1222</v>
      </c>
      <c r="AK357" s="50">
        <v>0</v>
      </c>
    </row>
    <row r="358" spans="1:40" s="232" customFormat="1" x14ac:dyDescent="0.2">
      <c r="A358" s="232" t="s">
        <v>569</v>
      </c>
      <c r="AJ358" s="240" t="s">
        <v>0</v>
      </c>
      <c r="AK358" s="234">
        <f>SUM(AK349:AK357)</f>
        <v>10767835.375506651</v>
      </c>
    </row>
    <row r="359" spans="1:40" s="232" customFormat="1" x14ac:dyDescent="0.2">
      <c r="A359" s="232">
        <v>1.01</v>
      </c>
      <c r="B359" s="232" t="s">
        <v>950</v>
      </c>
      <c r="D359" s="232" t="s">
        <v>1243</v>
      </c>
      <c r="E359" s="226">
        <v>-11241462</v>
      </c>
      <c r="F359" s="233">
        <f>IF(VLOOKUP($D359,$C$5:$AU$521,3,)=0,0,(VLOOKUP($D359,$C$5:$AU$521,4,)/VLOOKUP($D359,$C$5:$AU$521,3,))*$E359)</f>
        <v>-7058934.5835661693</v>
      </c>
      <c r="G359" s="233">
        <f>IF(VLOOKUP($D359,$C$5:$AU$521,3,)=0,0,(VLOOKUP($D359,$C$5:$AU$521,5,)/VLOOKUP($D359,$C$5:$AU$521,3,))*$E359)</f>
        <v>-671086.91564984829</v>
      </c>
      <c r="H359" s="233">
        <f>IF(VLOOKUP($D359,$C$5:$AU$521,3,)=0,0,(VLOOKUP($D359,$C$5:$AU$521,6,)/VLOOKUP($D359,$C$5:$AU$521,3,))*$E359)</f>
        <v>-1724249.3117825009</v>
      </c>
      <c r="I359" s="233">
        <f>IF(VLOOKUP($D359,$C$5:$AU$521,3,)=0,0,(VLOOKUP($D359,$C$5:$AU$521,7,)/VLOOKUP($D359,$C$5:$AU$521,3,))*$E359)</f>
        <v>-91965.855862029988</v>
      </c>
      <c r="J359" s="233">
        <f t="shared" ref="J359:J383" si="105">IF(VLOOKUP($D359,$C$5:$AU$521,3,)=0,0,(VLOOKUP($D359,$C$5:$AU$521,8,)/VLOOKUP($D359,$C$5:$AU$521,3,))*$E359)</f>
        <v>-720132.20627034444</v>
      </c>
      <c r="K359" s="233">
        <f t="shared" ref="K359:K383" si="106">IF(VLOOKUP($D359,$C$5:$AU$521,3,)=0,0,(VLOOKUP($D359,$C$5:$AU$521,9,)/VLOOKUP($D359,$C$5:$AU$521,3,))*$E359)</f>
        <v>-761878.09680885589</v>
      </c>
      <c r="L359" s="233">
        <f t="shared" ref="L359:L383" si="107">IF(VLOOKUP($D359,$C$5:$AU$521,3,)=0,0,(VLOOKUP($D359,$C$5:$AU$521,10,)/VLOOKUP($D359,$C$5:$AU$521,3,))*$E359)</f>
        <v>-109401.13345594378</v>
      </c>
      <c r="M359" s="233">
        <f t="shared" ref="M359:M383" si="108">IF(VLOOKUP($D359,$C$5:$AU$521,3,)=0,0,(VLOOKUP($D359,$C$5:$AU$521,11,)/VLOOKUP($D359,$C$5:$AU$521,3,))*$E359)</f>
        <v>-96028.983339322542</v>
      </c>
      <c r="N359" s="233">
        <f>IF(VLOOKUP($D359,$C$5:$AU$521,3,)=0,0,(VLOOKUP($D359,$C$5:$AU$521,12,)/VLOOKUP($D359,$C$5:$AU$521,3,))*$E359)</f>
        <v>-7784.9132649843023</v>
      </c>
      <c r="O359" s="233">
        <f>IF(VLOOKUP($D359,$C$5:$AU$521,3,)=0,0,(VLOOKUP($D359,$C$5:$AU$521,13,)/VLOOKUP($D359,$C$5:$AU$521,3,))*$E359)</f>
        <v>0</v>
      </c>
      <c r="P359" s="233">
        <f>IF(VLOOKUP($D359,$C$5:$AU$521,3,)=0,0,(VLOOKUP($D359,$C$5:$AU$521,14,)/VLOOKUP($D359,$C$5:$AU$521,3,))*$E359)</f>
        <v>0</v>
      </c>
      <c r="Q359" s="233">
        <f>IF(VLOOKUP($D359,$C$5:$AU$521,3,)=0,0,(VLOOKUP($D359,$C$5:$AU$521,15,)/VLOOKUP($D359,$C$5:$AU$521,3,))*$E359)</f>
        <v>0</v>
      </c>
      <c r="R359" s="233">
        <f>IF(VLOOKUP($D359,$C$5:$AU$521,3,)=0,0,(VLOOKUP($D359,$C$5:$AU$521,16,)/VLOOKUP($D359,$C$5:$AU$521,3,))*$E359)</f>
        <v>0</v>
      </c>
      <c r="S359" s="233">
        <f>IF(VLOOKUP($D359,$C$5:$AU$521,3,)=0,0,(VLOOKUP($D359,$C$5:$AU$521,17,)/VLOOKUP($D359,$C$5:$AU$521,3,))*$E359)</f>
        <v>0</v>
      </c>
      <c r="T359" s="233">
        <f>IF(VLOOKUP($D359,$C$5:$AU$521,3,)=0,0,(VLOOKUP($D359,$C$5:$AU$521,18,)/VLOOKUP($D359,$C$5:$AU$521,3,))*$E359)</f>
        <v>0</v>
      </c>
      <c r="U359" s="233">
        <f>IF(VLOOKUP($D359,$C$5:$AU$521,3,)=0,0,(VLOOKUP($D359,$C$5:$AU$521,19,)/VLOOKUP($D359,$C$5:$AU$521,3,))*$E359)</f>
        <v>0</v>
      </c>
      <c r="V359" s="233">
        <f>IF(VLOOKUP($D359,$C$5:$AU$521,3,)=0,0,(VLOOKUP($D359,$C$5:$AU$521,20,)/VLOOKUP($D359,$C$5:$AU$521,3,))*$E359)</f>
        <v>0</v>
      </c>
      <c r="W359" s="233">
        <f>IF(VLOOKUP($D359,$C$5:$AU$521,3,)=0,0,(VLOOKUP($D359,$C$5:$AU$521,21,)/VLOOKUP($D359,$C$5:$AU$521,3,))*$E359)</f>
        <v>0</v>
      </c>
      <c r="X359" s="233">
        <f>IF(VLOOKUP($D359,$C$5:$AU$521,3,)=0,0,(VLOOKUP($D359,$C$5:$AU$521,22,)/VLOOKUP($D359,$C$5:$AU$521,3,))*$E359)</f>
        <v>0</v>
      </c>
      <c r="Y359" s="233">
        <f>IF(VLOOKUP($D359,$C$5:$AU$521,3,)=0,0,(VLOOKUP($D359,$C$5:$AU$521,23,)/VLOOKUP($D359,$C$5:$AU$521,3,))*$E359)</f>
        <v>0</v>
      </c>
      <c r="Z359" s="233">
        <f>IF(VLOOKUP($D359,$C$5:$AU$521,3,)=0,0,(VLOOKUP($D359,$C$5:$AU$521,24,)/VLOOKUP($D359,$C$5:$AU$521,3,))*$E359)</f>
        <v>0</v>
      </c>
      <c r="AA359" s="233">
        <f>IF(VLOOKUP($D359,$C$5:$AU$521,3,)=0,0,(VLOOKUP($D359,$C$5:$AU$521,25,)/VLOOKUP($D359,$C$5:$AU$521,3,))*$E359)</f>
        <v>0</v>
      </c>
      <c r="AB359" s="233">
        <f>IF(VLOOKUP($D359,$C$5:$AU$521,3,)=0,0,(VLOOKUP($D359,$C$5:$AU$521,26,)/VLOOKUP($D359,$C$5:$AU$521,3,))*$E359)</f>
        <v>0</v>
      </c>
      <c r="AC359" s="233">
        <f>IF(VLOOKUP($D359,$C$5:$AU$521,3,)=0,0,(VLOOKUP($D359,$C$5:$AU$521,27,)/VLOOKUP($D359,$C$5:$AU$521,3,))*$E359)</f>
        <v>0</v>
      </c>
      <c r="AD359" s="233">
        <f>IF(VLOOKUP($D359,$C$5:$AU$521,3,)=0,0,(VLOOKUP($D359,$C$5:$AU$521,28,)/VLOOKUP($D359,$C$5:$AU$521,3,))*$E359)</f>
        <v>0</v>
      </c>
      <c r="AE359" s="233">
        <f>IF(VLOOKUP($D359,$C$5:$AU$521,3,)=0,0,(VLOOKUP($D359,$C$5:$AU$521,29,)/VLOOKUP($D359,$C$5:$AU$521,3,))*$E359)</f>
        <v>0</v>
      </c>
      <c r="AF359" s="233">
        <f>IF(VLOOKUP($D359,$C$5:$AU$521,3,)=0,0,(VLOOKUP($D359,$C$5:$AU$521,30,)/VLOOKUP($D359,$C$5:$AU$521,3,))*$E359)</f>
        <v>0</v>
      </c>
      <c r="AG359" s="226">
        <f t="shared" ref="AG359:AG384" si="109">SUM(F359:AF359)</f>
        <v>-11241462</v>
      </c>
      <c r="AH359" s="240" t="str">
        <f t="shared" ref="AH359:AH384" si="110">IF(ABS(E359-AG359)&lt;0.01,"ok","err")</f>
        <v>ok</v>
      </c>
      <c r="AI359" s="232">
        <v>1</v>
      </c>
      <c r="AK359" s="234"/>
    </row>
    <row r="360" spans="1:40" s="232" customFormat="1" x14ac:dyDescent="0.2">
      <c r="A360" s="230">
        <v>1.02</v>
      </c>
      <c r="B360" s="232" t="s">
        <v>949</v>
      </c>
      <c r="D360" s="232" t="s">
        <v>1244</v>
      </c>
      <c r="E360" s="226">
        <v>-15508843</v>
      </c>
      <c r="F360" s="233">
        <f>IF(VLOOKUP($D360,$C$5:$AU$521,3,)=0,0,(VLOOKUP($D360,$C$5:$AU$521,4,)/VLOOKUP($D360,$C$5:$AU$521,3,))*$E360)</f>
        <v>-10542921.367367726</v>
      </c>
      <c r="G360" s="233">
        <f>IF(VLOOKUP($D360,$C$5:$AU$521,3,)=0,0,(VLOOKUP($D360,$C$5:$AU$521,5,)/VLOOKUP($D360,$C$5:$AU$521,3,))*$E360)</f>
        <v>-1115836.4794613388</v>
      </c>
      <c r="H360" s="233">
        <f>IF(VLOOKUP($D360,$C$5:$AU$521,3,)=0,0,(VLOOKUP($D360,$C$5:$AU$521,6,)/VLOOKUP($D360,$C$5:$AU$521,3,))*$E360)</f>
        <v>-2079168.9355133423</v>
      </c>
      <c r="I360" s="233">
        <f>IF(VLOOKUP($D360,$C$5:$AU$521,3,)=0,0,(VLOOKUP($D360,$C$5:$AU$521,7,)/VLOOKUP($D360,$C$5:$AU$521,3,))*$E360)</f>
        <v>-88789.212463992662</v>
      </c>
      <c r="J360" s="233">
        <f t="shared" si="105"/>
        <v>-654771.34098342597</v>
      </c>
      <c r="K360" s="233">
        <f t="shared" si="106"/>
        <v>-698943.32541071449</v>
      </c>
      <c r="L360" s="233">
        <f t="shared" si="107"/>
        <v>-177562.96022067845</v>
      </c>
      <c r="M360" s="233">
        <f t="shared" si="108"/>
        <v>-115482.96300894963</v>
      </c>
      <c r="N360" s="233">
        <f>IF(VLOOKUP($D360,$C$5:$AU$521,3,)=0,0,(VLOOKUP($D360,$C$5:$AU$521,12,)/VLOOKUP($D360,$C$5:$AU$521,3,))*$E360)</f>
        <v>-35366.415569830191</v>
      </c>
      <c r="O360" s="233">
        <f>IF(VLOOKUP($D360,$C$5:$AU$521,3,)=0,0,(VLOOKUP($D360,$C$5:$AU$521,13,)/VLOOKUP($D360,$C$5:$AU$521,3,))*$E360)</f>
        <v>0</v>
      </c>
      <c r="P360" s="233">
        <f>IF(VLOOKUP($D360,$C$5:$AU$521,3,)=0,0,(VLOOKUP($D360,$C$5:$AU$521,14,)/VLOOKUP($D360,$C$5:$AU$521,3,))*$E360)</f>
        <v>0</v>
      </c>
      <c r="Q360" s="233">
        <f>IF(VLOOKUP($D360,$C$5:$AU$521,3,)=0,0,(VLOOKUP($D360,$C$5:$AU$521,15,)/VLOOKUP($D360,$C$5:$AU$521,3,))*$E360)</f>
        <v>0</v>
      </c>
      <c r="R360" s="233">
        <f>IF(VLOOKUP($D360,$C$5:$AU$521,3,)=0,0,(VLOOKUP($D360,$C$5:$AU$521,16,)/VLOOKUP($D360,$C$5:$AU$521,3,))*$E360)</f>
        <v>0</v>
      </c>
      <c r="S360" s="233">
        <f>IF(VLOOKUP($D360,$C$5:$AU$521,3,)=0,0,(VLOOKUP($D360,$C$5:$AU$521,17,)/VLOOKUP($D360,$C$5:$AU$521,3,))*$E360)</f>
        <v>0</v>
      </c>
      <c r="T360" s="233">
        <f>IF(VLOOKUP($D360,$C$5:$AU$521,3,)=0,0,(VLOOKUP($D360,$C$5:$AU$521,18,)/VLOOKUP($D360,$C$5:$AU$521,3,))*$E360)</f>
        <v>0</v>
      </c>
      <c r="U360" s="233">
        <f>IF(VLOOKUP($D360,$C$5:$AU$521,3,)=0,0,(VLOOKUP($D360,$C$5:$AU$521,19,)/VLOOKUP($D360,$C$5:$AU$521,3,))*$E360)</f>
        <v>0</v>
      </c>
      <c r="V360" s="233">
        <f>IF(VLOOKUP($D360,$C$5:$AU$521,3,)=0,0,(VLOOKUP($D360,$C$5:$AU$521,20,)/VLOOKUP($D360,$C$5:$AU$521,3,))*$E360)</f>
        <v>0</v>
      </c>
      <c r="W360" s="233">
        <f>IF(VLOOKUP($D360,$C$5:$AU$521,3,)=0,0,(VLOOKUP($D360,$C$5:$AU$521,21,)/VLOOKUP($D360,$C$5:$AU$521,3,))*$E360)</f>
        <v>0</v>
      </c>
      <c r="X360" s="233">
        <f>IF(VLOOKUP($D360,$C$5:$AU$521,3,)=0,0,(VLOOKUP($D360,$C$5:$AU$521,22,)/VLOOKUP($D360,$C$5:$AU$521,3,))*$E360)</f>
        <v>0</v>
      </c>
      <c r="Y360" s="233">
        <f>IF(VLOOKUP($D360,$C$5:$AU$521,3,)=0,0,(VLOOKUP($D360,$C$5:$AU$521,23,)/VLOOKUP($D360,$C$5:$AU$521,3,))*$E360)</f>
        <v>0</v>
      </c>
      <c r="Z360" s="233">
        <f>IF(VLOOKUP($D360,$C$5:$AU$521,3,)=0,0,(VLOOKUP($D360,$C$5:$AU$521,24,)/VLOOKUP($D360,$C$5:$AU$521,3,))*$E360)</f>
        <v>0</v>
      </c>
      <c r="AA360" s="233">
        <f>IF(VLOOKUP($D360,$C$5:$AU$521,3,)=0,0,(VLOOKUP($D360,$C$5:$AU$521,25,)/VLOOKUP($D360,$C$5:$AU$521,3,))*$E360)</f>
        <v>0</v>
      </c>
      <c r="AB360" s="233">
        <f>IF(VLOOKUP($D360,$C$5:$AU$521,3,)=0,0,(VLOOKUP($D360,$C$5:$AU$521,26,)/VLOOKUP($D360,$C$5:$AU$521,3,))*$E360)</f>
        <v>0</v>
      </c>
      <c r="AC360" s="233">
        <f>IF(VLOOKUP($D360,$C$5:$AU$521,3,)=0,0,(VLOOKUP($D360,$C$5:$AU$521,27,)/VLOOKUP($D360,$C$5:$AU$521,3,))*$E360)</f>
        <v>0</v>
      </c>
      <c r="AD360" s="233">
        <f>IF(VLOOKUP($D360,$C$5:$AU$521,3,)=0,0,(VLOOKUP($D360,$C$5:$AU$521,28,)/VLOOKUP($D360,$C$5:$AU$521,3,))*$E360)</f>
        <v>0</v>
      </c>
      <c r="AE360" s="233">
        <f>IF(VLOOKUP($D360,$C$5:$AU$521,3,)=0,0,(VLOOKUP($D360,$C$5:$AU$521,29,)/VLOOKUP($D360,$C$5:$AU$521,3,))*$E360)</f>
        <v>0</v>
      </c>
      <c r="AF360" s="233">
        <f>IF(VLOOKUP($D360,$C$5:$AU$521,3,)=0,0,(VLOOKUP($D360,$C$5:$AU$521,30,)/VLOOKUP($D360,$C$5:$AU$521,3,))*$E360)</f>
        <v>0</v>
      </c>
      <c r="AG360" s="226">
        <f t="shared" si="109"/>
        <v>-15508842.999999998</v>
      </c>
      <c r="AH360" s="240" t="str">
        <f t="shared" si="110"/>
        <v>ok</v>
      </c>
      <c r="AI360" s="232">
        <f>AI359</f>
        <v>1</v>
      </c>
      <c r="AK360" s="234"/>
    </row>
    <row r="361" spans="1:40" s="232" customFormat="1" x14ac:dyDescent="0.2">
      <c r="A361" s="230">
        <v>1.03</v>
      </c>
      <c r="B361" s="232" t="s">
        <v>955</v>
      </c>
      <c r="D361" s="232" t="s">
        <v>273</v>
      </c>
      <c r="E361" s="226">
        <v>53333.33</v>
      </c>
      <c r="F361" s="233">
        <f>IF(VLOOKUP($D361,$C$5:$AU$521,3,)=0,0,(VLOOKUP($D361,$C$5:$AU$521,4,)/VLOOKUP($D361,$C$5:$AU$521,3,))*$E361)</f>
        <v>37905.411066438348</v>
      </c>
      <c r="G361" s="233">
        <f>IF(VLOOKUP($D361,$C$5:$AU$521,3,)=0,0,(VLOOKUP($D361,$C$5:$AU$521,5,)/VLOOKUP($D361,$C$5:$AU$521,3,))*$E361)</f>
        <v>2599.7849515888993</v>
      </c>
      <c r="H361" s="233">
        <f>IF(VLOOKUP($D361,$C$5:$AU$521,3,)=0,0,(VLOOKUP($D361,$C$5:$AU$521,6,)/VLOOKUP($D361,$C$5:$AU$521,3,))*$E361)</f>
        <v>6500.9609093783019</v>
      </c>
      <c r="I361" s="233">
        <f>IF(VLOOKUP($D361,$C$5:$AU$521,3,)=0,0,(VLOOKUP($D361,$C$5:$AU$521,7,)/VLOOKUP($D361,$C$5:$AU$521,3,))*$E361)</f>
        <v>292.085617974191</v>
      </c>
      <c r="J361" s="233">
        <f t="shared" si="105"/>
        <v>2260.7209356683579</v>
      </c>
      <c r="K361" s="233">
        <f t="shared" si="106"/>
        <v>2411.3550860321093</v>
      </c>
      <c r="L361" s="233">
        <f t="shared" si="107"/>
        <v>452.68030977122186</v>
      </c>
      <c r="M361" s="233">
        <f t="shared" si="108"/>
        <v>378.38586840327906</v>
      </c>
      <c r="N361" s="233">
        <f>IF(VLOOKUP($D361,$C$5:$AU$521,3,)=0,0,(VLOOKUP($D361,$C$5:$AU$521,12,)/VLOOKUP($D361,$C$5:$AU$521,3,))*$E361)</f>
        <v>531.94525474527961</v>
      </c>
      <c r="O361" s="233">
        <f>IF(VLOOKUP($D361,$C$5:$AU$521,3,)=0,0,(VLOOKUP($D361,$C$5:$AU$521,13,)/VLOOKUP($D361,$C$5:$AU$521,3,))*$E361)</f>
        <v>0</v>
      </c>
      <c r="P361" s="233">
        <f>IF(VLOOKUP($D361,$C$5:$AU$521,3,)=0,0,(VLOOKUP($D361,$C$5:$AU$521,14,)/VLOOKUP($D361,$C$5:$AU$521,3,))*$E361)</f>
        <v>0</v>
      </c>
      <c r="Q361" s="233">
        <f>IF(VLOOKUP($D361,$C$5:$AU$521,3,)=0,0,(VLOOKUP($D361,$C$5:$AU$521,15,)/VLOOKUP($D361,$C$5:$AU$521,3,))*$E361)</f>
        <v>0</v>
      </c>
      <c r="R361" s="233">
        <f>IF(VLOOKUP($D361,$C$5:$AU$521,3,)=0,0,(VLOOKUP($D361,$C$5:$AU$521,16,)/VLOOKUP($D361,$C$5:$AU$521,3,))*$E361)</f>
        <v>0</v>
      </c>
      <c r="S361" s="233">
        <f>IF(VLOOKUP($D361,$C$5:$AU$521,3,)=0,0,(VLOOKUP($D361,$C$5:$AU$521,17,)/VLOOKUP($D361,$C$5:$AU$521,3,))*$E361)</f>
        <v>0</v>
      </c>
      <c r="T361" s="233">
        <f>IF(VLOOKUP($D361,$C$5:$AU$521,3,)=0,0,(VLOOKUP($D361,$C$5:$AU$521,18,)/VLOOKUP($D361,$C$5:$AU$521,3,))*$E361)</f>
        <v>0</v>
      </c>
      <c r="U361" s="233">
        <f>IF(VLOOKUP($D361,$C$5:$AU$521,3,)=0,0,(VLOOKUP($D361,$C$5:$AU$521,19,)/VLOOKUP($D361,$C$5:$AU$521,3,))*$E361)</f>
        <v>0</v>
      </c>
      <c r="V361" s="233">
        <f>IF(VLOOKUP($D361,$C$5:$AU$521,3,)=0,0,(VLOOKUP($D361,$C$5:$AU$521,20,)/VLOOKUP($D361,$C$5:$AU$521,3,))*$E361)</f>
        <v>0</v>
      </c>
      <c r="W361" s="233">
        <f>IF(VLOOKUP($D361,$C$5:$AU$521,3,)=0,0,(VLOOKUP($D361,$C$5:$AU$521,21,)/VLOOKUP($D361,$C$5:$AU$521,3,))*$E361)</f>
        <v>0</v>
      </c>
      <c r="X361" s="233">
        <f>IF(VLOOKUP($D361,$C$5:$AU$521,3,)=0,0,(VLOOKUP($D361,$C$5:$AU$521,22,)/VLOOKUP($D361,$C$5:$AU$521,3,))*$E361)</f>
        <v>0</v>
      </c>
      <c r="Y361" s="233">
        <f>IF(VLOOKUP($D361,$C$5:$AU$521,3,)=0,0,(VLOOKUP($D361,$C$5:$AU$521,23,)/VLOOKUP($D361,$C$5:$AU$521,3,))*$E361)</f>
        <v>0</v>
      </c>
      <c r="Z361" s="233">
        <f>IF(VLOOKUP($D361,$C$5:$AU$521,3,)=0,0,(VLOOKUP($D361,$C$5:$AU$521,24,)/VLOOKUP($D361,$C$5:$AU$521,3,))*$E361)</f>
        <v>0</v>
      </c>
      <c r="AA361" s="233">
        <f>IF(VLOOKUP($D361,$C$5:$AU$521,3,)=0,0,(VLOOKUP($D361,$C$5:$AU$521,25,)/VLOOKUP($D361,$C$5:$AU$521,3,))*$E361)</f>
        <v>0</v>
      </c>
      <c r="AB361" s="233">
        <f>IF(VLOOKUP($D361,$C$5:$AU$521,3,)=0,0,(VLOOKUP($D361,$C$5:$AU$521,26,)/VLOOKUP($D361,$C$5:$AU$521,3,))*$E361)</f>
        <v>0</v>
      </c>
      <c r="AC361" s="233">
        <f>IF(VLOOKUP($D361,$C$5:$AU$521,3,)=0,0,(VLOOKUP($D361,$C$5:$AU$521,27,)/VLOOKUP($D361,$C$5:$AU$521,3,))*$E361)</f>
        <v>0</v>
      </c>
      <c r="AD361" s="233">
        <f>IF(VLOOKUP($D361,$C$5:$AU$521,3,)=0,0,(VLOOKUP($D361,$C$5:$AU$521,28,)/VLOOKUP($D361,$C$5:$AU$521,3,))*$E361)</f>
        <v>0</v>
      </c>
      <c r="AE361" s="233">
        <f>IF(VLOOKUP($D361,$C$5:$AU$521,3,)=0,0,(VLOOKUP($D361,$C$5:$AU$521,29,)/VLOOKUP($D361,$C$5:$AU$521,3,))*$E361)</f>
        <v>0</v>
      </c>
      <c r="AF361" s="233">
        <f>IF(VLOOKUP($D361,$C$5:$AU$521,3,)=0,0,(VLOOKUP($D361,$C$5:$AU$521,30,)/VLOOKUP($D361,$C$5:$AU$521,3,))*$E361)</f>
        <v>0</v>
      </c>
      <c r="AG361" s="226">
        <f t="shared" ref="AG361" si="111">SUM(F361:AF361)</f>
        <v>53333.329999999994</v>
      </c>
      <c r="AH361" s="240" t="str">
        <f t="shared" ref="AH361:AH363" si="112">IF(ABS(E361-AG361)&lt;0.01,"ok","err")</f>
        <v>ok</v>
      </c>
      <c r="AI361" s="232">
        <f t="shared" ref="AI361:AI375" si="113">AI360</f>
        <v>1</v>
      </c>
      <c r="AK361" s="234"/>
    </row>
    <row r="362" spans="1:40" s="232" customFormat="1" x14ac:dyDescent="0.2">
      <c r="A362" s="232">
        <v>1.04</v>
      </c>
      <c r="B362" s="232" t="s">
        <v>1239</v>
      </c>
      <c r="D362" s="232" t="s">
        <v>1245</v>
      </c>
      <c r="E362" s="226">
        <v>929272.66</v>
      </c>
      <c r="F362" s="233">
        <f>$AI362*AK362</f>
        <v>-24043.480449177649</v>
      </c>
      <c r="G362" s="233">
        <f t="shared" ref="G362:I362" si="114">$AI362*AL362</f>
        <v>-54971.900647253409</v>
      </c>
      <c r="H362" s="233">
        <f t="shared" si="114"/>
        <v>917122.86191506032</v>
      </c>
      <c r="I362" s="233">
        <f t="shared" si="114"/>
        <v>91165.17780124805</v>
      </c>
      <c r="J362" s="233">
        <f t="shared" si="105"/>
        <v>0</v>
      </c>
      <c r="K362" s="233">
        <f t="shared" si="106"/>
        <v>0</v>
      </c>
      <c r="L362" s="233">
        <f t="shared" si="107"/>
        <v>0</v>
      </c>
      <c r="M362" s="233">
        <f t="shared" si="108"/>
        <v>0</v>
      </c>
      <c r="N362" s="233">
        <v>0</v>
      </c>
      <c r="O362" s="233">
        <v>0</v>
      </c>
      <c r="P362" s="233">
        <v>0</v>
      </c>
      <c r="Q362" s="233">
        <v>0</v>
      </c>
      <c r="R362" s="233">
        <v>0</v>
      </c>
      <c r="S362" s="233">
        <v>0</v>
      </c>
      <c r="T362" s="233">
        <v>0</v>
      </c>
      <c r="U362" s="233">
        <v>0</v>
      </c>
      <c r="V362" s="233">
        <v>0</v>
      </c>
      <c r="W362" s="233">
        <v>0</v>
      </c>
      <c r="X362" s="233">
        <v>0</v>
      </c>
      <c r="Y362" s="233">
        <v>0</v>
      </c>
      <c r="Z362" s="233">
        <v>0</v>
      </c>
      <c r="AA362" s="233">
        <v>0</v>
      </c>
      <c r="AB362" s="233">
        <v>0</v>
      </c>
      <c r="AC362" s="233">
        <v>0</v>
      </c>
      <c r="AD362" s="233">
        <v>0</v>
      </c>
      <c r="AE362" s="233">
        <v>0</v>
      </c>
      <c r="AF362" s="233">
        <v>0</v>
      </c>
      <c r="AG362" s="226">
        <f t="shared" ref="AG362:AG363" si="115">SUM(F362:AF362)</f>
        <v>929272.6586198773</v>
      </c>
      <c r="AH362" s="240" t="str">
        <f t="shared" si="112"/>
        <v>ok</v>
      </c>
      <c r="AI362" s="232">
        <f t="shared" si="113"/>
        <v>1</v>
      </c>
      <c r="AK362" s="241">
        <v>-24043.480449177649</v>
      </c>
      <c r="AL362" s="241">
        <v>-54971.900647253409</v>
      </c>
      <c r="AM362" s="241">
        <v>917122.86191506032</v>
      </c>
      <c r="AN362" s="241">
        <v>91165.17780124805</v>
      </c>
    </row>
    <row r="363" spans="1:40" s="232" customFormat="1" x14ac:dyDescent="0.2">
      <c r="A363" s="230">
        <v>1.05</v>
      </c>
      <c r="B363" s="232" t="s">
        <v>1059</v>
      </c>
      <c r="D363" s="232" t="s">
        <v>297</v>
      </c>
      <c r="E363" s="226">
        <v>810902.82</v>
      </c>
      <c r="F363" s="233">
        <f t="shared" ref="F363:F383" si="116">IF(VLOOKUP($D363,$C$5:$AU$521,3,)=0,0,(VLOOKUP($D363,$C$5:$AU$521,4,)/VLOOKUP($D363,$C$5:$AU$521,3,))*$E363)</f>
        <v>642757.92467168381</v>
      </c>
      <c r="G363" s="233">
        <f t="shared" ref="G363:G383" si="117">IF(VLOOKUP($D363,$C$5:$AU$521,3,)=0,0,(VLOOKUP($D363,$C$5:$AU$521,5,)/VLOOKUP($D363,$C$5:$AU$521,3,))*$E363)</f>
        <v>56555.857181398605</v>
      </c>
      <c r="H363" s="233">
        <f t="shared" ref="H363:H383" si="118">IF(VLOOKUP($D363,$C$5:$AU$521,3,)=0,0,(VLOOKUP($D363,$C$5:$AU$521,6,)/VLOOKUP($D363,$C$5:$AU$521,3,))*$E363)</f>
        <v>37956.279765970714</v>
      </c>
      <c r="I363" s="233">
        <f t="shared" ref="I363:I383" si="119">IF(VLOOKUP($D363,$C$5:$AU$521,3,)=0,0,(VLOOKUP($D363,$C$5:$AU$521,7,)/VLOOKUP($D363,$C$5:$AU$521,3,))*$E363)</f>
        <v>1160.0486535141645</v>
      </c>
      <c r="J363" s="233">
        <f t="shared" si="105"/>
        <v>9043.1924345505122</v>
      </c>
      <c r="K363" s="233">
        <f t="shared" si="106"/>
        <v>10028.228812956606</v>
      </c>
      <c r="L363" s="233">
        <f t="shared" si="107"/>
        <v>4455.4974304129273</v>
      </c>
      <c r="M363" s="233">
        <f t="shared" si="108"/>
        <v>2725.0145914711043</v>
      </c>
      <c r="N363" s="233">
        <f t="shared" ref="N363:N383" si="120">IF(VLOOKUP($D363,$C$5:$AU$521,3,)=0,0,(VLOOKUP($D363,$C$5:$AU$521,12,)/VLOOKUP($D363,$C$5:$AU$521,3,))*$E363)</f>
        <v>46220.776458041422</v>
      </c>
      <c r="O363" s="233">
        <f t="shared" ref="O363:O383" si="121">IF(VLOOKUP($D363,$C$5:$AU$521,3,)=0,0,(VLOOKUP($D363,$C$5:$AU$521,13,)/VLOOKUP($D363,$C$5:$AU$521,3,))*$E363)</f>
        <v>0</v>
      </c>
      <c r="P363" s="233">
        <f t="shared" ref="P363:P383" si="122">IF(VLOOKUP($D363,$C$5:$AU$521,3,)=0,0,(VLOOKUP($D363,$C$5:$AU$521,14,)/VLOOKUP($D363,$C$5:$AU$521,3,))*$E363)</f>
        <v>0</v>
      </c>
      <c r="Q363" s="233">
        <f t="shared" ref="Q363:Q383" si="123">IF(VLOOKUP($D363,$C$5:$AU$521,3,)=0,0,(VLOOKUP($D363,$C$5:$AU$521,15,)/VLOOKUP($D363,$C$5:$AU$521,3,))*$E363)</f>
        <v>0</v>
      </c>
      <c r="R363" s="233">
        <f t="shared" ref="R363:R383" si="124">IF(VLOOKUP($D363,$C$5:$AU$521,3,)=0,0,(VLOOKUP($D363,$C$5:$AU$521,16,)/VLOOKUP($D363,$C$5:$AU$521,3,))*$E363)</f>
        <v>0</v>
      </c>
      <c r="S363" s="233">
        <f t="shared" ref="S363:S383" si="125">IF(VLOOKUP($D363,$C$5:$AU$521,3,)=0,0,(VLOOKUP($D363,$C$5:$AU$521,17,)/VLOOKUP($D363,$C$5:$AU$521,3,))*$E363)</f>
        <v>0</v>
      </c>
      <c r="T363" s="233">
        <f t="shared" ref="T363:T383" si="126">IF(VLOOKUP($D363,$C$5:$AU$521,3,)=0,0,(VLOOKUP($D363,$C$5:$AU$521,18,)/VLOOKUP($D363,$C$5:$AU$521,3,))*$E363)</f>
        <v>0</v>
      </c>
      <c r="U363" s="233">
        <f t="shared" ref="U363:U383" si="127">IF(VLOOKUP($D363,$C$5:$AU$521,3,)=0,0,(VLOOKUP($D363,$C$5:$AU$521,19,)/VLOOKUP($D363,$C$5:$AU$521,3,))*$E363)</f>
        <v>0</v>
      </c>
      <c r="V363" s="233">
        <f t="shared" ref="V363:V383" si="128">IF(VLOOKUP($D363,$C$5:$AU$521,3,)=0,0,(VLOOKUP($D363,$C$5:$AU$521,20,)/VLOOKUP($D363,$C$5:$AU$521,3,))*$E363)</f>
        <v>0</v>
      </c>
      <c r="W363" s="233">
        <f t="shared" ref="W363:W383" si="129">IF(VLOOKUP($D363,$C$5:$AU$521,3,)=0,0,(VLOOKUP($D363,$C$5:$AU$521,21,)/VLOOKUP($D363,$C$5:$AU$521,3,))*$E363)</f>
        <v>0</v>
      </c>
      <c r="X363" s="233">
        <f t="shared" ref="X363:X383" si="130">IF(VLOOKUP($D363,$C$5:$AU$521,3,)=0,0,(VLOOKUP($D363,$C$5:$AU$521,22,)/VLOOKUP($D363,$C$5:$AU$521,3,))*$E363)</f>
        <v>0</v>
      </c>
      <c r="Y363" s="233">
        <f t="shared" ref="Y363:Y383" si="131">IF(VLOOKUP($D363,$C$5:$AU$521,3,)=0,0,(VLOOKUP($D363,$C$5:$AU$521,23,)/VLOOKUP($D363,$C$5:$AU$521,3,))*$E363)</f>
        <v>0</v>
      </c>
      <c r="Z363" s="233">
        <f t="shared" ref="Z363:Z383" si="132">IF(VLOOKUP($D363,$C$5:$AU$521,3,)=0,0,(VLOOKUP($D363,$C$5:$AU$521,24,)/VLOOKUP($D363,$C$5:$AU$521,3,))*$E363)</f>
        <v>0</v>
      </c>
      <c r="AA363" s="233">
        <f t="shared" ref="AA363:AA383" si="133">IF(VLOOKUP($D363,$C$5:$AU$521,3,)=0,0,(VLOOKUP($D363,$C$5:$AU$521,25,)/VLOOKUP($D363,$C$5:$AU$521,3,))*$E363)</f>
        <v>0</v>
      </c>
      <c r="AB363" s="233">
        <f t="shared" ref="AB363:AB383" si="134">IF(VLOOKUP($D363,$C$5:$AU$521,3,)=0,0,(VLOOKUP($D363,$C$5:$AU$521,26,)/VLOOKUP($D363,$C$5:$AU$521,3,))*$E363)</f>
        <v>0</v>
      </c>
      <c r="AC363" s="233">
        <f t="shared" ref="AC363:AC383" si="135">IF(VLOOKUP($D363,$C$5:$AU$521,3,)=0,0,(VLOOKUP($D363,$C$5:$AU$521,27,)/VLOOKUP($D363,$C$5:$AU$521,3,))*$E363)</f>
        <v>0</v>
      </c>
      <c r="AD363" s="233">
        <f t="shared" ref="AD363:AD383" si="136">IF(VLOOKUP($D363,$C$5:$AU$521,3,)=0,0,(VLOOKUP($D363,$C$5:$AU$521,28,)/VLOOKUP($D363,$C$5:$AU$521,3,))*$E363)</f>
        <v>0</v>
      </c>
      <c r="AE363" s="233">
        <f t="shared" ref="AE363:AE383" si="137">IF(VLOOKUP($D363,$C$5:$AU$521,3,)=0,0,(VLOOKUP($D363,$C$5:$AU$521,29,)/VLOOKUP($D363,$C$5:$AU$521,3,))*$E363)</f>
        <v>0</v>
      </c>
      <c r="AF363" s="233">
        <f t="shared" ref="AF363:AF383" si="138">IF(VLOOKUP($D363,$C$5:$AU$521,3,)=0,0,(VLOOKUP($D363,$C$5:$AU$521,30,)/VLOOKUP($D363,$C$5:$AU$521,3,))*$E363)</f>
        <v>0</v>
      </c>
      <c r="AG363" s="226">
        <f t="shared" si="115"/>
        <v>810902.81999999972</v>
      </c>
      <c r="AH363" s="240" t="str">
        <f t="shared" si="112"/>
        <v>ok</v>
      </c>
      <c r="AI363" s="232">
        <f t="shared" ref="AI363" si="139">AI362</f>
        <v>1</v>
      </c>
      <c r="AK363" s="234"/>
    </row>
    <row r="364" spans="1:40" s="232" customFormat="1" x14ac:dyDescent="0.2">
      <c r="A364" s="230">
        <v>1.06</v>
      </c>
      <c r="B364" s="232" t="s">
        <v>1060</v>
      </c>
      <c r="D364" s="232" t="s">
        <v>273</v>
      </c>
      <c r="E364" s="226">
        <v>-663744.95999999868</v>
      </c>
      <c r="F364" s="233">
        <f t="shared" si="116"/>
        <v>-471741.13358525763</v>
      </c>
      <c r="G364" s="233">
        <f t="shared" si="117"/>
        <v>-32354.892497824014</v>
      </c>
      <c r="H364" s="233">
        <f t="shared" si="118"/>
        <v>-80905.880783308603</v>
      </c>
      <c r="I364" s="233">
        <f t="shared" si="119"/>
        <v>-3635.0694175453564</v>
      </c>
      <c r="J364" s="233">
        <f t="shared" si="105"/>
        <v>-28135.166640004551</v>
      </c>
      <c r="K364" s="233">
        <f t="shared" si="106"/>
        <v>-30009.841596693394</v>
      </c>
      <c r="L364" s="233">
        <f t="shared" si="107"/>
        <v>-5633.7054915169674</v>
      </c>
      <c r="M364" s="233">
        <f t="shared" si="108"/>
        <v>-4709.094914716542</v>
      </c>
      <c r="N364" s="233">
        <f t="shared" si="120"/>
        <v>-6620.1750731314687</v>
      </c>
      <c r="O364" s="233">
        <f t="shared" si="121"/>
        <v>0</v>
      </c>
      <c r="P364" s="233">
        <f t="shared" si="122"/>
        <v>0</v>
      </c>
      <c r="Q364" s="233">
        <f t="shared" si="123"/>
        <v>0</v>
      </c>
      <c r="R364" s="233">
        <f t="shared" si="124"/>
        <v>0</v>
      </c>
      <c r="S364" s="233">
        <f t="shared" si="125"/>
        <v>0</v>
      </c>
      <c r="T364" s="233">
        <f t="shared" si="126"/>
        <v>0</v>
      </c>
      <c r="U364" s="233">
        <f t="shared" si="127"/>
        <v>0</v>
      </c>
      <c r="V364" s="233">
        <f t="shared" si="128"/>
        <v>0</v>
      </c>
      <c r="W364" s="233">
        <f t="shared" si="129"/>
        <v>0</v>
      </c>
      <c r="X364" s="233">
        <f t="shared" si="130"/>
        <v>0</v>
      </c>
      <c r="Y364" s="233">
        <f t="shared" si="131"/>
        <v>0</v>
      </c>
      <c r="Z364" s="233">
        <f t="shared" si="132"/>
        <v>0</v>
      </c>
      <c r="AA364" s="233">
        <f t="shared" si="133"/>
        <v>0</v>
      </c>
      <c r="AB364" s="233">
        <f t="shared" si="134"/>
        <v>0</v>
      </c>
      <c r="AC364" s="233">
        <f t="shared" si="135"/>
        <v>0</v>
      </c>
      <c r="AD364" s="233">
        <f t="shared" si="136"/>
        <v>0</v>
      </c>
      <c r="AE364" s="233">
        <f t="shared" si="137"/>
        <v>0</v>
      </c>
      <c r="AF364" s="233">
        <f t="shared" si="138"/>
        <v>0</v>
      </c>
      <c r="AG364" s="226">
        <f t="shared" si="109"/>
        <v>-663744.95999999857</v>
      </c>
      <c r="AH364" s="240" t="str">
        <f t="shared" si="110"/>
        <v>ok</v>
      </c>
      <c r="AI364" s="232">
        <f t="shared" si="113"/>
        <v>1</v>
      </c>
      <c r="AK364" s="234"/>
    </row>
    <row r="365" spans="1:40" s="232" customFormat="1" x14ac:dyDescent="0.2">
      <c r="A365" s="232">
        <v>1.07</v>
      </c>
      <c r="B365" s="232" t="s">
        <v>1061</v>
      </c>
      <c r="D365" s="232" t="s">
        <v>273</v>
      </c>
      <c r="E365" s="226">
        <v>-4383.71</v>
      </c>
      <c r="F365" s="233">
        <f t="shared" si="116"/>
        <v>-3115.6188737147381</v>
      </c>
      <c r="G365" s="233">
        <f t="shared" si="117"/>
        <v>-213.68820004544574</v>
      </c>
      <c r="H365" s="233">
        <f t="shared" si="118"/>
        <v>-534.34367117243119</v>
      </c>
      <c r="I365" s="233">
        <f t="shared" si="119"/>
        <v>-24.007851082421457</v>
      </c>
      <c r="J365" s="233">
        <f t="shared" si="105"/>
        <v>-185.81897985553758</v>
      </c>
      <c r="K365" s="233">
        <f t="shared" si="106"/>
        <v>-198.20028871607713</v>
      </c>
      <c r="L365" s="233">
        <f t="shared" si="107"/>
        <v>-37.207862339501446</v>
      </c>
      <c r="M365" s="233">
        <f t="shared" si="108"/>
        <v>-31.101262853419023</v>
      </c>
      <c r="N365" s="233">
        <f t="shared" si="120"/>
        <v>-43.723010220427447</v>
      </c>
      <c r="O365" s="233">
        <f t="shared" si="121"/>
        <v>0</v>
      </c>
      <c r="P365" s="233">
        <f t="shared" si="122"/>
        <v>0</v>
      </c>
      <c r="Q365" s="233">
        <f t="shared" si="123"/>
        <v>0</v>
      </c>
      <c r="R365" s="233">
        <f t="shared" si="124"/>
        <v>0</v>
      </c>
      <c r="S365" s="233">
        <f t="shared" si="125"/>
        <v>0</v>
      </c>
      <c r="T365" s="233">
        <f t="shared" si="126"/>
        <v>0</v>
      </c>
      <c r="U365" s="233">
        <f t="shared" si="127"/>
        <v>0</v>
      </c>
      <c r="V365" s="233">
        <f t="shared" si="128"/>
        <v>0</v>
      </c>
      <c r="W365" s="233">
        <f t="shared" si="129"/>
        <v>0</v>
      </c>
      <c r="X365" s="233">
        <f t="shared" si="130"/>
        <v>0</v>
      </c>
      <c r="Y365" s="233">
        <f t="shared" si="131"/>
        <v>0</v>
      </c>
      <c r="Z365" s="233">
        <f t="shared" si="132"/>
        <v>0</v>
      </c>
      <c r="AA365" s="233">
        <f t="shared" si="133"/>
        <v>0</v>
      </c>
      <c r="AB365" s="233">
        <f t="shared" si="134"/>
        <v>0</v>
      </c>
      <c r="AC365" s="233">
        <f t="shared" si="135"/>
        <v>0</v>
      </c>
      <c r="AD365" s="233">
        <f t="shared" si="136"/>
        <v>0</v>
      </c>
      <c r="AE365" s="233">
        <f t="shared" si="137"/>
        <v>0</v>
      </c>
      <c r="AF365" s="233">
        <f t="shared" si="138"/>
        <v>0</v>
      </c>
      <c r="AG365" s="226">
        <f t="shared" si="109"/>
        <v>-4383.71</v>
      </c>
      <c r="AH365" s="240" t="str">
        <f t="shared" si="110"/>
        <v>ok</v>
      </c>
      <c r="AI365" s="232">
        <f t="shared" si="113"/>
        <v>1</v>
      </c>
      <c r="AK365" s="234"/>
    </row>
    <row r="366" spans="1:40" s="232" customFormat="1" x14ac:dyDescent="0.2">
      <c r="A366" s="230">
        <v>1.08</v>
      </c>
      <c r="B366" s="232" t="s">
        <v>1062</v>
      </c>
      <c r="C366" s="234"/>
      <c r="D366" s="232" t="s">
        <v>273</v>
      </c>
      <c r="E366" s="226">
        <v>-2460.859999999986</v>
      </c>
      <c r="F366" s="233">
        <f t="shared" si="116"/>
        <v>-1748.9984195053064</v>
      </c>
      <c r="G366" s="233">
        <f t="shared" si="117"/>
        <v>-119.95700992169478</v>
      </c>
      <c r="H366" s="233">
        <f t="shared" si="118"/>
        <v>-299.96166868734048</v>
      </c>
      <c r="I366" s="233">
        <f t="shared" si="119"/>
        <v>-13.477159851971807</v>
      </c>
      <c r="J366" s="233">
        <f t="shared" si="105"/>
        <v>-104.31221380230343</v>
      </c>
      <c r="K366" s="233">
        <f t="shared" si="106"/>
        <v>-111.26264339790789</v>
      </c>
      <c r="L366" s="233">
        <f t="shared" si="107"/>
        <v>-20.887180063641303</v>
      </c>
      <c r="M366" s="233">
        <f t="shared" si="108"/>
        <v>-17.459150743426072</v>
      </c>
      <c r="N366" s="233">
        <f t="shared" si="120"/>
        <v>-24.544554026393278</v>
      </c>
      <c r="O366" s="233">
        <f t="shared" si="121"/>
        <v>0</v>
      </c>
      <c r="P366" s="233">
        <f t="shared" si="122"/>
        <v>0</v>
      </c>
      <c r="Q366" s="233">
        <f t="shared" si="123"/>
        <v>0</v>
      </c>
      <c r="R366" s="233">
        <f t="shared" si="124"/>
        <v>0</v>
      </c>
      <c r="S366" s="233">
        <f t="shared" si="125"/>
        <v>0</v>
      </c>
      <c r="T366" s="233">
        <f t="shared" si="126"/>
        <v>0</v>
      </c>
      <c r="U366" s="233">
        <f t="shared" si="127"/>
        <v>0</v>
      </c>
      <c r="V366" s="233">
        <f t="shared" si="128"/>
        <v>0</v>
      </c>
      <c r="W366" s="233">
        <f t="shared" si="129"/>
        <v>0</v>
      </c>
      <c r="X366" s="233">
        <f t="shared" si="130"/>
        <v>0</v>
      </c>
      <c r="Y366" s="233">
        <f t="shared" si="131"/>
        <v>0</v>
      </c>
      <c r="Z366" s="233">
        <f t="shared" si="132"/>
        <v>0</v>
      </c>
      <c r="AA366" s="233">
        <f t="shared" si="133"/>
        <v>0</v>
      </c>
      <c r="AB366" s="233">
        <f t="shared" si="134"/>
        <v>0</v>
      </c>
      <c r="AC366" s="233">
        <f t="shared" si="135"/>
        <v>0</v>
      </c>
      <c r="AD366" s="233">
        <f t="shared" si="136"/>
        <v>0</v>
      </c>
      <c r="AE366" s="233">
        <f t="shared" si="137"/>
        <v>0</v>
      </c>
      <c r="AF366" s="233">
        <f t="shared" si="138"/>
        <v>0</v>
      </c>
      <c r="AG366" s="226">
        <f t="shared" si="109"/>
        <v>-2460.8599999999856</v>
      </c>
      <c r="AH366" s="240" t="str">
        <f t="shared" si="110"/>
        <v>ok</v>
      </c>
      <c r="AI366" s="232">
        <f t="shared" si="113"/>
        <v>1</v>
      </c>
      <c r="AK366" s="234"/>
    </row>
    <row r="367" spans="1:40" s="232" customFormat="1" x14ac:dyDescent="0.2">
      <c r="A367" s="230">
        <v>1.0900000000000001</v>
      </c>
      <c r="B367" s="232" t="s">
        <v>1063</v>
      </c>
      <c r="C367" s="234"/>
      <c r="D367" s="232" t="s">
        <v>285</v>
      </c>
      <c r="E367" s="226">
        <v>364677.91419966135</v>
      </c>
      <c r="F367" s="233">
        <f t="shared" si="116"/>
        <v>280480.85893266182</v>
      </c>
      <c r="G367" s="233">
        <f t="shared" si="117"/>
        <v>21577.656771194645</v>
      </c>
      <c r="H367" s="233">
        <f t="shared" si="118"/>
        <v>13642.006070889129</v>
      </c>
      <c r="I367" s="233">
        <f t="shared" si="119"/>
        <v>425.98133653299232</v>
      </c>
      <c r="J367" s="233">
        <f t="shared" si="105"/>
        <v>3357.7275933726514</v>
      </c>
      <c r="K367" s="233">
        <f t="shared" si="106"/>
        <v>3676.3392704511625</v>
      </c>
      <c r="L367" s="233">
        <f t="shared" si="107"/>
        <v>1727.9407979667699</v>
      </c>
      <c r="M367" s="233">
        <f t="shared" si="108"/>
        <v>1006.827874137248</v>
      </c>
      <c r="N367" s="233">
        <f t="shared" si="120"/>
        <v>38782.575552454866</v>
      </c>
      <c r="O367" s="233">
        <f t="shared" si="121"/>
        <v>0</v>
      </c>
      <c r="P367" s="233">
        <f t="shared" si="122"/>
        <v>0</v>
      </c>
      <c r="Q367" s="233">
        <f t="shared" si="123"/>
        <v>0</v>
      </c>
      <c r="R367" s="233">
        <f t="shared" si="124"/>
        <v>0</v>
      </c>
      <c r="S367" s="233">
        <f t="shared" si="125"/>
        <v>0</v>
      </c>
      <c r="T367" s="233">
        <f t="shared" si="126"/>
        <v>0</v>
      </c>
      <c r="U367" s="233">
        <f t="shared" si="127"/>
        <v>0</v>
      </c>
      <c r="V367" s="233">
        <f t="shared" si="128"/>
        <v>0</v>
      </c>
      <c r="W367" s="233">
        <f t="shared" si="129"/>
        <v>0</v>
      </c>
      <c r="X367" s="233">
        <f t="shared" si="130"/>
        <v>0</v>
      </c>
      <c r="Y367" s="233">
        <f t="shared" si="131"/>
        <v>0</v>
      </c>
      <c r="Z367" s="233">
        <f t="shared" si="132"/>
        <v>0</v>
      </c>
      <c r="AA367" s="233">
        <f t="shared" si="133"/>
        <v>0</v>
      </c>
      <c r="AB367" s="233">
        <f t="shared" si="134"/>
        <v>0</v>
      </c>
      <c r="AC367" s="233">
        <f t="shared" si="135"/>
        <v>0</v>
      </c>
      <c r="AD367" s="233">
        <f t="shared" si="136"/>
        <v>0</v>
      </c>
      <c r="AE367" s="233">
        <f t="shared" si="137"/>
        <v>0</v>
      </c>
      <c r="AF367" s="233">
        <f t="shared" si="138"/>
        <v>0</v>
      </c>
      <c r="AG367" s="226">
        <f t="shared" si="109"/>
        <v>364677.91419966129</v>
      </c>
      <c r="AH367" s="240" t="str">
        <f t="shared" si="110"/>
        <v>ok</v>
      </c>
      <c r="AI367" s="232">
        <f t="shared" si="113"/>
        <v>1</v>
      </c>
      <c r="AK367" s="234"/>
    </row>
    <row r="368" spans="1:40" s="232" customFormat="1" x14ac:dyDescent="0.2">
      <c r="A368" s="242">
        <v>1.1000000000000001</v>
      </c>
      <c r="B368" s="232" t="s">
        <v>1047</v>
      </c>
      <c r="C368" s="234"/>
      <c r="D368" s="232" t="s">
        <v>285</v>
      </c>
      <c r="E368" s="226">
        <v>405419.97581893828</v>
      </c>
      <c r="F368" s="233">
        <f t="shared" si="116"/>
        <v>311816.36896139843</v>
      </c>
      <c r="G368" s="233">
        <f t="shared" si="117"/>
        <v>23988.327084753317</v>
      </c>
      <c r="H368" s="233">
        <f t="shared" si="118"/>
        <v>15166.100155858618</v>
      </c>
      <c r="I368" s="233">
        <f t="shared" si="119"/>
        <v>473.57225768811071</v>
      </c>
      <c r="J368" s="233">
        <f t="shared" si="105"/>
        <v>3732.8551763253076</v>
      </c>
      <c r="K368" s="233">
        <f t="shared" si="106"/>
        <v>4087.0623640577674</v>
      </c>
      <c r="L368" s="233">
        <f t="shared" si="107"/>
        <v>1920.9875050033818</v>
      </c>
      <c r="M368" s="233">
        <f t="shared" si="108"/>
        <v>1119.3113607726541</v>
      </c>
      <c r="N368" s="233">
        <f t="shared" si="120"/>
        <v>43115.390953080641</v>
      </c>
      <c r="O368" s="233">
        <f t="shared" si="121"/>
        <v>0</v>
      </c>
      <c r="P368" s="233">
        <f t="shared" si="122"/>
        <v>0</v>
      </c>
      <c r="Q368" s="233">
        <f t="shared" si="123"/>
        <v>0</v>
      </c>
      <c r="R368" s="233">
        <f t="shared" si="124"/>
        <v>0</v>
      </c>
      <c r="S368" s="233">
        <f t="shared" si="125"/>
        <v>0</v>
      </c>
      <c r="T368" s="233">
        <f t="shared" si="126"/>
        <v>0</v>
      </c>
      <c r="U368" s="233">
        <f t="shared" si="127"/>
        <v>0</v>
      </c>
      <c r="V368" s="233">
        <f t="shared" si="128"/>
        <v>0</v>
      </c>
      <c r="W368" s="233">
        <f t="shared" si="129"/>
        <v>0</v>
      </c>
      <c r="X368" s="233">
        <f t="shared" si="130"/>
        <v>0</v>
      </c>
      <c r="Y368" s="233">
        <f t="shared" si="131"/>
        <v>0</v>
      </c>
      <c r="Z368" s="233">
        <f t="shared" si="132"/>
        <v>0</v>
      </c>
      <c r="AA368" s="233">
        <f t="shared" si="133"/>
        <v>0</v>
      </c>
      <c r="AB368" s="233">
        <f t="shared" si="134"/>
        <v>0</v>
      </c>
      <c r="AC368" s="233">
        <f t="shared" si="135"/>
        <v>0</v>
      </c>
      <c r="AD368" s="233">
        <f t="shared" si="136"/>
        <v>0</v>
      </c>
      <c r="AE368" s="233">
        <f t="shared" si="137"/>
        <v>0</v>
      </c>
      <c r="AF368" s="233">
        <f t="shared" si="138"/>
        <v>0</v>
      </c>
      <c r="AG368" s="226">
        <f>SUM(F368:AF368)</f>
        <v>405419.97581893823</v>
      </c>
      <c r="AH368" s="240" t="str">
        <f>IF(ABS(E368-AG368)&lt;0.01,"ok","err")</f>
        <v>ok</v>
      </c>
      <c r="AI368" s="232">
        <f t="shared" si="113"/>
        <v>1</v>
      </c>
      <c r="AK368" s="234"/>
    </row>
    <row r="369" spans="1:37" s="232" customFormat="1" x14ac:dyDescent="0.2">
      <c r="A369" s="230">
        <v>1.1100000000000001</v>
      </c>
      <c r="B369" s="232" t="s">
        <v>1064</v>
      </c>
      <c r="C369" s="234"/>
      <c r="D369" s="232" t="s">
        <v>273</v>
      </c>
      <c r="E369" s="226">
        <v>-570830.98466666671</v>
      </c>
      <c r="F369" s="233">
        <f t="shared" si="116"/>
        <v>-405704.70891747746</v>
      </c>
      <c r="G369" s="233">
        <f t="shared" si="117"/>
        <v>-27825.710561052041</v>
      </c>
      <c r="H369" s="233">
        <f t="shared" si="118"/>
        <v>-69580.315295893306</v>
      </c>
      <c r="I369" s="233">
        <f t="shared" si="119"/>
        <v>-3126.216212548125</v>
      </c>
      <c r="J369" s="233">
        <f t="shared" si="105"/>
        <v>-24196.680720369735</v>
      </c>
      <c r="K369" s="233">
        <f t="shared" si="106"/>
        <v>-25808.930328195966</v>
      </c>
      <c r="L369" s="233">
        <f t="shared" si="107"/>
        <v>-4845.0743084281121</v>
      </c>
      <c r="M369" s="233">
        <f t="shared" si="108"/>
        <v>-4049.894837704594</v>
      </c>
      <c r="N369" s="233">
        <f t="shared" si="120"/>
        <v>-5693.4534849972588</v>
      </c>
      <c r="O369" s="233">
        <f t="shared" si="121"/>
        <v>0</v>
      </c>
      <c r="P369" s="233">
        <f t="shared" si="122"/>
        <v>0</v>
      </c>
      <c r="Q369" s="233">
        <f t="shared" si="123"/>
        <v>0</v>
      </c>
      <c r="R369" s="233">
        <f t="shared" si="124"/>
        <v>0</v>
      </c>
      <c r="S369" s="233">
        <f t="shared" si="125"/>
        <v>0</v>
      </c>
      <c r="T369" s="233">
        <f t="shared" si="126"/>
        <v>0</v>
      </c>
      <c r="U369" s="233">
        <f t="shared" si="127"/>
        <v>0</v>
      </c>
      <c r="V369" s="233">
        <f t="shared" si="128"/>
        <v>0</v>
      </c>
      <c r="W369" s="233">
        <f t="shared" si="129"/>
        <v>0</v>
      </c>
      <c r="X369" s="233">
        <f t="shared" si="130"/>
        <v>0</v>
      </c>
      <c r="Y369" s="233">
        <f t="shared" si="131"/>
        <v>0</v>
      </c>
      <c r="Z369" s="233">
        <f t="shared" si="132"/>
        <v>0</v>
      </c>
      <c r="AA369" s="233">
        <f t="shared" si="133"/>
        <v>0</v>
      </c>
      <c r="AB369" s="233">
        <f t="shared" si="134"/>
        <v>0</v>
      </c>
      <c r="AC369" s="233">
        <f t="shared" si="135"/>
        <v>0</v>
      </c>
      <c r="AD369" s="233">
        <f t="shared" si="136"/>
        <v>0</v>
      </c>
      <c r="AE369" s="233">
        <f t="shared" si="137"/>
        <v>0</v>
      </c>
      <c r="AF369" s="233">
        <f t="shared" si="138"/>
        <v>0</v>
      </c>
      <c r="AG369" s="226">
        <f>SUM(F369:AF369)</f>
        <v>-570830.98466666648</v>
      </c>
      <c r="AH369" s="240" t="str">
        <f>IF(ABS(E369-AG369)&lt;0.01,"ok","err")</f>
        <v>ok</v>
      </c>
      <c r="AI369" s="232">
        <f t="shared" si="113"/>
        <v>1</v>
      </c>
      <c r="AK369" s="234"/>
    </row>
    <row r="370" spans="1:37" s="232" customFormat="1" x14ac:dyDescent="0.2">
      <c r="A370" s="230">
        <v>1.1200000000000001</v>
      </c>
      <c r="B370" s="232" t="s">
        <v>1240</v>
      </c>
      <c r="C370" s="234"/>
      <c r="D370" s="232" t="s">
        <v>261</v>
      </c>
      <c r="E370" s="226"/>
      <c r="F370" s="233">
        <f t="shared" si="116"/>
        <v>0</v>
      </c>
      <c r="G370" s="233">
        <f t="shared" si="117"/>
        <v>0</v>
      </c>
      <c r="H370" s="233">
        <f t="shared" si="118"/>
        <v>0</v>
      </c>
      <c r="I370" s="233">
        <f t="shared" si="119"/>
        <v>0</v>
      </c>
      <c r="J370" s="233">
        <f t="shared" si="105"/>
        <v>0</v>
      </c>
      <c r="K370" s="233">
        <f t="shared" si="106"/>
        <v>0</v>
      </c>
      <c r="L370" s="233">
        <f t="shared" si="107"/>
        <v>0</v>
      </c>
      <c r="M370" s="233">
        <f t="shared" si="108"/>
        <v>0</v>
      </c>
      <c r="N370" s="233">
        <f t="shared" si="120"/>
        <v>0</v>
      </c>
      <c r="O370" s="233">
        <f t="shared" si="121"/>
        <v>0</v>
      </c>
      <c r="P370" s="233">
        <f t="shared" si="122"/>
        <v>0</v>
      </c>
      <c r="Q370" s="233">
        <f t="shared" si="123"/>
        <v>0</v>
      </c>
      <c r="R370" s="233">
        <f t="shared" si="124"/>
        <v>0</v>
      </c>
      <c r="S370" s="233">
        <f t="shared" si="125"/>
        <v>0</v>
      </c>
      <c r="T370" s="233">
        <f t="shared" si="126"/>
        <v>0</v>
      </c>
      <c r="U370" s="233">
        <f t="shared" si="127"/>
        <v>0</v>
      </c>
      <c r="V370" s="233">
        <f t="shared" si="128"/>
        <v>0</v>
      </c>
      <c r="W370" s="233">
        <f t="shared" si="129"/>
        <v>0</v>
      </c>
      <c r="X370" s="233">
        <f t="shared" si="130"/>
        <v>0</v>
      </c>
      <c r="Y370" s="233">
        <f t="shared" si="131"/>
        <v>0</v>
      </c>
      <c r="Z370" s="233">
        <f t="shared" si="132"/>
        <v>0</v>
      </c>
      <c r="AA370" s="233">
        <f t="shared" si="133"/>
        <v>0</v>
      </c>
      <c r="AB370" s="233">
        <f t="shared" si="134"/>
        <v>0</v>
      </c>
      <c r="AC370" s="233">
        <f t="shared" si="135"/>
        <v>0</v>
      </c>
      <c r="AD370" s="233">
        <f t="shared" si="136"/>
        <v>0</v>
      </c>
      <c r="AE370" s="233">
        <f t="shared" si="137"/>
        <v>0</v>
      </c>
      <c r="AF370" s="233">
        <f t="shared" si="138"/>
        <v>0</v>
      </c>
      <c r="AG370" s="226">
        <f t="shared" si="109"/>
        <v>0</v>
      </c>
      <c r="AH370" s="240" t="str">
        <f t="shared" si="110"/>
        <v>ok</v>
      </c>
      <c r="AI370" s="232">
        <f t="shared" si="113"/>
        <v>1</v>
      </c>
      <c r="AK370" s="234"/>
    </row>
    <row r="371" spans="1:37" s="232" customFormat="1" x14ac:dyDescent="0.2">
      <c r="A371" s="232">
        <v>1.1299999999999999</v>
      </c>
      <c r="B371" s="232" t="s">
        <v>1065</v>
      </c>
      <c r="C371" s="234"/>
      <c r="D371" s="232" t="s">
        <v>261</v>
      </c>
      <c r="E371" s="226">
        <v>34776.03193254504</v>
      </c>
      <c r="F371" s="233">
        <f t="shared" si="116"/>
        <v>27589.101295329816</v>
      </c>
      <c r="G371" s="233">
        <f t="shared" si="117"/>
        <v>2427.8721233583851</v>
      </c>
      <c r="H371" s="233">
        <f t="shared" si="118"/>
        <v>1628.7998861720789</v>
      </c>
      <c r="I371" s="233">
        <f t="shared" si="119"/>
        <v>49.784293865349333</v>
      </c>
      <c r="J371" s="233">
        <f t="shared" si="105"/>
        <v>388.09726856771323</v>
      </c>
      <c r="K371" s="233">
        <f t="shared" si="106"/>
        <v>430.40158364957222</v>
      </c>
      <c r="L371" s="233">
        <f t="shared" si="107"/>
        <v>191.27270694547931</v>
      </c>
      <c r="M371" s="233">
        <f t="shared" si="108"/>
        <v>116.95062063638392</v>
      </c>
      <c r="N371" s="233">
        <f t="shared" si="120"/>
        <v>1953.7521540202677</v>
      </c>
      <c r="O371" s="233">
        <f t="shared" si="121"/>
        <v>0</v>
      </c>
      <c r="P371" s="233">
        <f t="shared" si="122"/>
        <v>0</v>
      </c>
      <c r="Q371" s="233">
        <f t="shared" si="123"/>
        <v>0</v>
      </c>
      <c r="R371" s="233">
        <f t="shared" si="124"/>
        <v>0</v>
      </c>
      <c r="S371" s="233">
        <f t="shared" si="125"/>
        <v>0</v>
      </c>
      <c r="T371" s="233">
        <f t="shared" si="126"/>
        <v>0</v>
      </c>
      <c r="U371" s="233">
        <f t="shared" si="127"/>
        <v>0</v>
      </c>
      <c r="V371" s="233">
        <f t="shared" si="128"/>
        <v>0</v>
      </c>
      <c r="W371" s="233">
        <f t="shared" si="129"/>
        <v>0</v>
      </c>
      <c r="X371" s="233">
        <f t="shared" si="130"/>
        <v>0</v>
      </c>
      <c r="Y371" s="233">
        <f t="shared" si="131"/>
        <v>0</v>
      </c>
      <c r="Z371" s="233">
        <f t="shared" si="132"/>
        <v>0</v>
      </c>
      <c r="AA371" s="233">
        <f t="shared" si="133"/>
        <v>0</v>
      </c>
      <c r="AB371" s="233">
        <f t="shared" si="134"/>
        <v>0</v>
      </c>
      <c r="AC371" s="233">
        <f t="shared" si="135"/>
        <v>0</v>
      </c>
      <c r="AD371" s="233">
        <f t="shared" si="136"/>
        <v>0</v>
      </c>
      <c r="AE371" s="233">
        <f t="shared" si="137"/>
        <v>0</v>
      </c>
      <c r="AF371" s="233">
        <f t="shared" si="138"/>
        <v>0</v>
      </c>
      <c r="AG371" s="226">
        <f t="shared" si="109"/>
        <v>34776.03193254504</v>
      </c>
      <c r="AH371" s="240" t="str">
        <f t="shared" si="110"/>
        <v>ok</v>
      </c>
      <c r="AI371" s="232">
        <f t="shared" si="113"/>
        <v>1</v>
      </c>
      <c r="AK371" s="234"/>
    </row>
    <row r="372" spans="1:37" s="232" customFormat="1" x14ac:dyDescent="0.2">
      <c r="A372" s="230">
        <v>1.1399999999999999</v>
      </c>
      <c r="B372" s="232" t="s">
        <v>1066</v>
      </c>
      <c r="C372" s="234"/>
      <c r="D372" s="232" t="s">
        <v>261</v>
      </c>
      <c r="E372" s="226">
        <v>66154.910000000149</v>
      </c>
      <c r="F372" s="233">
        <f t="shared" si="116"/>
        <v>52483.115863065628</v>
      </c>
      <c r="G372" s="233">
        <f t="shared" si="117"/>
        <v>4618.5735659499314</v>
      </c>
      <c r="H372" s="233">
        <f t="shared" si="118"/>
        <v>3098.487777062453</v>
      </c>
      <c r="I372" s="233">
        <f t="shared" si="119"/>
        <v>94.705327119094235</v>
      </c>
      <c r="J372" s="233">
        <f t="shared" si="105"/>
        <v>738.28261726765663</v>
      </c>
      <c r="K372" s="233">
        <f t="shared" si="106"/>
        <v>818.75868084732383</v>
      </c>
      <c r="L372" s="233">
        <f t="shared" si="107"/>
        <v>363.86062498386218</v>
      </c>
      <c r="M372" s="233">
        <f t="shared" si="108"/>
        <v>222.47672758212599</v>
      </c>
      <c r="N372" s="233">
        <f t="shared" si="120"/>
        <v>3716.6488161220818</v>
      </c>
      <c r="O372" s="233">
        <f t="shared" si="121"/>
        <v>0</v>
      </c>
      <c r="P372" s="233">
        <f t="shared" si="122"/>
        <v>0</v>
      </c>
      <c r="Q372" s="233">
        <f t="shared" si="123"/>
        <v>0</v>
      </c>
      <c r="R372" s="233">
        <f t="shared" si="124"/>
        <v>0</v>
      </c>
      <c r="S372" s="233">
        <f t="shared" si="125"/>
        <v>0</v>
      </c>
      <c r="T372" s="233">
        <f t="shared" si="126"/>
        <v>0</v>
      </c>
      <c r="U372" s="233">
        <f t="shared" si="127"/>
        <v>0</v>
      </c>
      <c r="V372" s="233">
        <f t="shared" si="128"/>
        <v>0</v>
      </c>
      <c r="W372" s="233">
        <f t="shared" si="129"/>
        <v>0</v>
      </c>
      <c r="X372" s="233">
        <f t="shared" si="130"/>
        <v>0</v>
      </c>
      <c r="Y372" s="233">
        <f t="shared" si="131"/>
        <v>0</v>
      </c>
      <c r="Z372" s="233">
        <f t="shared" si="132"/>
        <v>0</v>
      </c>
      <c r="AA372" s="233">
        <f t="shared" si="133"/>
        <v>0</v>
      </c>
      <c r="AB372" s="233">
        <f t="shared" si="134"/>
        <v>0</v>
      </c>
      <c r="AC372" s="233">
        <f t="shared" si="135"/>
        <v>0</v>
      </c>
      <c r="AD372" s="233">
        <f t="shared" si="136"/>
        <v>0</v>
      </c>
      <c r="AE372" s="233">
        <f t="shared" si="137"/>
        <v>0</v>
      </c>
      <c r="AF372" s="233">
        <f t="shared" si="138"/>
        <v>0</v>
      </c>
      <c r="AG372" s="226">
        <f t="shared" si="109"/>
        <v>66154.910000000164</v>
      </c>
      <c r="AH372" s="240" t="str">
        <f t="shared" si="110"/>
        <v>ok</v>
      </c>
      <c r="AI372" s="232">
        <v>0</v>
      </c>
      <c r="AK372" s="234"/>
    </row>
    <row r="373" spans="1:37" s="232" customFormat="1" x14ac:dyDescent="0.2">
      <c r="A373" s="230">
        <v>1.1499999999999999</v>
      </c>
      <c r="B373" s="232" t="s">
        <v>1067</v>
      </c>
      <c r="C373" s="234"/>
      <c r="D373" s="232" t="s">
        <v>285</v>
      </c>
      <c r="E373" s="226">
        <v>-2692.2280572781237</v>
      </c>
      <c r="F373" s="233">
        <f t="shared" si="116"/>
        <v>-2070.644830809666</v>
      </c>
      <c r="G373" s="233">
        <f t="shared" si="117"/>
        <v>-159.2966579761727</v>
      </c>
      <c r="H373" s="233">
        <f t="shared" si="118"/>
        <v>-100.71186126587843</v>
      </c>
      <c r="I373" s="233">
        <f t="shared" si="119"/>
        <v>-3.1447994557275591</v>
      </c>
      <c r="J373" s="233">
        <f t="shared" si="105"/>
        <v>-24.788362781480444</v>
      </c>
      <c r="K373" s="233">
        <f t="shared" si="106"/>
        <v>-27.140507682522003</v>
      </c>
      <c r="L373" s="233">
        <f t="shared" si="107"/>
        <v>-12.756491458527728</v>
      </c>
      <c r="M373" s="233">
        <f t="shared" si="108"/>
        <v>-7.4328884367752694</v>
      </c>
      <c r="N373" s="233">
        <f t="shared" si="120"/>
        <v>-286.31165741137329</v>
      </c>
      <c r="O373" s="233">
        <f t="shared" si="121"/>
        <v>0</v>
      </c>
      <c r="P373" s="233">
        <f t="shared" si="122"/>
        <v>0</v>
      </c>
      <c r="Q373" s="233">
        <f t="shared" si="123"/>
        <v>0</v>
      </c>
      <c r="R373" s="233">
        <f t="shared" si="124"/>
        <v>0</v>
      </c>
      <c r="S373" s="233">
        <f t="shared" si="125"/>
        <v>0</v>
      </c>
      <c r="T373" s="233">
        <f t="shared" si="126"/>
        <v>0</v>
      </c>
      <c r="U373" s="233">
        <f t="shared" si="127"/>
        <v>0</v>
      </c>
      <c r="V373" s="233">
        <f t="shared" si="128"/>
        <v>0</v>
      </c>
      <c r="W373" s="233">
        <f t="shared" si="129"/>
        <v>0</v>
      </c>
      <c r="X373" s="233">
        <f t="shared" si="130"/>
        <v>0</v>
      </c>
      <c r="Y373" s="233">
        <f t="shared" si="131"/>
        <v>0</v>
      </c>
      <c r="Z373" s="233">
        <f t="shared" si="132"/>
        <v>0</v>
      </c>
      <c r="AA373" s="233">
        <f t="shared" si="133"/>
        <v>0</v>
      </c>
      <c r="AB373" s="233">
        <f t="shared" si="134"/>
        <v>0</v>
      </c>
      <c r="AC373" s="233">
        <f t="shared" si="135"/>
        <v>0</v>
      </c>
      <c r="AD373" s="233">
        <f t="shared" si="136"/>
        <v>0</v>
      </c>
      <c r="AE373" s="233">
        <f t="shared" si="137"/>
        <v>0</v>
      </c>
      <c r="AF373" s="233">
        <f t="shared" si="138"/>
        <v>0</v>
      </c>
      <c r="AG373" s="226">
        <f t="shared" si="109"/>
        <v>-2692.2280572781233</v>
      </c>
      <c r="AH373" s="240" t="str">
        <f t="shared" si="110"/>
        <v>ok</v>
      </c>
      <c r="AI373" s="232">
        <f>AI371</f>
        <v>1</v>
      </c>
      <c r="AK373" s="234"/>
    </row>
    <row r="374" spans="1:37" s="232" customFormat="1" x14ac:dyDescent="0.2">
      <c r="A374" s="232">
        <v>1.1599999999999999</v>
      </c>
      <c r="B374" s="232" t="s">
        <v>1241</v>
      </c>
      <c r="C374" s="234"/>
      <c r="D374" s="232" t="s">
        <v>285</v>
      </c>
      <c r="E374" s="226">
        <v>185918.21857972018</v>
      </c>
      <c r="F374" s="233">
        <f t="shared" si="116"/>
        <v>142993.3089118198</v>
      </c>
      <c r="G374" s="233">
        <f t="shared" si="117"/>
        <v>11000.609995341665</v>
      </c>
      <c r="H374" s="233">
        <f t="shared" si="118"/>
        <v>6954.8973705186063</v>
      </c>
      <c r="I374" s="233">
        <f t="shared" si="119"/>
        <v>217.17161405354926</v>
      </c>
      <c r="J374" s="233">
        <f t="shared" si="105"/>
        <v>1711.8194119483483</v>
      </c>
      <c r="K374" s="233">
        <f t="shared" si="106"/>
        <v>1874.2523784501316</v>
      </c>
      <c r="L374" s="233">
        <f t="shared" si="107"/>
        <v>880.92989035062419</v>
      </c>
      <c r="M374" s="233">
        <f t="shared" si="108"/>
        <v>513.29580840346296</v>
      </c>
      <c r="N374" s="233">
        <f t="shared" si="120"/>
        <v>19771.933198833984</v>
      </c>
      <c r="O374" s="233">
        <f t="shared" si="121"/>
        <v>0</v>
      </c>
      <c r="P374" s="233">
        <f t="shared" si="122"/>
        <v>0</v>
      </c>
      <c r="Q374" s="233">
        <f t="shared" si="123"/>
        <v>0</v>
      </c>
      <c r="R374" s="233">
        <f t="shared" si="124"/>
        <v>0</v>
      </c>
      <c r="S374" s="233">
        <f t="shared" si="125"/>
        <v>0</v>
      </c>
      <c r="T374" s="233">
        <f t="shared" si="126"/>
        <v>0</v>
      </c>
      <c r="U374" s="233">
        <f t="shared" si="127"/>
        <v>0</v>
      </c>
      <c r="V374" s="233">
        <f t="shared" si="128"/>
        <v>0</v>
      </c>
      <c r="W374" s="233">
        <f t="shared" si="129"/>
        <v>0</v>
      </c>
      <c r="X374" s="233">
        <f t="shared" si="130"/>
        <v>0</v>
      </c>
      <c r="Y374" s="233">
        <f t="shared" si="131"/>
        <v>0</v>
      </c>
      <c r="Z374" s="233">
        <f t="shared" si="132"/>
        <v>0</v>
      </c>
      <c r="AA374" s="233">
        <f t="shared" si="133"/>
        <v>0</v>
      </c>
      <c r="AB374" s="233">
        <f t="shared" si="134"/>
        <v>0</v>
      </c>
      <c r="AC374" s="233">
        <f t="shared" si="135"/>
        <v>0</v>
      </c>
      <c r="AD374" s="233">
        <f t="shared" si="136"/>
        <v>0</v>
      </c>
      <c r="AE374" s="233">
        <f t="shared" si="137"/>
        <v>0</v>
      </c>
      <c r="AF374" s="233">
        <f t="shared" si="138"/>
        <v>0</v>
      </c>
      <c r="AG374" s="226">
        <f t="shared" ref="AG374" si="140">SUM(F374:AF374)</f>
        <v>185918.21857972012</v>
      </c>
      <c r="AH374" s="240" t="str">
        <f t="shared" ref="AH374" si="141">IF(ABS(E374-AG374)&lt;0.01,"ok","err")</f>
        <v>ok</v>
      </c>
      <c r="AI374" s="232">
        <f t="shared" si="113"/>
        <v>1</v>
      </c>
      <c r="AK374" s="234"/>
    </row>
    <row r="375" spans="1:37" s="232" customFormat="1" x14ac:dyDescent="0.2">
      <c r="A375" s="230">
        <v>1.17</v>
      </c>
      <c r="B375" s="232" t="s">
        <v>1242</v>
      </c>
      <c r="C375" s="234"/>
      <c r="D375" s="232" t="s">
        <v>627</v>
      </c>
      <c r="E375" s="226">
        <v>26162.869955416769</v>
      </c>
      <c r="F375" s="233">
        <f t="shared" si="116"/>
        <v>20707.313931853154</v>
      </c>
      <c r="G375" s="233">
        <f t="shared" si="117"/>
        <v>1476.1665978810688</v>
      </c>
      <c r="H375" s="233">
        <f t="shared" si="118"/>
        <v>2148.6050814622608</v>
      </c>
      <c r="I375" s="233">
        <f t="shared" si="119"/>
        <v>73.796688523948404</v>
      </c>
      <c r="J375" s="233">
        <f t="shared" si="105"/>
        <v>586.9106622187727</v>
      </c>
      <c r="K375" s="233">
        <f t="shared" si="106"/>
        <v>635.63177182705476</v>
      </c>
      <c r="L375" s="233">
        <f t="shared" si="107"/>
        <v>238.42137882715389</v>
      </c>
      <c r="M375" s="233">
        <f t="shared" si="108"/>
        <v>167.75717048908675</v>
      </c>
      <c r="N375" s="233">
        <f t="shared" si="120"/>
        <v>128.26667233426284</v>
      </c>
      <c r="O375" s="233">
        <f t="shared" si="121"/>
        <v>0</v>
      </c>
      <c r="P375" s="233">
        <f t="shared" si="122"/>
        <v>0</v>
      </c>
      <c r="Q375" s="233">
        <f t="shared" si="123"/>
        <v>0</v>
      </c>
      <c r="R375" s="233">
        <f t="shared" si="124"/>
        <v>0</v>
      </c>
      <c r="S375" s="233">
        <f t="shared" si="125"/>
        <v>0</v>
      </c>
      <c r="T375" s="233">
        <f t="shared" si="126"/>
        <v>0</v>
      </c>
      <c r="U375" s="233">
        <f t="shared" si="127"/>
        <v>0</v>
      </c>
      <c r="V375" s="233">
        <f t="shared" si="128"/>
        <v>0</v>
      </c>
      <c r="W375" s="233">
        <f t="shared" si="129"/>
        <v>0</v>
      </c>
      <c r="X375" s="233">
        <f t="shared" si="130"/>
        <v>0</v>
      </c>
      <c r="Y375" s="233">
        <f t="shared" si="131"/>
        <v>0</v>
      </c>
      <c r="Z375" s="233">
        <f t="shared" si="132"/>
        <v>0</v>
      </c>
      <c r="AA375" s="233">
        <f t="shared" si="133"/>
        <v>0</v>
      </c>
      <c r="AB375" s="233">
        <f t="shared" si="134"/>
        <v>0</v>
      </c>
      <c r="AC375" s="233">
        <f t="shared" si="135"/>
        <v>0</v>
      </c>
      <c r="AD375" s="233">
        <f t="shared" si="136"/>
        <v>0</v>
      </c>
      <c r="AE375" s="233">
        <f t="shared" si="137"/>
        <v>0</v>
      </c>
      <c r="AF375" s="233">
        <f t="shared" si="138"/>
        <v>0</v>
      </c>
      <c r="AG375" s="226">
        <f>SUM(F375:AF375)</f>
        <v>26162.869955416765</v>
      </c>
      <c r="AH375" s="240" t="str">
        <f>IF(ABS(E375-AG375)&lt;0.01,"ok","err")</f>
        <v>ok</v>
      </c>
      <c r="AI375" s="232">
        <f t="shared" si="113"/>
        <v>1</v>
      </c>
      <c r="AK375" s="234"/>
    </row>
    <row r="376" spans="1:37" s="232" customFormat="1" x14ac:dyDescent="0.2">
      <c r="A376" s="230">
        <v>1.18</v>
      </c>
      <c r="B376" s="232" t="s">
        <v>1246</v>
      </c>
      <c r="C376" s="234"/>
      <c r="D376" s="232" t="s">
        <v>273</v>
      </c>
      <c r="E376" s="226">
        <v>996188.39000000013</v>
      </c>
      <c r="F376" s="233">
        <f t="shared" si="116"/>
        <v>708017.489674157</v>
      </c>
      <c r="G376" s="233">
        <f t="shared" si="117"/>
        <v>48560.170258815146</v>
      </c>
      <c r="H376" s="233">
        <f t="shared" si="118"/>
        <v>121428.41599739801</v>
      </c>
      <c r="I376" s="233">
        <f t="shared" si="119"/>
        <v>5455.7309943306445</v>
      </c>
      <c r="J376" s="233">
        <f t="shared" si="105"/>
        <v>42226.951685611144</v>
      </c>
      <c r="K376" s="233">
        <f t="shared" si="106"/>
        <v>45040.576706398017</v>
      </c>
      <c r="L376" s="233">
        <f t="shared" si="107"/>
        <v>8455.404321757047</v>
      </c>
      <c r="M376" s="233">
        <f t="shared" si="108"/>
        <v>7067.6931112948405</v>
      </c>
      <c r="N376" s="233">
        <f t="shared" si="120"/>
        <v>9935.9572502380797</v>
      </c>
      <c r="O376" s="233">
        <f t="shared" si="121"/>
        <v>0</v>
      </c>
      <c r="P376" s="233">
        <f t="shared" si="122"/>
        <v>0</v>
      </c>
      <c r="Q376" s="233">
        <f t="shared" si="123"/>
        <v>0</v>
      </c>
      <c r="R376" s="233">
        <f t="shared" si="124"/>
        <v>0</v>
      </c>
      <c r="S376" s="233">
        <f t="shared" si="125"/>
        <v>0</v>
      </c>
      <c r="T376" s="233">
        <f t="shared" si="126"/>
        <v>0</v>
      </c>
      <c r="U376" s="233">
        <f t="shared" si="127"/>
        <v>0</v>
      </c>
      <c r="V376" s="233">
        <f t="shared" si="128"/>
        <v>0</v>
      </c>
      <c r="W376" s="233">
        <f t="shared" si="129"/>
        <v>0</v>
      </c>
      <c r="X376" s="233">
        <f t="shared" si="130"/>
        <v>0</v>
      </c>
      <c r="Y376" s="233">
        <f t="shared" si="131"/>
        <v>0</v>
      </c>
      <c r="Z376" s="233">
        <f t="shared" si="132"/>
        <v>0</v>
      </c>
      <c r="AA376" s="233">
        <f t="shared" si="133"/>
        <v>0</v>
      </c>
      <c r="AB376" s="233">
        <f t="shared" si="134"/>
        <v>0</v>
      </c>
      <c r="AC376" s="233">
        <f t="shared" si="135"/>
        <v>0</v>
      </c>
      <c r="AD376" s="233">
        <f t="shared" si="136"/>
        <v>0</v>
      </c>
      <c r="AE376" s="233">
        <f t="shared" si="137"/>
        <v>0</v>
      </c>
      <c r="AF376" s="233">
        <f t="shared" si="138"/>
        <v>0</v>
      </c>
      <c r="AG376" s="226">
        <f t="shared" ref="AG376:AG379" si="142">SUM(F376:AF376)</f>
        <v>996188.3899999999</v>
      </c>
      <c r="AH376" s="240" t="str">
        <f t="shared" ref="AH376:AH379" si="143">IF(ABS(E376-AG376)&lt;0.01,"ok","err")</f>
        <v>ok</v>
      </c>
      <c r="AK376" s="234"/>
    </row>
    <row r="377" spans="1:37" hidden="1" x14ac:dyDescent="0.2">
      <c r="A377" s="29"/>
      <c r="D377" s="14" t="s">
        <v>261</v>
      </c>
      <c r="E377" s="233">
        <v>0</v>
      </c>
      <c r="F377" s="66">
        <f t="shared" si="116"/>
        <v>0</v>
      </c>
      <c r="G377" s="66">
        <f t="shared" si="117"/>
        <v>0</v>
      </c>
      <c r="H377" s="66">
        <f t="shared" si="118"/>
        <v>0</v>
      </c>
      <c r="I377" s="66">
        <f t="shared" si="119"/>
        <v>0</v>
      </c>
      <c r="J377" s="66">
        <f t="shared" si="105"/>
        <v>0</v>
      </c>
      <c r="K377" s="66">
        <f t="shared" si="106"/>
        <v>0</v>
      </c>
      <c r="L377" s="66">
        <f t="shared" si="107"/>
        <v>0</v>
      </c>
      <c r="M377" s="66">
        <f t="shared" si="108"/>
        <v>0</v>
      </c>
      <c r="N377" s="66">
        <f t="shared" si="120"/>
        <v>0</v>
      </c>
      <c r="O377" s="66">
        <f t="shared" si="121"/>
        <v>0</v>
      </c>
      <c r="P377" s="66">
        <f t="shared" si="122"/>
        <v>0</v>
      </c>
      <c r="Q377" s="66">
        <f t="shared" si="123"/>
        <v>0</v>
      </c>
      <c r="R377" s="66">
        <f t="shared" si="124"/>
        <v>0</v>
      </c>
      <c r="S377" s="66">
        <f t="shared" si="125"/>
        <v>0</v>
      </c>
      <c r="T377" s="66">
        <f t="shared" si="126"/>
        <v>0</v>
      </c>
      <c r="U377" s="66">
        <f t="shared" si="127"/>
        <v>0</v>
      </c>
      <c r="V377" s="66">
        <f t="shared" si="128"/>
        <v>0</v>
      </c>
      <c r="W377" s="66">
        <f t="shared" si="129"/>
        <v>0</v>
      </c>
      <c r="X377" s="66">
        <f t="shared" si="130"/>
        <v>0</v>
      </c>
      <c r="Y377" s="66">
        <f t="shared" si="131"/>
        <v>0</v>
      </c>
      <c r="Z377" s="66">
        <f t="shared" si="132"/>
        <v>0</v>
      </c>
      <c r="AA377" s="66">
        <f t="shared" si="133"/>
        <v>0</v>
      </c>
      <c r="AB377" s="66">
        <f t="shared" si="134"/>
        <v>0</v>
      </c>
      <c r="AC377" s="66">
        <f t="shared" si="135"/>
        <v>0</v>
      </c>
      <c r="AD377" s="66">
        <f t="shared" si="136"/>
        <v>0</v>
      </c>
      <c r="AE377" s="66">
        <f t="shared" si="137"/>
        <v>0</v>
      </c>
      <c r="AF377" s="66">
        <f t="shared" si="138"/>
        <v>0</v>
      </c>
      <c r="AG377" s="93">
        <f t="shared" si="142"/>
        <v>0</v>
      </c>
      <c r="AH377" s="30" t="str">
        <f t="shared" si="143"/>
        <v>ok</v>
      </c>
    </row>
    <row r="378" spans="1:37" hidden="1" x14ac:dyDescent="0.2">
      <c r="A378" s="29"/>
      <c r="D378" s="14" t="s">
        <v>261</v>
      </c>
      <c r="E378" s="233">
        <v>0</v>
      </c>
      <c r="F378" s="66">
        <f t="shared" si="116"/>
        <v>0</v>
      </c>
      <c r="G378" s="66">
        <f t="shared" si="117"/>
        <v>0</v>
      </c>
      <c r="H378" s="66">
        <f t="shared" si="118"/>
        <v>0</v>
      </c>
      <c r="I378" s="66">
        <f t="shared" si="119"/>
        <v>0</v>
      </c>
      <c r="J378" s="66">
        <f t="shared" si="105"/>
        <v>0</v>
      </c>
      <c r="K378" s="66">
        <f t="shared" si="106"/>
        <v>0</v>
      </c>
      <c r="L378" s="66">
        <f t="shared" si="107"/>
        <v>0</v>
      </c>
      <c r="M378" s="66">
        <f t="shared" si="108"/>
        <v>0</v>
      </c>
      <c r="N378" s="66">
        <f t="shared" si="120"/>
        <v>0</v>
      </c>
      <c r="O378" s="66">
        <f t="shared" si="121"/>
        <v>0</v>
      </c>
      <c r="P378" s="66">
        <f t="shared" si="122"/>
        <v>0</v>
      </c>
      <c r="Q378" s="66">
        <f t="shared" si="123"/>
        <v>0</v>
      </c>
      <c r="R378" s="66">
        <f t="shared" si="124"/>
        <v>0</v>
      </c>
      <c r="S378" s="66">
        <f t="shared" si="125"/>
        <v>0</v>
      </c>
      <c r="T378" s="66">
        <f t="shared" si="126"/>
        <v>0</v>
      </c>
      <c r="U378" s="66">
        <f t="shared" si="127"/>
        <v>0</v>
      </c>
      <c r="V378" s="66">
        <f t="shared" si="128"/>
        <v>0</v>
      </c>
      <c r="W378" s="66">
        <f t="shared" si="129"/>
        <v>0</v>
      </c>
      <c r="X378" s="66">
        <f t="shared" si="130"/>
        <v>0</v>
      </c>
      <c r="Y378" s="66">
        <f t="shared" si="131"/>
        <v>0</v>
      </c>
      <c r="Z378" s="66">
        <f t="shared" si="132"/>
        <v>0</v>
      </c>
      <c r="AA378" s="66">
        <f t="shared" si="133"/>
        <v>0</v>
      </c>
      <c r="AB378" s="66">
        <f t="shared" si="134"/>
        <v>0</v>
      </c>
      <c r="AC378" s="66">
        <f t="shared" si="135"/>
        <v>0</v>
      </c>
      <c r="AD378" s="66">
        <f t="shared" si="136"/>
        <v>0</v>
      </c>
      <c r="AE378" s="66">
        <f t="shared" si="137"/>
        <v>0</v>
      </c>
      <c r="AF378" s="66">
        <f t="shared" si="138"/>
        <v>0</v>
      </c>
      <c r="AG378" s="93">
        <f t="shared" si="142"/>
        <v>0</v>
      </c>
      <c r="AH378" s="30" t="str">
        <f t="shared" si="143"/>
        <v>ok</v>
      </c>
    </row>
    <row r="379" spans="1:37" hidden="1" x14ac:dyDescent="0.2">
      <c r="A379" s="29"/>
      <c r="D379" s="14" t="s">
        <v>261</v>
      </c>
      <c r="E379" s="233">
        <v>0</v>
      </c>
      <c r="F379" s="66">
        <f t="shared" si="116"/>
        <v>0</v>
      </c>
      <c r="G379" s="66">
        <f t="shared" si="117"/>
        <v>0</v>
      </c>
      <c r="H379" s="66">
        <f t="shared" si="118"/>
        <v>0</v>
      </c>
      <c r="I379" s="66">
        <f t="shared" si="119"/>
        <v>0</v>
      </c>
      <c r="J379" s="66">
        <f t="shared" si="105"/>
        <v>0</v>
      </c>
      <c r="K379" s="66">
        <f t="shared" si="106"/>
        <v>0</v>
      </c>
      <c r="L379" s="66">
        <f t="shared" si="107"/>
        <v>0</v>
      </c>
      <c r="M379" s="66">
        <f t="shared" si="108"/>
        <v>0</v>
      </c>
      <c r="N379" s="66">
        <f t="shared" si="120"/>
        <v>0</v>
      </c>
      <c r="O379" s="66">
        <f t="shared" si="121"/>
        <v>0</v>
      </c>
      <c r="P379" s="66">
        <f t="shared" si="122"/>
        <v>0</v>
      </c>
      <c r="Q379" s="66">
        <f t="shared" si="123"/>
        <v>0</v>
      </c>
      <c r="R379" s="66">
        <f t="shared" si="124"/>
        <v>0</v>
      </c>
      <c r="S379" s="66">
        <f t="shared" si="125"/>
        <v>0</v>
      </c>
      <c r="T379" s="66">
        <f t="shared" si="126"/>
        <v>0</v>
      </c>
      <c r="U379" s="66">
        <f t="shared" si="127"/>
        <v>0</v>
      </c>
      <c r="V379" s="66">
        <f t="shared" si="128"/>
        <v>0</v>
      </c>
      <c r="W379" s="66">
        <f t="shared" si="129"/>
        <v>0</v>
      </c>
      <c r="X379" s="66">
        <f t="shared" si="130"/>
        <v>0</v>
      </c>
      <c r="Y379" s="66">
        <f t="shared" si="131"/>
        <v>0</v>
      </c>
      <c r="Z379" s="66">
        <f t="shared" si="132"/>
        <v>0</v>
      </c>
      <c r="AA379" s="66">
        <f t="shared" si="133"/>
        <v>0</v>
      </c>
      <c r="AB379" s="66">
        <f t="shared" si="134"/>
        <v>0</v>
      </c>
      <c r="AC379" s="66">
        <f t="shared" si="135"/>
        <v>0</v>
      </c>
      <c r="AD379" s="66">
        <f t="shared" si="136"/>
        <v>0</v>
      </c>
      <c r="AE379" s="66">
        <f t="shared" si="137"/>
        <v>0</v>
      </c>
      <c r="AF379" s="66">
        <f t="shared" si="138"/>
        <v>0</v>
      </c>
      <c r="AG379" s="93">
        <f t="shared" si="142"/>
        <v>0</v>
      </c>
      <c r="AH379" s="30" t="str">
        <f t="shared" si="143"/>
        <v>ok</v>
      </c>
    </row>
    <row r="380" spans="1:37" hidden="1" x14ac:dyDescent="0.2">
      <c r="A380" s="29"/>
      <c r="D380" s="14" t="s">
        <v>261</v>
      </c>
      <c r="E380" s="233">
        <v>0</v>
      </c>
      <c r="F380" s="66">
        <f t="shared" si="116"/>
        <v>0</v>
      </c>
      <c r="G380" s="66">
        <f t="shared" si="117"/>
        <v>0</v>
      </c>
      <c r="H380" s="66">
        <f t="shared" si="118"/>
        <v>0</v>
      </c>
      <c r="I380" s="66">
        <f t="shared" si="119"/>
        <v>0</v>
      </c>
      <c r="J380" s="66">
        <f t="shared" si="105"/>
        <v>0</v>
      </c>
      <c r="K380" s="66">
        <f t="shared" si="106"/>
        <v>0</v>
      </c>
      <c r="L380" s="66">
        <f t="shared" si="107"/>
        <v>0</v>
      </c>
      <c r="M380" s="66">
        <f t="shared" si="108"/>
        <v>0</v>
      </c>
      <c r="N380" s="66">
        <f t="shared" si="120"/>
        <v>0</v>
      </c>
      <c r="O380" s="66">
        <f t="shared" si="121"/>
        <v>0</v>
      </c>
      <c r="P380" s="66">
        <f t="shared" si="122"/>
        <v>0</v>
      </c>
      <c r="Q380" s="66">
        <f t="shared" si="123"/>
        <v>0</v>
      </c>
      <c r="R380" s="66">
        <f t="shared" si="124"/>
        <v>0</v>
      </c>
      <c r="S380" s="66">
        <f t="shared" si="125"/>
        <v>0</v>
      </c>
      <c r="T380" s="66">
        <f t="shared" si="126"/>
        <v>0</v>
      </c>
      <c r="U380" s="66">
        <f t="shared" si="127"/>
        <v>0</v>
      </c>
      <c r="V380" s="66">
        <f t="shared" si="128"/>
        <v>0</v>
      </c>
      <c r="W380" s="66">
        <f t="shared" si="129"/>
        <v>0</v>
      </c>
      <c r="X380" s="66">
        <f t="shared" si="130"/>
        <v>0</v>
      </c>
      <c r="Y380" s="66">
        <f t="shared" si="131"/>
        <v>0</v>
      </c>
      <c r="Z380" s="66">
        <f t="shared" si="132"/>
        <v>0</v>
      </c>
      <c r="AA380" s="66">
        <f t="shared" si="133"/>
        <v>0</v>
      </c>
      <c r="AB380" s="66">
        <f t="shared" si="134"/>
        <v>0</v>
      </c>
      <c r="AC380" s="66">
        <f t="shared" si="135"/>
        <v>0</v>
      </c>
      <c r="AD380" s="66">
        <f t="shared" si="136"/>
        <v>0</v>
      </c>
      <c r="AE380" s="66">
        <f t="shared" si="137"/>
        <v>0</v>
      </c>
      <c r="AF380" s="66">
        <f t="shared" si="138"/>
        <v>0</v>
      </c>
      <c r="AG380" s="93">
        <f t="shared" ref="AG380:AG381" si="144">SUM(F380:AF380)</f>
        <v>0</v>
      </c>
      <c r="AH380" s="30" t="str">
        <f t="shared" ref="AH380:AH381" si="145">IF(ABS(E380-AG380)&lt;0.01,"ok","err")</f>
        <v>ok</v>
      </c>
    </row>
    <row r="381" spans="1:37" hidden="1" x14ac:dyDescent="0.2">
      <c r="A381" s="29"/>
      <c r="D381" s="14" t="s">
        <v>261</v>
      </c>
      <c r="E381" s="233">
        <v>0</v>
      </c>
      <c r="F381" s="66">
        <f t="shared" si="116"/>
        <v>0</v>
      </c>
      <c r="G381" s="66">
        <f t="shared" si="117"/>
        <v>0</v>
      </c>
      <c r="H381" s="66">
        <f t="shared" si="118"/>
        <v>0</v>
      </c>
      <c r="I381" s="66">
        <f t="shared" si="119"/>
        <v>0</v>
      </c>
      <c r="J381" s="66">
        <f t="shared" si="105"/>
        <v>0</v>
      </c>
      <c r="K381" s="66">
        <f t="shared" si="106"/>
        <v>0</v>
      </c>
      <c r="L381" s="66">
        <f t="shared" si="107"/>
        <v>0</v>
      </c>
      <c r="M381" s="66">
        <f t="shared" si="108"/>
        <v>0</v>
      </c>
      <c r="N381" s="66">
        <f t="shared" si="120"/>
        <v>0</v>
      </c>
      <c r="O381" s="66">
        <f t="shared" si="121"/>
        <v>0</v>
      </c>
      <c r="P381" s="66">
        <f t="shared" si="122"/>
        <v>0</v>
      </c>
      <c r="Q381" s="66">
        <f t="shared" si="123"/>
        <v>0</v>
      </c>
      <c r="R381" s="66">
        <f t="shared" si="124"/>
        <v>0</v>
      </c>
      <c r="S381" s="66">
        <f t="shared" si="125"/>
        <v>0</v>
      </c>
      <c r="T381" s="66">
        <f t="shared" si="126"/>
        <v>0</v>
      </c>
      <c r="U381" s="66">
        <f t="shared" si="127"/>
        <v>0</v>
      </c>
      <c r="V381" s="66">
        <f t="shared" si="128"/>
        <v>0</v>
      </c>
      <c r="W381" s="66">
        <f t="shared" si="129"/>
        <v>0</v>
      </c>
      <c r="X381" s="66">
        <f t="shared" si="130"/>
        <v>0</v>
      </c>
      <c r="Y381" s="66">
        <f t="shared" si="131"/>
        <v>0</v>
      </c>
      <c r="Z381" s="66">
        <f t="shared" si="132"/>
        <v>0</v>
      </c>
      <c r="AA381" s="66">
        <f t="shared" si="133"/>
        <v>0</v>
      </c>
      <c r="AB381" s="66">
        <f t="shared" si="134"/>
        <v>0</v>
      </c>
      <c r="AC381" s="66">
        <f t="shared" si="135"/>
        <v>0</v>
      </c>
      <c r="AD381" s="66">
        <f t="shared" si="136"/>
        <v>0</v>
      </c>
      <c r="AE381" s="66">
        <f t="shared" si="137"/>
        <v>0</v>
      </c>
      <c r="AF381" s="66">
        <f t="shared" si="138"/>
        <v>0</v>
      </c>
      <c r="AG381" s="93">
        <f t="shared" si="144"/>
        <v>0</v>
      </c>
      <c r="AH381" s="30" t="str">
        <f t="shared" si="145"/>
        <v>ok</v>
      </c>
    </row>
    <row r="382" spans="1:37" hidden="1" x14ac:dyDescent="0.2">
      <c r="A382" s="29"/>
      <c r="D382" s="14" t="s">
        <v>261</v>
      </c>
      <c r="E382" s="233">
        <v>0</v>
      </c>
      <c r="F382" s="66">
        <f t="shared" si="116"/>
        <v>0</v>
      </c>
      <c r="G382" s="66">
        <f t="shared" si="117"/>
        <v>0</v>
      </c>
      <c r="H382" s="66">
        <f t="shared" si="118"/>
        <v>0</v>
      </c>
      <c r="I382" s="66">
        <f t="shared" si="119"/>
        <v>0</v>
      </c>
      <c r="J382" s="66">
        <f t="shared" si="105"/>
        <v>0</v>
      </c>
      <c r="K382" s="66">
        <f t="shared" si="106"/>
        <v>0</v>
      </c>
      <c r="L382" s="66">
        <f t="shared" si="107"/>
        <v>0</v>
      </c>
      <c r="M382" s="66">
        <f t="shared" si="108"/>
        <v>0</v>
      </c>
      <c r="N382" s="66">
        <f t="shared" si="120"/>
        <v>0</v>
      </c>
      <c r="O382" s="66">
        <f t="shared" si="121"/>
        <v>0</v>
      </c>
      <c r="P382" s="66">
        <f t="shared" si="122"/>
        <v>0</v>
      </c>
      <c r="Q382" s="66">
        <f t="shared" si="123"/>
        <v>0</v>
      </c>
      <c r="R382" s="66">
        <f t="shared" si="124"/>
        <v>0</v>
      </c>
      <c r="S382" s="66">
        <f t="shared" si="125"/>
        <v>0</v>
      </c>
      <c r="T382" s="66">
        <f t="shared" si="126"/>
        <v>0</v>
      </c>
      <c r="U382" s="66">
        <f t="shared" si="127"/>
        <v>0</v>
      </c>
      <c r="V382" s="66">
        <f t="shared" si="128"/>
        <v>0</v>
      </c>
      <c r="W382" s="66">
        <f t="shared" si="129"/>
        <v>0</v>
      </c>
      <c r="X382" s="66">
        <f t="shared" si="130"/>
        <v>0</v>
      </c>
      <c r="Y382" s="66">
        <f t="shared" si="131"/>
        <v>0</v>
      </c>
      <c r="Z382" s="66">
        <f t="shared" si="132"/>
        <v>0</v>
      </c>
      <c r="AA382" s="66">
        <f t="shared" si="133"/>
        <v>0</v>
      </c>
      <c r="AB382" s="66">
        <f t="shared" si="134"/>
        <v>0</v>
      </c>
      <c r="AC382" s="66">
        <f t="shared" si="135"/>
        <v>0</v>
      </c>
      <c r="AD382" s="66">
        <f t="shared" si="136"/>
        <v>0</v>
      </c>
      <c r="AE382" s="66">
        <f t="shared" si="137"/>
        <v>0</v>
      </c>
      <c r="AF382" s="66">
        <f t="shared" si="138"/>
        <v>0</v>
      </c>
      <c r="AG382" s="93">
        <f t="shared" ref="AG382" si="146">SUM(F382:AF382)</f>
        <v>0</v>
      </c>
      <c r="AH382" s="30" t="str">
        <f t="shared" ref="AH382" si="147">IF(ABS(E382-AG382)&lt;0.01,"ok","err")</f>
        <v>ok</v>
      </c>
    </row>
    <row r="383" spans="1:37" hidden="1" x14ac:dyDescent="0.2">
      <c r="A383" s="29"/>
      <c r="D383" s="14" t="s">
        <v>261</v>
      </c>
      <c r="E383" s="233">
        <v>0</v>
      </c>
      <c r="F383" s="66">
        <f t="shared" si="116"/>
        <v>0</v>
      </c>
      <c r="G383" s="66">
        <f t="shared" si="117"/>
        <v>0</v>
      </c>
      <c r="H383" s="66">
        <f t="shared" si="118"/>
        <v>0</v>
      </c>
      <c r="I383" s="66">
        <f t="shared" si="119"/>
        <v>0</v>
      </c>
      <c r="J383" s="66">
        <f t="shared" si="105"/>
        <v>0</v>
      </c>
      <c r="K383" s="66">
        <f t="shared" si="106"/>
        <v>0</v>
      </c>
      <c r="L383" s="66">
        <f t="shared" si="107"/>
        <v>0</v>
      </c>
      <c r="M383" s="66">
        <f t="shared" si="108"/>
        <v>0</v>
      </c>
      <c r="N383" s="66">
        <f t="shared" si="120"/>
        <v>0</v>
      </c>
      <c r="O383" s="66">
        <f t="shared" si="121"/>
        <v>0</v>
      </c>
      <c r="P383" s="66">
        <f t="shared" si="122"/>
        <v>0</v>
      </c>
      <c r="Q383" s="66">
        <f t="shared" si="123"/>
        <v>0</v>
      </c>
      <c r="R383" s="66">
        <f t="shared" si="124"/>
        <v>0</v>
      </c>
      <c r="S383" s="66">
        <f t="shared" si="125"/>
        <v>0</v>
      </c>
      <c r="T383" s="66">
        <f t="shared" si="126"/>
        <v>0</v>
      </c>
      <c r="U383" s="66">
        <f t="shared" si="127"/>
        <v>0</v>
      </c>
      <c r="V383" s="66">
        <f t="shared" si="128"/>
        <v>0</v>
      </c>
      <c r="W383" s="66">
        <f t="shared" si="129"/>
        <v>0</v>
      </c>
      <c r="X383" s="66">
        <f t="shared" si="130"/>
        <v>0</v>
      </c>
      <c r="Y383" s="66">
        <f t="shared" si="131"/>
        <v>0</v>
      </c>
      <c r="Z383" s="66">
        <f t="shared" si="132"/>
        <v>0</v>
      </c>
      <c r="AA383" s="66">
        <f t="shared" si="133"/>
        <v>0</v>
      </c>
      <c r="AB383" s="66">
        <f t="shared" si="134"/>
        <v>0</v>
      </c>
      <c r="AC383" s="66">
        <f t="shared" si="135"/>
        <v>0</v>
      </c>
      <c r="AD383" s="66">
        <f t="shared" si="136"/>
        <v>0</v>
      </c>
      <c r="AE383" s="66">
        <f t="shared" si="137"/>
        <v>0</v>
      </c>
      <c r="AF383" s="66">
        <f t="shared" si="138"/>
        <v>0</v>
      </c>
      <c r="AG383" s="93">
        <f t="shared" si="109"/>
        <v>0</v>
      </c>
      <c r="AH383" s="30" t="str">
        <f t="shared" si="110"/>
        <v>ok</v>
      </c>
    </row>
    <row r="384" spans="1:37" x14ac:dyDescent="0.2">
      <c r="B384" s="27" t="s">
        <v>900</v>
      </c>
      <c r="E384" s="247">
        <f>SUM(E359:E383)</f>
        <v>-24121610.62223766</v>
      </c>
      <c r="F384" s="104">
        <f t="shared" ref="F384:R384" si="148">SUM(F359:F383)</f>
        <v>-16285529.64270143</v>
      </c>
      <c r="G384" s="104">
        <f t="shared" si="148"/>
        <v>-1729763.8221549783</v>
      </c>
      <c r="H384" s="104">
        <f t="shared" si="148"/>
        <v>-2829192.0456464007</v>
      </c>
      <c r="I384" s="104">
        <f t="shared" si="148"/>
        <v>-88148.92918165616</v>
      </c>
      <c r="J384" s="104">
        <f t="shared" si="148"/>
        <v>-1363503.7563850537</v>
      </c>
      <c r="K384" s="104">
        <f t="shared" si="148"/>
        <v>-1447974.1909295861</v>
      </c>
      <c r="L384" s="104">
        <f t="shared" si="148"/>
        <v>-278826.73004441056</v>
      </c>
      <c r="M384" s="104">
        <f t="shared" si="148"/>
        <v>-207009.21626953679</v>
      </c>
      <c r="N384" s="104">
        <f t="shared" si="148"/>
        <v>108337.70969526948</v>
      </c>
      <c r="O384" s="104">
        <f t="shared" si="148"/>
        <v>0</v>
      </c>
      <c r="P384" s="104">
        <f t="shared" si="148"/>
        <v>0</v>
      </c>
      <c r="Q384" s="104">
        <f t="shared" si="148"/>
        <v>0</v>
      </c>
      <c r="R384" s="104">
        <f t="shared" si="148"/>
        <v>0</v>
      </c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104">
        <f t="shared" si="109"/>
        <v>-24121610.623617787</v>
      </c>
      <c r="AH384" s="30" t="str">
        <f t="shared" si="110"/>
        <v>ok</v>
      </c>
    </row>
    <row r="385" spans="1:34" x14ac:dyDescent="0.2">
      <c r="E385" s="226"/>
    </row>
    <row r="386" spans="1:34" x14ac:dyDescent="0.2">
      <c r="A386" s="14" t="s">
        <v>572</v>
      </c>
      <c r="E386" s="226">
        <f>E356+E384</f>
        <v>127661554.82376242</v>
      </c>
      <c r="F386" s="93">
        <f t="shared" ref="F386:R386" si="149">F356+F384</f>
        <v>92464016.301108897</v>
      </c>
      <c r="G386" s="93">
        <f t="shared" si="149"/>
        <v>5892890.6893010205</v>
      </c>
      <c r="H386" s="93">
        <f t="shared" si="149"/>
        <v>14871724.496911934</v>
      </c>
      <c r="I386" s="93">
        <f t="shared" si="149"/>
        <v>699977.88374360395</v>
      </c>
      <c r="J386" s="93">
        <f t="shared" si="149"/>
        <v>4737387.0101754954</v>
      </c>
      <c r="K386" s="93">
        <f t="shared" si="149"/>
        <v>5064453.059817587</v>
      </c>
      <c r="L386" s="93">
        <f t="shared" si="149"/>
        <v>977564.36526322179</v>
      </c>
      <c r="M386" s="93">
        <f t="shared" si="149"/>
        <v>830045.90766992152</v>
      </c>
      <c r="N386" s="93">
        <f t="shared" si="149"/>
        <v>2123495.1083905632</v>
      </c>
      <c r="O386" s="93">
        <f t="shared" si="149"/>
        <v>0</v>
      </c>
      <c r="P386" s="93">
        <f t="shared" si="149"/>
        <v>0</v>
      </c>
      <c r="Q386" s="93">
        <f t="shared" si="149"/>
        <v>0</v>
      </c>
      <c r="R386" s="93">
        <f t="shared" si="149"/>
        <v>0</v>
      </c>
      <c r="S386" s="93">
        <f t="shared" ref="S386:AF386" si="150">SUM(S356:S385)</f>
        <v>0</v>
      </c>
      <c r="T386" s="93">
        <f t="shared" si="150"/>
        <v>0</v>
      </c>
      <c r="U386" s="93">
        <f t="shared" si="150"/>
        <v>0</v>
      </c>
      <c r="V386" s="93">
        <f t="shared" si="150"/>
        <v>0</v>
      </c>
      <c r="W386" s="93">
        <f t="shared" si="150"/>
        <v>0</v>
      </c>
      <c r="X386" s="93">
        <f t="shared" si="150"/>
        <v>0</v>
      </c>
      <c r="Y386" s="93">
        <f t="shared" si="150"/>
        <v>0</v>
      </c>
      <c r="Z386" s="93">
        <f t="shared" si="150"/>
        <v>0</v>
      </c>
      <c r="AA386" s="93">
        <f t="shared" si="150"/>
        <v>0</v>
      </c>
      <c r="AB386" s="93">
        <f t="shared" si="150"/>
        <v>0</v>
      </c>
      <c r="AC386" s="93">
        <f t="shared" si="150"/>
        <v>0</v>
      </c>
      <c r="AD386" s="93">
        <f t="shared" si="150"/>
        <v>0</v>
      </c>
      <c r="AE386" s="93">
        <f t="shared" si="150"/>
        <v>0</v>
      </c>
      <c r="AF386" s="93">
        <f t="shared" si="150"/>
        <v>0</v>
      </c>
      <c r="AG386" s="93">
        <f>SUM(F386:AF386)</f>
        <v>127661554.82238223</v>
      </c>
      <c r="AH386" s="30" t="str">
        <f>IF(ABS(E386-AG386)&lt;0.01,"ok","err")</f>
        <v>ok</v>
      </c>
    </row>
    <row r="388" spans="1:34" x14ac:dyDescent="0.2">
      <c r="A388" s="13" t="s">
        <v>573</v>
      </c>
      <c r="E388" s="226">
        <f t="shared" ref="E388:AF388" si="151">E352-E386</f>
        <v>451219.38623765111</v>
      </c>
      <c r="F388" s="93">
        <f t="shared" si="151"/>
        <v>-8079295.4284284711</v>
      </c>
      <c r="G388" s="93">
        <f t="shared" si="151"/>
        <v>2626940.0861616386</v>
      </c>
      <c r="H388" s="93">
        <f t="shared" si="151"/>
        <v>2568185.5921638366</v>
      </c>
      <c r="I388" s="93">
        <f t="shared" si="151"/>
        <v>146726.90474744188</v>
      </c>
      <c r="J388" s="93">
        <f t="shared" si="151"/>
        <v>261876.90502912365</v>
      </c>
      <c r="K388" s="93">
        <f t="shared" si="151"/>
        <v>274761.55159054045</v>
      </c>
      <c r="L388" s="93">
        <f t="shared" si="151"/>
        <v>399316.7408165154</v>
      </c>
      <c r="M388" s="93">
        <f t="shared" si="151"/>
        <v>71462.871943639242</v>
      </c>
      <c r="N388" s="93">
        <f t="shared" si="151"/>
        <v>2181244.1602495322</v>
      </c>
      <c r="O388" s="93">
        <f t="shared" si="151"/>
        <v>0</v>
      </c>
      <c r="P388" s="93">
        <f t="shared" si="151"/>
        <v>0</v>
      </c>
      <c r="Q388" s="93">
        <f t="shared" si="151"/>
        <v>0</v>
      </c>
      <c r="R388" s="93">
        <f t="shared" si="151"/>
        <v>0</v>
      </c>
      <c r="S388" s="93">
        <f t="shared" si="151"/>
        <v>0</v>
      </c>
      <c r="T388" s="93">
        <f t="shared" si="151"/>
        <v>0</v>
      </c>
      <c r="U388" s="93">
        <f t="shared" si="151"/>
        <v>0</v>
      </c>
      <c r="V388" s="93">
        <f t="shared" si="151"/>
        <v>0</v>
      </c>
      <c r="W388" s="93">
        <f t="shared" si="151"/>
        <v>0</v>
      </c>
      <c r="X388" s="93">
        <f t="shared" si="151"/>
        <v>0</v>
      </c>
      <c r="Y388" s="93">
        <f t="shared" si="151"/>
        <v>0</v>
      </c>
      <c r="Z388" s="93">
        <f t="shared" si="151"/>
        <v>0</v>
      </c>
      <c r="AA388" s="93">
        <f t="shared" si="151"/>
        <v>0</v>
      </c>
      <c r="AB388" s="93">
        <f t="shared" si="151"/>
        <v>0</v>
      </c>
      <c r="AC388" s="93">
        <f t="shared" si="151"/>
        <v>0</v>
      </c>
      <c r="AD388" s="93">
        <f t="shared" si="151"/>
        <v>0</v>
      </c>
      <c r="AE388" s="93">
        <f t="shared" si="151"/>
        <v>0</v>
      </c>
      <c r="AF388" s="93">
        <f t="shared" si="151"/>
        <v>0</v>
      </c>
      <c r="AG388" s="93">
        <f>SUM(F388:AF388)</f>
        <v>451219.38427379681</v>
      </c>
      <c r="AH388" s="30" t="str">
        <f>IF(ABS(E388-AG388)&lt;0.01,"ok","err")</f>
        <v>ok</v>
      </c>
    </row>
    <row r="390" spans="1:34" x14ac:dyDescent="0.2">
      <c r="A390" s="13" t="s">
        <v>249</v>
      </c>
      <c r="E390" s="226">
        <f t="shared" ref="E390:AF390" si="152">E328</f>
        <v>223016187.61401922</v>
      </c>
      <c r="F390" s="93">
        <f t="shared" si="152"/>
        <v>176926919.16421211</v>
      </c>
      <c r="G390" s="93">
        <f t="shared" si="152"/>
        <v>15569769.029888142</v>
      </c>
      <c r="H390" s="93">
        <f t="shared" si="152"/>
        <v>10445376.335771658</v>
      </c>
      <c r="I390" s="93">
        <f t="shared" si="152"/>
        <v>319263.09023531183</v>
      </c>
      <c r="J390" s="93">
        <f t="shared" si="152"/>
        <v>2488839.8258682913</v>
      </c>
      <c r="K390" s="93">
        <f t="shared" si="152"/>
        <v>2760134.3510021139</v>
      </c>
      <c r="L390" s="93">
        <f t="shared" si="152"/>
        <v>1226618.0908832785</v>
      </c>
      <c r="M390" s="93">
        <f t="shared" si="152"/>
        <v>749995.90534109029</v>
      </c>
      <c r="N390" s="93">
        <f>N328</f>
        <v>12529271.820817271</v>
      </c>
      <c r="O390" s="93">
        <f t="shared" si="152"/>
        <v>0</v>
      </c>
      <c r="P390" s="93">
        <f t="shared" si="152"/>
        <v>0</v>
      </c>
      <c r="Q390" s="93">
        <f t="shared" si="152"/>
        <v>0</v>
      </c>
      <c r="R390" s="93">
        <f t="shared" si="152"/>
        <v>0</v>
      </c>
      <c r="S390" s="93">
        <f t="shared" si="152"/>
        <v>0</v>
      </c>
      <c r="T390" s="93">
        <f t="shared" si="152"/>
        <v>0</v>
      </c>
      <c r="U390" s="93">
        <f t="shared" si="152"/>
        <v>0</v>
      </c>
      <c r="V390" s="93">
        <f t="shared" si="152"/>
        <v>0</v>
      </c>
      <c r="W390" s="93">
        <f t="shared" si="152"/>
        <v>0</v>
      </c>
      <c r="X390" s="93">
        <f t="shared" si="152"/>
        <v>0</v>
      </c>
      <c r="Y390" s="93">
        <f t="shared" si="152"/>
        <v>0</v>
      </c>
      <c r="Z390" s="93">
        <f t="shared" si="152"/>
        <v>0</v>
      </c>
      <c r="AA390" s="93">
        <f t="shared" si="152"/>
        <v>0</v>
      </c>
      <c r="AB390" s="93">
        <f t="shared" si="152"/>
        <v>0</v>
      </c>
      <c r="AC390" s="93">
        <f t="shared" si="152"/>
        <v>0</v>
      </c>
      <c r="AD390" s="93">
        <f t="shared" si="152"/>
        <v>0</v>
      </c>
      <c r="AE390" s="93">
        <f t="shared" si="152"/>
        <v>0</v>
      </c>
      <c r="AF390" s="93">
        <f t="shared" si="152"/>
        <v>0</v>
      </c>
      <c r="AG390" s="93">
        <f>SUM(F390:AF390)</f>
        <v>223016187.61401927</v>
      </c>
      <c r="AH390" s="30" t="str">
        <f>IF(ABS(E390-AG390)&lt;0.01,"ok","err")</f>
        <v>ok</v>
      </c>
    </row>
    <row r="391" spans="1:34" x14ac:dyDescent="0.2">
      <c r="A391" s="14" t="s">
        <v>749</v>
      </c>
      <c r="E391" s="226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30"/>
    </row>
    <row r="392" spans="1:34" x14ac:dyDescent="0.2">
      <c r="A392" s="13"/>
      <c r="B392" s="14" t="s">
        <v>1046</v>
      </c>
      <c r="D392" s="14" t="s">
        <v>261</v>
      </c>
      <c r="E392" s="226">
        <v>0</v>
      </c>
      <c r="F392" s="66">
        <f>IF(VLOOKUP($D392,$C$5:$AU$521,3,)=0,0,(VLOOKUP($D392,$C$5:$AU$521,4,)/VLOOKUP($D392,$C$5:$AU$521,3,))*$E392)</f>
        <v>0</v>
      </c>
      <c r="G392" s="66">
        <f>IF(VLOOKUP($D392,$C$5:$AU$521,3,)=0,0,(VLOOKUP($D392,$C$5:$AU$521,5,)/VLOOKUP($D392,$C$5:$AU$521,3,))*$E392)</f>
        <v>0</v>
      </c>
      <c r="H392" s="66">
        <f>IF(VLOOKUP($D392,$C$5:$AU$521,3,)=0,0,(VLOOKUP($D392,$C$5:$AU$521,6,)/VLOOKUP($D392,$C$5:$AU$521,3,))*$E392)</f>
        <v>0</v>
      </c>
      <c r="I392" s="66">
        <f>IF(VLOOKUP($D392,$C$5:$AU$521,3,)=0,0,(VLOOKUP($D392,$C$5:$AU$521,7,)/VLOOKUP($D392,$C$5:$AU$521,3,))*$E392)</f>
        <v>0</v>
      </c>
      <c r="J392" s="66">
        <f>IF(VLOOKUP($D392,$C$5:$AU$521,3,)=0,0,(VLOOKUP($D392,$C$5:$AU$521,8,)/VLOOKUP($D392,$C$5:$AU$521,3,))*$E392)</f>
        <v>0</v>
      </c>
      <c r="K392" s="66">
        <f>IF(VLOOKUP($D392,$C$5:$AU$521,3,)=0,0,(VLOOKUP($D392,$C$5:$AU$521,9,)/VLOOKUP($D392,$C$5:$AU$521,3,))*$E392)</f>
        <v>0</v>
      </c>
      <c r="L392" s="66">
        <f>IF(VLOOKUP($D392,$C$5:$AU$521,3,)=0,0,(VLOOKUP($D392,$C$5:$AU$521,10,)/VLOOKUP($D392,$C$5:$AU$521,3,))*$E392)</f>
        <v>0</v>
      </c>
      <c r="M392" s="66">
        <f>IF(VLOOKUP($D392,$C$5:$AU$521,3,)=0,0,(VLOOKUP($D392,$C$5:$AU$521,11,)/VLOOKUP($D392,$C$5:$AU$521,3,))*$E392)</f>
        <v>0</v>
      </c>
      <c r="N392" s="66">
        <f>IF(VLOOKUP($D392,$C$5:$AU$521,3,)=0,0,(VLOOKUP($D392,$C$5:$AU$521,12,)/VLOOKUP($D392,$C$5:$AU$521,3,))*$E392)</f>
        <v>0</v>
      </c>
      <c r="O392" s="66">
        <f>IF(VLOOKUP($D392,$C$5:$AU$521,3,)=0,0,(VLOOKUP($D392,$C$5:$AU$521,13,)/VLOOKUP($D392,$C$5:$AU$521,3,))*$E392)</f>
        <v>0</v>
      </c>
      <c r="P392" s="66">
        <f>IF(VLOOKUP($D392,$C$5:$AU$521,3,)=0,0,(VLOOKUP($D392,$C$5:$AU$521,14,)/VLOOKUP($D392,$C$5:$AU$521,3,))*$E392)</f>
        <v>0</v>
      </c>
      <c r="Q392" s="66">
        <f>IF(VLOOKUP($D392,$C$5:$AU$521,3,)=0,0,(VLOOKUP($D392,$C$5:$AU$521,15,)/VLOOKUP($D392,$C$5:$AU$521,3,))*$E392)</f>
        <v>0</v>
      </c>
      <c r="R392" s="66">
        <f>IF(VLOOKUP($D392,$C$5:$AU$521,3,)=0,0,(VLOOKUP($D392,$C$5:$AU$521,16,)/VLOOKUP($D392,$C$5:$AU$521,3,))*$E392)</f>
        <v>0</v>
      </c>
      <c r="S392" s="66">
        <f>IF(VLOOKUP($D392,$C$5:$AU$521,3,)=0,0,(VLOOKUP($D392,$C$5:$AU$521,17,)/VLOOKUP($D392,$C$5:$AU$521,3,))*$E392)</f>
        <v>0</v>
      </c>
      <c r="T392" s="66">
        <f>IF(VLOOKUP($D392,$C$5:$AU$521,3,)=0,0,(VLOOKUP($D392,$C$5:$AU$521,18,)/VLOOKUP($D392,$C$5:$AU$521,3,))*$E392)</f>
        <v>0</v>
      </c>
      <c r="U392" s="66">
        <f>IF(VLOOKUP($D392,$C$5:$AU$521,3,)=0,0,(VLOOKUP($D392,$C$5:$AU$521,19,)/VLOOKUP($D392,$C$5:$AU$521,3,))*$E392)</f>
        <v>0</v>
      </c>
      <c r="V392" s="66">
        <f>IF(VLOOKUP($D392,$C$5:$AU$521,3,)=0,0,(VLOOKUP($D392,$C$5:$AU$521,20,)/VLOOKUP($D392,$C$5:$AU$521,3,))*$E392)</f>
        <v>0</v>
      </c>
      <c r="W392" s="66">
        <f>IF(VLOOKUP($D392,$C$5:$AU$521,3,)=0,0,(VLOOKUP($D392,$C$5:$AU$521,21,)/VLOOKUP($D392,$C$5:$AU$521,3,))*$E392)</f>
        <v>0</v>
      </c>
      <c r="X392" s="66">
        <f>IF(VLOOKUP($D392,$C$5:$AU$521,3,)=0,0,(VLOOKUP($D392,$C$5:$AU$521,22,)/VLOOKUP($D392,$C$5:$AU$521,3,))*$E392)</f>
        <v>0</v>
      </c>
      <c r="Y392" s="66">
        <f>IF(VLOOKUP($D392,$C$5:$AU$521,3,)=0,0,(VLOOKUP($D392,$C$5:$AU$521,23,)/VLOOKUP($D392,$C$5:$AU$521,3,))*$E392)</f>
        <v>0</v>
      </c>
      <c r="Z392" s="66">
        <f>IF(VLOOKUP($D392,$C$5:$AU$521,3,)=0,0,(VLOOKUP($D392,$C$5:$AU$521,24,)/VLOOKUP($D392,$C$5:$AU$521,3,))*$E392)</f>
        <v>0</v>
      </c>
      <c r="AA392" s="66">
        <f>IF(VLOOKUP($D392,$C$5:$AU$521,3,)=0,0,(VLOOKUP($D392,$C$5:$AU$521,25,)/VLOOKUP($D392,$C$5:$AU$521,3,))*$E392)</f>
        <v>0</v>
      </c>
      <c r="AB392" s="66">
        <f>IF(VLOOKUP($D392,$C$5:$AU$521,3,)=0,0,(VLOOKUP($D392,$C$5:$AU$521,26,)/VLOOKUP($D392,$C$5:$AU$521,3,))*$E392)</f>
        <v>0</v>
      </c>
      <c r="AC392" s="66">
        <f>IF(VLOOKUP($D392,$C$5:$AU$521,3,)=0,0,(VLOOKUP($D392,$C$5:$AU$521,27,)/VLOOKUP($D392,$C$5:$AU$521,3,))*$E392)</f>
        <v>0</v>
      </c>
      <c r="AD392" s="66">
        <f>IF(VLOOKUP($D392,$C$5:$AU$521,3,)=0,0,(VLOOKUP($D392,$C$5:$AU$521,28,)/VLOOKUP($D392,$C$5:$AU$521,3,))*$E392)</f>
        <v>0</v>
      </c>
      <c r="AE392" s="66">
        <f>IF(VLOOKUP($D392,$C$5:$AU$521,3,)=0,0,(VLOOKUP($D392,$C$5:$AU$521,29,)/VLOOKUP($D392,$C$5:$AU$521,3,))*$E392)</f>
        <v>0</v>
      </c>
      <c r="AF392" s="66">
        <f>IF(VLOOKUP($D392,$C$5:$AU$521,3,)=0,0,(VLOOKUP($D392,$C$5:$AU$521,30,)/VLOOKUP($D392,$C$5:$AU$521,3,))*$E392)</f>
        <v>0</v>
      </c>
      <c r="AG392" s="93">
        <f>SUM(F392:AF392)</f>
        <v>0</v>
      </c>
      <c r="AH392" s="30" t="str">
        <f>IF(ABS(E392-AG392)&lt;0.01,"ok","err")</f>
        <v>ok</v>
      </c>
    </row>
    <row r="393" spans="1:34" x14ac:dyDescent="0.2">
      <c r="A393" s="13"/>
      <c r="E393" s="22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93"/>
      <c r="AH393" s="30"/>
    </row>
    <row r="394" spans="1:34" x14ac:dyDescent="0.2">
      <c r="A394" s="14" t="s">
        <v>748</v>
      </c>
      <c r="E394" s="226">
        <f>E390+E392</f>
        <v>223016187.61401922</v>
      </c>
      <c r="F394" s="93">
        <f t="shared" ref="F394:U394" si="153">F390+F392</f>
        <v>176926919.16421211</v>
      </c>
      <c r="G394" s="93">
        <f t="shared" si="153"/>
        <v>15569769.029888142</v>
      </c>
      <c r="H394" s="93">
        <f t="shared" si="153"/>
        <v>10445376.335771658</v>
      </c>
      <c r="I394" s="93">
        <f t="shared" si="153"/>
        <v>319263.09023531183</v>
      </c>
      <c r="J394" s="93">
        <f t="shared" si="153"/>
        <v>2488839.8258682913</v>
      </c>
      <c r="K394" s="93">
        <f t="shared" si="153"/>
        <v>2760134.3510021139</v>
      </c>
      <c r="L394" s="93">
        <f t="shared" si="153"/>
        <v>1226618.0908832785</v>
      </c>
      <c r="M394" s="93">
        <f t="shared" si="153"/>
        <v>749995.90534109029</v>
      </c>
      <c r="N394" s="93">
        <f t="shared" si="153"/>
        <v>12529271.820817271</v>
      </c>
      <c r="O394" s="93">
        <f t="shared" si="153"/>
        <v>0</v>
      </c>
      <c r="P394" s="93">
        <f>P390+P392</f>
        <v>0</v>
      </c>
      <c r="Q394" s="93">
        <f t="shared" si="153"/>
        <v>0</v>
      </c>
      <c r="R394" s="93">
        <f t="shared" si="153"/>
        <v>0</v>
      </c>
      <c r="S394" s="66">
        <f t="shared" si="153"/>
        <v>0</v>
      </c>
      <c r="T394" s="66">
        <f t="shared" si="153"/>
        <v>0</v>
      </c>
      <c r="U394" s="66">
        <f t="shared" si="153"/>
        <v>0</v>
      </c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93">
        <f>SUM(F394:AF394)</f>
        <v>223016187.61401927</v>
      </c>
      <c r="AH394" s="30" t="str">
        <f>IF(ABS(E394-AG394)&lt;0.01,"ok","err")</f>
        <v>ok</v>
      </c>
    </row>
    <row r="395" spans="1:34" ht="13.5" thickBot="1" x14ac:dyDescent="0.25"/>
    <row r="396" spans="1:34" ht="13.5" thickBot="1" x14ac:dyDescent="0.25">
      <c r="A396" s="177" t="s">
        <v>334</v>
      </c>
      <c r="B396" s="178"/>
      <c r="C396" s="178"/>
      <c r="D396" s="178"/>
      <c r="E396" s="244">
        <f t="shared" ref="E396:R396" si="154">E388/E394</f>
        <v>2.0232584507210299E-3</v>
      </c>
      <c r="F396" s="103">
        <f t="shared" si="154"/>
        <v>-4.5664591157718586E-2</v>
      </c>
      <c r="G396" s="103">
        <f t="shared" si="154"/>
        <v>0.16872055591312207</v>
      </c>
      <c r="H396" s="103">
        <f t="shared" si="154"/>
        <v>0.24586817263526681</v>
      </c>
      <c r="I396" s="103">
        <f t="shared" si="154"/>
        <v>0.45957991773899476</v>
      </c>
      <c r="J396" s="103">
        <f t="shared" si="154"/>
        <v>0.10522047353439534</v>
      </c>
      <c r="K396" s="103">
        <f t="shared" si="154"/>
        <v>9.9546441096529797E-2</v>
      </c>
      <c r="L396" s="103">
        <f t="shared" si="154"/>
        <v>0.32554284319169824</v>
      </c>
      <c r="M396" s="103">
        <f t="shared" si="154"/>
        <v>9.5284349467399665E-2</v>
      </c>
      <c r="N396" s="103">
        <f t="shared" si="154"/>
        <v>0.17409185397553709</v>
      </c>
      <c r="O396" s="103" t="e">
        <f t="shared" si="154"/>
        <v>#DIV/0!</v>
      </c>
      <c r="P396" s="103" t="e">
        <f t="shared" si="154"/>
        <v>#DIV/0!</v>
      </c>
      <c r="Q396" s="103" t="e">
        <f t="shared" si="154"/>
        <v>#DIV/0!</v>
      </c>
      <c r="R396" s="103" t="e">
        <f t="shared" si="154"/>
        <v>#DIV/0!</v>
      </c>
      <c r="S396" s="103" t="e">
        <f t="shared" ref="S396:AF396" si="155">S388/S390</f>
        <v>#DIV/0!</v>
      </c>
      <c r="T396" s="103" t="e">
        <f t="shared" si="155"/>
        <v>#DIV/0!</v>
      </c>
      <c r="U396" s="103" t="e">
        <f t="shared" si="155"/>
        <v>#DIV/0!</v>
      </c>
      <c r="V396" s="103" t="e">
        <f t="shared" si="155"/>
        <v>#DIV/0!</v>
      </c>
      <c r="W396" s="103" t="e">
        <f t="shared" si="155"/>
        <v>#DIV/0!</v>
      </c>
      <c r="X396" s="103" t="e">
        <f t="shared" si="155"/>
        <v>#DIV/0!</v>
      </c>
      <c r="Y396" s="103" t="e">
        <f t="shared" si="155"/>
        <v>#DIV/0!</v>
      </c>
      <c r="Z396" s="103" t="e">
        <f t="shared" si="155"/>
        <v>#DIV/0!</v>
      </c>
      <c r="AA396" s="103" t="e">
        <f t="shared" si="155"/>
        <v>#DIV/0!</v>
      </c>
      <c r="AB396" s="103" t="e">
        <f t="shared" si="155"/>
        <v>#DIV/0!</v>
      </c>
      <c r="AC396" s="103" t="e">
        <f t="shared" si="155"/>
        <v>#DIV/0!</v>
      </c>
      <c r="AD396" s="103" t="e">
        <f t="shared" si="155"/>
        <v>#DIV/0!</v>
      </c>
      <c r="AE396" s="103" t="e">
        <f t="shared" si="155"/>
        <v>#DIV/0!</v>
      </c>
      <c r="AF396" s="103" t="e">
        <f t="shared" si="155"/>
        <v>#DIV/0!</v>
      </c>
      <c r="AG396" s="93"/>
      <c r="AH396" s="30"/>
    </row>
    <row r="397" spans="1:34" x14ac:dyDescent="0.2">
      <c r="A397" s="13" t="s">
        <v>956</v>
      </c>
      <c r="B397" s="13"/>
      <c r="C397" s="13"/>
      <c r="D397" s="13"/>
      <c r="E397" s="245">
        <f>E396/$E$396</f>
        <v>1</v>
      </c>
      <c r="F397" s="180">
        <f t="shared" ref="F397:AF397" si="156">F396/$E$396</f>
        <v>-22.569825986119106</v>
      </c>
      <c r="G397" s="180">
        <f t="shared" si="156"/>
        <v>83.390510912234177</v>
      </c>
      <c r="H397" s="180">
        <f t="shared" si="156"/>
        <v>121.52089247305337</v>
      </c>
      <c r="I397" s="180">
        <f t="shared" si="156"/>
        <v>227.14839894785263</v>
      </c>
      <c r="J397" s="180">
        <f t="shared" si="156"/>
        <v>52.00545362699355</v>
      </c>
      <c r="K397" s="180">
        <f t="shared" si="156"/>
        <v>49.201050444669768</v>
      </c>
      <c r="L397" s="180">
        <f t="shared" si="156"/>
        <v>160.90027602538089</v>
      </c>
      <c r="M397" s="180">
        <f t="shared" si="156"/>
        <v>47.094502154899253</v>
      </c>
      <c r="N397" s="180">
        <f t="shared" si="156"/>
        <v>86.045286954563736</v>
      </c>
      <c r="O397" s="180" t="e">
        <f t="shared" si="156"/>
        <v>#DIV/0!</v>
      </c>
      <c r="P397" s="180" t="e">
        <f t="shared" si="156"/>
        <v>#DIV/0!</v>
      </c>
      <c r="Q397" s="180" t="e">
        <f t="shared" si="156"/>
        <v>#DIV/0!</v>
      </c>
      <c r="R397" s="180" t="e">
        <f t="shared" si="156"/>
        <v>#DIV/0!</v>
      </c>
      <c r="S397" s="180" t="e">
        <f t="shared" si="156"/>
        <v>#DIV/0!</v>
      </c>
      <c r="T397" s="180" t="e">
        <f t="shared" si="156"/>
        <v>#DIV/0!</v>
      </c>
      <c r="U397" s="180" t="e">
        <f t="shared" si="156"/>
        <v>#DIV/0!</v>
      </c>
      <c r="V397" s="180" t="e">
        <f t="shared" si="156"/>
        <v>#DIV/0!</v>
      </c>
      <c r="W397" s="180" t="e">
        <f t="shared" si="156"/>
        <v>#DIV/0!</v>
      </c>
      <c r="X397" s="180" t="e">
        <f t="shared" si="156"/>
        <v>#DIV/0!</v>
      </c>
      <c r="Y397" s="180" t="e">
        <f t="shared" si="156"/>
        <v>#DIV/0!</v>
      </c>
      <c r="Z397" s="180" t="e">
        <f t="shared" si="156"/>
        <v>#DIV/0!</v>
      </c>
      <c r="AA397" s="180" t="e">
        <f t="shared" si="156"/>
        <v>#DIV/0!</v>
      </c>
      <c r="AB397" s="180" t="e">
        <f t="shared" si="156"/>
        <v>#DIV/0!</v>
      </c>
      <c r="AC397" s="180" t="e">
        <f t="shared" si="156"/>
        <v>#DIV/0!</v>
      </c>
      <c r="AD397" s="180" t="e">
        <f t="shared" si="156"/>
        <v>#DIV/0!</v>
      </c>
      <c r="AE397" s="180" t="e">
        <f t="shared" si="156"/>
        <v>#DIV/0!</v>
      </c>
      <c r="AF397" s="180" t="e">
        <f t="shared" si="156"/>
        <v>#DIV/0!</v>
      </c>
      <c r="AG397" s="93"/>
      <c r="AH397" s="30"/>
    </row>
    <row r="400" spans="1:34" x14ac:dyDescent="0.2">
      <c r="A400" s="28" t="s">
        <v>567</v>
      </c>
    </row>
    <row r="402" spans="1:34" x14ac:dyDescent="0.2">
      <c r="A402" s="13" t="s">
        <v>335</v>
      </c>
    </row>
    <row r="403" spans="1:34" x14ac:dyDescent="0.2">
      <c r="A403" s="14" t="s">
        <v>336</v>
      </c>
      <c r="C403" s="14" t="s">
        <v>214</v>
      </c>
      <c r="D403" s="14" t="s">
        <v>11</v>
      </c>
      <c r="E403" s="248">
        <v>1</v>
      </c>
      <c r="F403" s="49">
        <f>IF(VLOOKUP($D403,$C$5:$AU$503,3,)=0,0,(VLOOKUP($D403,$C$5:$AU$503,4,)/VLOOKUP($D403,$C$5:$AU$503,3,))*$E403)</f>
        <v>0.63195786683689548</v>
      </c>
      <c r="G403" s="49">
        <f>IF(VLOOKUP($D403,$C$5:$AU$503,3,)=0,0,(VLOOKUP($D403,$C$5:$AU$503,5,)/VLOOKUP($D403,$C$5:$AU$503,3,))*$E403)</f>
        <v>5.7680694459533631E-2</v>
      </c>
      <c r="H403" s="49">
        <f>IF(VLOOKUP($D403,$C$5:$AU$503,3,)=0,0,(VLOOKUP($D403,$C$5:$AU$503,6,)/VLOOKUP($D403,$C$5:$AU$503,3,))*$E403)</f>
        <v>0.14705496141428237</v>
      </c>
      <c r="I403" s="49">
        <f>IF(VLOOKUP($D403,$C$5:$AU$503,3,)=0,0,(VLOOKUP($D403,$C$5:$AU$503,7,)/VLOOKUP($D403,$C$5:$AU$503,3,))*$E403)</f>
        <v>7.9002735879401525E-3</v>
      </c>
      <c r="J403" s="49">
        <f>IF(VLOOKUP($D403,$C$5:$AU$503,3,)=0,0,(VLOOKUP($D403,$C$5:$AU$503,8,)/VLOOKUP($D403,$C$5:$AU$503,3,))*$E403)</f>
        <v>6.0642719394791593E-2</v>
      </c>
      <c r="K403" s="49">
        <f>IF(VLOOKUP($D403,$C$5:$AU$503,3,)=0,0,(VLOOKUP($D403,$C$5:$AU$503,9,)/VLOOKUP($D403,$C$5:$AU$503,3,))*$E403)</f>
        <v>6.5395589791530123E-2</v>
      </c>
      <c r="L403" s="49">
        <f>IF(VLOOKUP($D403,$C$5:$AU$503,3,)=0,0,(VLOOKUP($D403,$C$5:$AU$503,10,)/VLOOKUP($D403,$C$5:$AU$503,3,))*$E403)</f>
        <v>9.8341032631700243E-3</v>
      </c>
      <c r="M403" s="49">
        <f>IF(VLOOKUP($D403,$C$5:$AU$503,3,)=0,0,(VLOOKUP($D403,$C$5:$AU$503,11,)/VLOOKUP($D403,$C$5:$AU$503,3,))*$E403)</f>
        <v>8.6257928395867735E-3</v>
      </c>
      <c r="N403" s="49">
        <f>IF(VLOOKUP($D403,$C$5:$AU$503,3,)=0,0,(VLOOKUP($D403,$C$5:$AU$503,12,)/VLOOKUP($D403,$C$5:$AU$503,3,))*$E403)</f>
        <v>1.090799841226991E-2</v>
      </c>
      <c r="O403" s="49">
        <f>IF(VLOOKUP($D403,$C$5:$AU$503,3,)=0,0,(VLOOKUP($D403,$C$5:$AU$503,13,)/VLOOKUP($D403,$C$5:$AU$503,3,))*$E403)</f>
        <v>0</v>
      </c>
      <c r="P403" s="49">
        <f>IF(VLOOKUP($D403,$C$5:$AU$503,3,)=0,0,(VLOOKUP($D403,$C$5:$AU$503,14,)/VLOOKUP($D403,$C$5:$AU$503,3,))*$E403)</f>
        <v>0</v>
      </c>
      <c r="Q403" s="49">
        <f>IF(VLOOKUP($D403,$C$5:$AU$503,3,)=0,0,(VLOOKUP($D403,$C$5:$AU$503,15,)/VLOOKUP($D403,$C$5:$AU$503,3,))*$E403)</f>
        <v>0</v>
      </c>
      <c r="R403" s="49">
        <f>IF(VLOOKUP($D403,$C$5:$AU$503,3,)=0,0,(VLOOKUP($D403,$C$5:$AU$503,16,)/VLOOKUP($D403,$C$5:$AU$503,3,))*$E403)</f>
        <v>0</v>
      </c>
      <c r="S403" s="49">
        <f>IF(VLOOKUP($D403,$C$5:$AU$503,3,)=0,0,(VLOOKUP($D403,$C$5:$AU$503,17,)/VLOOKUP($D403,$C$5:$AU$503,3,))*$E403)</f>
        <v>0</v>
      </c>
      <c r="T403" s="49">
        <f>IF(VLOOKUP($D403,$C$5:$AU$503,3,)=0,0,(VLOOKUP($D403,$C$5:$AU$503,18,)/VLOOKUP($D403,$C$5:$AU$503,3,))*$E403)</f>
        <v>0</v>
      </c>
      <c r="U403" s="49">
        <f>IF(VLOOKUP($D403,$C$5:$AU$503,3,)=0,0,(VLOOKUP($D403,$C$5:$AU$503,19,)/VLOOKUP($D403,$C$5:$AU$503,3,))*$E403)</f>
        <v>0</v>
      </c>
      <c r="V403" s="49">
        <f>IF(VLOOKUP($D403,$C$5:$AU$503,3,)=0,0,(VLOOKUP($D403,$C$5:$AU$503,20,)/VLOOKUP($D403,$C$5:$AU$503,3,))*$E403)</f>
        <v>0</v>
      </c>
      <c r="W403" s="49">
        <f>IF(VLOOKUP($D403,$C$5:$AU$503,3,)=0,0,(VLOOKUP($D403,$C$5:$AU$503,21,)/VLOOKUP($D403,$C$5:$AU$503,3,))*$E403)</f>
        <v>0</v>
      </c>
      <c r="X403" s="49">
        <f>IF(VLOOKUP($D403,$C$5:$AU$503,3,)=0,0,(VLOOKUP($D403,$C$5:$AU$503,22,)/VLOOKUP($D403,$C$5:$AU$503,3,))*$E403)</f>
        <v>0</v>
      </c>
      <c r="Y403" s="49">
        <f>IF(VLOOKUP($D403,$C$5:$AU$503,3,)=0,0,(VLOOKUP($D403,$C$5:$AU$503,23,)/VLOOKUP($D403,$C$5:$AU$503,3,))*$E403)</f>
        <v>0</v>
      </c>
      <c r="Z403" s="49">
        <f>IF(VLOOKUP($D403,$C$5:$AU$503,3,)=0,0,(VLOOKUP($D403,$C$5:$AU$503,24,)/VLOOKUP($D403,$C$5:$AU$503,3,))*$E403)</f>
        <v>0</v>
      </c>
      <c r="AA403" s="49">
        <f>IF(VLOOKUP($D403,$C$5:$AU$503,3,)=0,0,(VLOOKUP($D403,$C$5:$AU$503,25,)/VLOOKUP($D403,$C$5:$AU$503,3,))*$E403)</f>
        <v>0</v>
      </c>
      <c r="AB403" s="49">
        <f>IF(VLOOKUP($D403,$C$5:$AU$503,3,)=0,0,(VLOOKUP($D403,$C$5:$AU$503,26,)/VLOOKUP($D403,$C$5:$AU$503,3,))*$E403)</f>
        <v>0</v>
      </c>
      <c r="AC403" s="49">
        <f>IF(VLOOKUP($D403,$C$5:$AU$503,3,)=0,0,(VLOOKUP($D403,$C$5:$AU$503,27,)/VLOOKUP($D403,$C$5:$AU$503,3,))*$E403)</f>
        <v>0</v>
      </c>
      <c r="AD403" s="49">
        <f>IF(VLOOKUP($D403,$C$5:$AU$503,3,)=0,0,(VLOOKUP($D403,$C$5:$AU$503,28,)/VLOOKUP($D403,$C$5:$AU$503,3,))*$E403)</f>
        <v>0</v>
      </c>
      <c r="AE403" s="49">
        <f>IF(VLOOKUP($D403,$C$5:$AU$503,3,)=0,0,(VLOOKUP($D403,$C$5:$AU$503,29,)/VLOOKUP($D403,$C$5:$AU$503,3,))*$E403)</f>
        <v>0</v>
      </c>
      <c r="AF403" s="49">
        <f>IF(VLOOKUP($D403,$C$5:$AU$503,3,)=0,0,(VLOOKUP($D403,$C$5:$AU$503,30,)/VLOOKUP($D403,$C$5:$AU$503,3,))*$E403)</f>
        <v>0</v>
      </c>
      <c r="AG403" s="49">
        <f>SUM(F403:AF403)</f>
        <v>1</v>
      </c>
      <c r="AH403" s="30" t="str">
        <f>IF(ABS(E403-AG403)&lt;0.01,"ok","err")</f>
        <v>ok</v>
      </c>
    </row>
    <row r="405" spans="1:34" x14ac:dyDescent="0.2">
      <c r="A405" s="13" t="s">
        <v>337</v>
      </c>
    </row>
    <row r="406" spans="1:34" x14ac:dyDescent="0.2">
      <c r="A406" s="14" t="s">
        <v>338</v>
      </c>
      <c r="C406" s="14" t="s">
        <v>211</v>
      </c>
      <c r="D406" s="14" t="s">
        <v>961</v>
      </c>
      <c r="E406" s="236">
        <v>1</v>
      </c>
      <c r="F406" s="49">
        <f>IF(VLOOKUP($D406,$C$5:$AU$503,3,)=0,0,(VLOOKUP($D406,$C$5:$AU$503,4,)/VLOOKUP($D406,$C$5:$AU$503,3,))*$E406)</f>
        <v>0.76551726266647191</v>
      </c>
      <c r="G406" s="49">
        <f>IF(VLOOKUP($D406,$C$5:$AU$503,3,)=0,0,(VLOOKUP($D406,$C$5:$AU$503,5,)/VLOOKUP($D406,$C$5:$AU$503,3,))*$E406)</f>
        <v>0</v>
      </c>
      <c r="H406" s="49">
        <f>IF(VLOOKUP($D406,$C$5:$AU$503,3,)=0,0,(VLOOKUP($D406,$C$5:$AU$503,6,)/VLOOKUP($D406,$C$5:$AU$503,3,))*$E406)</f>
        <v>0.12139885232815083</v>
      </c>
      <c r="I406" s="49">
        <f>IF(VLOOKUP($D406,$C$5:$AU$503,3,)=0,0,(VLOOKUP($D406,$C$5:$AU$503,7,)/VLOOKUP($D406,$C$5:$AU$503,3,))*$E406)</f>
        <v>4.3418744212950153E-3</v>
      </c>
      <c r="J406" s="49">
        <f>IF(VLOOKUP($D406,$C$5:$AU$503,3,)=0,0,(VLOOKUP($D406,$C$5:$AU$503,8,)/VLOOKUP($D406,$C$5:$AU$503,3,))*$E406)</f>
        <v>3.8901958680901357E-2</v>
      </c>
      <c r="K406" s="49">
        <f>IF(VLOOKUP($D406,$C$5:$AU$503,3,)=0,0,(VLOOKUP($D406,$C$5:$AU$503,9,)/VLOOKUP($D406,$C$5:$AU$503,3,))*$E406)</f>
        <v>4.9570318736513477E-2</v>
      </c>
      <c r="L406" s="49">
        <f>IF(VLOOKUP($D406,$C$5:$AU$503,3,)=0,0,(VLOOKUP($D406,$C$5:$AU$503,10,)/VLOOKUP($D406,$C$5:$AU$503,3,))*$E406)</f>
        <v>7.6531710634047167E-3</v>
      </c>
      <c r="M406" s="49">
        <f>IF(VLOOKUP($D406,$C$5:$AU$503,3,)=0,0,(VLOOKUP($D406,$C$5:$AU$503,11,)/VLOOKUP($D406,$C$5:$AU$503,3,))*$E406)</f>
        <v>6.7687992920797222E-3</v>
      </c>
      <c r="N406" s="49">
        <f>IF(VLOOKUP($D406,$C$5:$AU$503,3,)=0,0,(VLOOKUP($D406,$C$5:$AU$503,12,)/VLOOKUP($D406,$C$5:$AU$503,3,))*$E406)</f>
        <v>5.8477628111829674E-3</v>
      </c>
      <c r="O406" s="49">
        <f>IF(VLOOKUP($D406,$C$5:$AU$503,3,)=0,0,(VLOOKUP($D406,$C$5:$AU$503,13,)/VLOOKUP($D406,$C$5:$AU$503,3,))*$E406)</f>
        <v>0</v>
      </c>
      <c r="P406" s="49">
        <f>IF(VLOOKUP($D406,$C$5:$AU$503,3,)=0,0,(VLOOKUP($D406,$C$5:$AU$503,14,)/VLOOKUP($D406,$C$5:$AU$503,3,))*$E406)</f>
        <v>0</v>
      </c>
      <c r="Q406" s="49">
        <f>IF(VLOOKUP($D406,$C$5:$AU$503,3,)=0,0,(VLOOKUP($D406,$C$5:$AU$503,15,)/VLOOKUP($D406,$C$5:$AU$503,3,))*$E406)</f>
        <v>0</v>
      </c>
      <c r="R406" s="49">
        <f>IF(VLOOKUP($D406,$C$5:$AU$503,3,)=0,0,(VLOOKUP($D406,$C$5:$AU$503,16,)/VLOOKUP($D406,$C$5:$AU$503,3,))*$E406)</f>
        <v>0</v>
      </c>
      <c r="S406" s="49">
        <f>IF(VLOOKUP($D406,$C$5:$AU$503,3,)=0,0,(VLOOKUP($D406,$C$5:$AU$503,17,)/VLOOKUP($D406,$C$5:$AU$503,3,))*$E406)</f>
        <v>0</v>
      </c>
      <c r="T406" s="49">
        <f>IF(VLOOKUP($D406,$C$5:$AU$503,3,)=0,0,(VLOOKUP($D406,$C$5:$AU$503,18,)/VLOOKUP($D406,$C$5:$AU$503,3,))*$E406)</f>
        <v>0</v>
      </c>
      <c r="U406" s="49">
        <f>IF(VLOOKUP($D406,$C$5:$AU$503,3,)=0,0,(VLOOKUP($D406,$C$5:$AU$503,19,)/VLOOKUP($D406,$C$5:$AU$503,3,))*$E406)</f>
        <v>0</v>
      </c>
      <c r="V406" s="49">
        <f>IF(VLOOKUP($D406,$C$5:$AU$503,3,)=0,0,(VLOOKUP($D406,$C$5:$AU$503,20,)/VLOOKUP($D406,$C$5:$AU$503,3,))*$E406)</f>
        <v>0</v>
      </c>
      <c r="W406" s="49">
        <f>IF(VLOOKUP($D406,$C$5:$AU$503,3,)=0,0,(VLOOKUP($D406,$C$5:$AU$503,21,)/VLOOKUP($D406,$C$5:$AU$503,3,))*$E406)</f>
        <v>0</v>
      </c>
      <c r="X406" s="49">
        <f>IF(VLOOKUP($D406,$C$5:$AU$503,3,)=0,0,(VLOOKUP($D406,$C$5:$AU$503,22,)/VLOOKUP($D406,$C$5:$AU$503,3,))*$E406)</f>
        <v>0</v>
      </c>
      <c r="Y406" s="49">
        <f>IF(VLOOKUP($D406,$C$5:$AU$503,3,)=0,0,(VLOOKUP($D406,$C$5:$AU$503,23,)/VLOOKUP($D406,$C$5:$AU$503,3,))*$E406)</f>
        <v>0</v>
      </c>
      <c r="Z406" s="49">
        <f>IF(VLOOKUP($D406,$C$5:$AU$503,3,)=0,0,(VLOOKUP($D406,$C$5:$AU$503,24,)/VLOOKUP($D406,$C$5:$AU$503,3,))*$E406)</f>
        <v>0</v>
      </c>
      <c r="AA406" s="49">
        <f>IF(VLOOKUP($D406,$C$5:$AU$503,3,)=0,0,(VLOOKUP($D406,$C$5:$AU$503,25,)/VLOOKUP($D406,$C$5:$AU$503,3,))*$E406)</f>
        <v>0</v>
      </c>
      <c r="AB406" s="49">
        <f>IF(VLOOKUP($D406,$C$5:$AU$503,3,)=0,0,(VLOOKUP($D406,$C$5:$AU$503,26,)/VLOOKUP($D406,$C$5:$AU$503,3,))*$E406)</f>
        <v>0</v>
      </c>
      <c r="AC406" s="49">
        <f>IF(VLOOKUP($D406,$C$5:$AU$503,3,)=0,0,(VLOOKUP($D406,$C$5:$AU$503,27,)/VLOOKUP($D406,$C$5:$AU$503,3,))*$E406)</f>
        <v>0</v>
      </c>
      <c r="AD406" s="49">
        <f>IF(VLOOKUP($D406,$C$5:$AU$503,3,)=0,0,(VLOOKUP($D406,$C$5:$AU$503,28,)/VLOOKUP($D406,$C$5:$AU$503,3,))*$E406)</f>
        <v>0</v>
      </c>
      <c r="AE406" s="49">
        <f>IF(VLOOKUP($D406,$C$5:$AU$503,3,)=0,0,(VLOOKUP($D406,$C$5:$AU$503,29,)/VLOOKUP($D406,$C$5:$AU$503,3,))*$E406)</f>
        <v>0</v>
      </c>
      <c r="AF406" s="49">
        <f>IF(VLOOKUP($D406,$C$5:$AU$503,3,)=0,0,(VLOOKUP($D406,$C$5:$AU$503,30,)/VLOOKUP($D406,$C$5:$AU$503,3,))*$E406)</f>
        <v>0</v>
      </c>
      <c r="AG406" s="49">
        <f>SUM(F406:AF406)</f>
        <v>1</v>
      </c>
      <c r="AH406" s="30" t="str">
        <f t="shared" ref="AH406:AH411" si="157">IF(ABS(E406-AG406)&lt;0.01,"ok","err")</f>
        <v>ok</v>
      </c>
    </row>
    <row r="407" spans="1:34" x14ac:dyDescent="0.2">
      <c r="A407" s="14" t="s">
        <v>339</v>
      </c>
      <c r="C407" s="14" t="s">
        <v>218</v>
      </c>
      <c r="D407" s="14" t="s">
        <v>566</v>
      </c>
      <c r="E407" s="236">
        <v>1</v>
      </c>
      <c r="F407" s="49">
        <f>IF(VLOOKUP($D407,$C$5:$AU$503,3,)=0,0,(VLOOKUP($D407,$C$5:$AU$503,4,)/VLOOKUP($D407,$C$5:$AU$503,3,))*$E407)</f>
        <v>0.75083567803905482</v>
      </c>
      <c r="G407" s="49">
        <f>IF(VLOOKUP($D407,$C$5:$AU$503,3,)=0,0,(VLOOKUP($D407,$C$5:$AU$503,5,)/VLOOKUP($D407,$C$5:$AU$503,3,))*$E407)</f>
        <v>4.9280157264219221E-2</v>
      </c>
      <c r="H407" s="49">
        <f>IF(VLOOKUP($D407,$C$5:$AU$503,3,)=0,0,(VLOOKUP($D407,$C$5:$AU$503,6,)/VLOOKUP($D407,$C$5:$AU$503,3,))*$E407)</f>
        <v>9.1411128531735233E-2</v>
      </c>
      <c r="I407" s="49">
        <f>IF(VLOOKUP($D407,$C$5:$AU$503,3,)=0,0,(VLOOKUP($D407,$C$5:$AU$503,7,)/VLOOKUP($D407,$C$5:$AU$503,3,))*$E407)</f>
        <v>4.5045070339059879E-3</v>
      </c>
      <c r="J407" s="49">
        <f>IF(VLOOKUP($D407,$C$5:$AU$503,3,)=0,0,(VLOOKUP($D407,$C$5:$AU$503,8,)/VLOOKUP($D407,$C$5:$AU$503,3,))*$E407)</f>
        <v>3.0473167127489584E-2</v>
      </c>
      <c r="K407" s="49">
        <f>IF(VLOOKUP($D407,$C$5:$AU$503,3,)=0,0,(VLOOKUP($D407,$C$5:$AU$503,9,)/VLOOKUP($D407,$C$5:$AU$503,3,))*$E407)</f>
        <v>4.901267915226986E-2</v>
      </c>
      <c r="L407" s="49">
        <f>IF(VLOOKUP($D407,$C$5:$AU$503,3,)=0,0,(VLOOKUP($D407,$C$5:$AU$503,10,)/VLOOKUP($D407,$C$5:$AU$503,3,))*$E407)</f>
        <v>8.8586968828439534E-3</v>
      </c>
      <c r="M407" s="49">
        <f>IF(VLOOKUP($D407,$C$5:$AU$503,3,)=0,0,(VLOOKUP($D407,$C$5:$AU$503,11,)/VLOOKUP($D407,$C$5:$AU$503,3,))*$E407)</f>
        <v>9.7891685236351587E-3</v>
      </c>
      <c r="N407" s="49">
        <f>IF(VLOOKUP($D407,$C$5:$AU$503,3,)=0,0,(VLOOKUP($D407,$C$5:$AU$503,12,)/VLOOKUP($D407,$C$5:$AU$503,3,))*$E407)</f>
        <v>5.8348174448460454E-3</v>
      </c>
      <c r="O407" s="49">
        <f>IF(VLOOKUP($D407,$C$5:$AU$503,3,)=0,0,(VLOOKUP($D407,$C$5:$AU$503,13,)/VLOOKUP($D407,$C$5:$AU$503,3,))*$E407)</f>
        <v>0</v>
      </c>
      <c r="P407" s="49">
        <f>IF(VLOOKUP($D407,$C$5:$AU$503,3,)=0,0,(VLOOKUP($D407,$C$5:$AU$503,14,)/VLOOKUP($D407,$C$5:$AU$503,3,))*$E407)</f>
        <v>0</v>
      </c>
      <c r="Q407" s="49">
        <f>IF(VLOOKUP($D407,$C$5:$AU$503,3,)=0,0,(VLOOKUP($D407,$C$5:$AU$503,15,)/VLOOKUP($D407,$C$5:$AU$503,3,))*$E407)</f>
        <v>0</v>
      </c>
      <c r="R407" s="49">
        <f>IF(VLOOKUP($D407,$C$5:$AU$503,3,)=0,0,(VLOOKUP($D407,$C$5:$AU$503,16,)/VLOOKUP($D407,$C$5:$AU$503,3,))*$E407)</f>
        <v>0</v>
      </c>
      <c r="S407" s="49">
        <f>IF(VLOOKUP($D407,$C$5:$AU$503,3,)=0,0,(VLOOKUP($D407,$C$5:$AU$503,17,)/VLOOKUP($D407,$C$5:$AU$503,3,))*$E407)</f>
        <v>0</v>
      </c>
      <c r="T407" s="49">
        <f>IF(VLOOKUP($D407,$C$5:$AU$503,3,)=0,0,(VLOOKUP($D407,$C$5:$AU$503,18,)/VLOOKUP($D407,$C$5:$AU$503,3,))*$E407)</f>
        <v>0</v>
      </c>
      <c r="U407" s="49">
        <f>IF(VLOOKUP($D407,$C$5:$AU$503,3,)=0,0,(VLOOKUP($D407,$C$5:$AU$503,19,)/VLOOKUP($D407,$C$5:$AU$503,3,))*$E407)</f>
        <v>0</v>
      </c>
      <c r="V407" s="49">
        <f>IF(VLOOKUP($D407,$C$5:$AU$503,3,)=0,0,(VLOOKUP($D407,$C$5:$AU$503,20,)/VLOOKUP($D407,$C$5:$AU$503,3,))*$E407)</f>
        <v>0</v>
      </c>
      <c r="W407" s="49">
        <f>IF(VLOOKUP($D407,$C$5:$AU$503,3,)=0,0,(VLOOKUP($D407,$C$5:$AU$503,21,)/VLOOKUP($D407,$C$5:$AU$503,3,))*$E407)</f>
        <v>0</v>
      </c>
      <c r="X407" s="49">
        <f>IF(VLOOKUP($D407,$C$5:$AU$503,3,)=0,0,(VLOOKUP($D407,$C$5:$AU$503,22,)/VLOOKUP($D407,$C$5:$AU$503,3,))*$E407)</f>
        <v>0</v>
      </c>
      <c r="Y407" s="49">
        <f>IF(VLOOKUP($D407,$C$5:$AU$503,3,)=0,0,(VLOOKUP($D407,$C$5:$AU$503,23,)/VLOOKUP($D407,$C$5:$AU$503,3,))*$E407)</f>
        <v>0</v>
      </c>
      <c r="Z407" s="49">
        <f>IF(VLOOKUP($D407,$C$5:$AU$503,3,)=0,0,(VLOOKUP($D407,$C$5:$AU$503,24,)/VLOOKUP($D407,$C$5:$AU$503,3,))*$E407)</f>
        <v>0</v>
      </c>
      <c r="AA407" s="49">
        <f>IF(VLOOKUP($D407,$C$5:$AU$503,3,)=0,0,(VLOOKUP($D407,$C$5:$AU$503,25,)/VLOOKUP($D407,$C$5:$AU$503,3,))*$E407)</f>
        <v>0</v>
      </c>
      <c r="AB407" s="49">
        <f>IF(VLOOKUP($D407,$C$5:$AU$503,3,)=0,0,(VLOOKUP($D407,$C$5:$AU$503,26,)/VLOOKUP($D407,$C$5:$AU$503,3,))*$E407)</f>
        <v>0</v>
      </c>
      <c r="AC407" s="49">
        <f>IF(VLOOKUP($D407,$C$5:$AU$503,3,)=0,0,(VLOOKUP($D407,$C$5:$AU$503,27,)/VLOOKUP($D407,$C$5:$AU$503,3,))*$E407)</f>
        <v>0</v>
      </c>
      <c r="AD407" s="49">
        <f>IF(VLOOKUP($D407,$C$5:$AU$503,3,)=0,0,(VLOOKUP($D407,$C$5:$AU$503,28,)/VLOOKUP($D407,$C$5:$AU$503,3,))*$E407)</f>
        <v>0</v>
      </c>
      <c r="AE407" s="49">
        <f>IF(VLOOKUP($D407,$C$5:$AU$503,3,)=0,0,(VLOOKUP($D407,$C$5:$AU$503,29,)/VLOOKUP($D407,$C$5:$AU$503,3,))*$E407)</f>
        <v>0</v>
      </c>
      <c r="AF407" s="49">
        <f>IF(VLOOKUP($D407,$C$5:$AU$503,3,)=0,0,(VLOOKUP($D407,$C$5:$AU$503,30,)/VLOOKUP($D407,$C$5:$AU$503,3,))*$E407)</f>
        <v>0</v>
      </c>
      <c r="AG407" s="49">
        <f>SUM(F407:AF407)</f>
        <v>0.99999999999999989</v>
      </c>
      <c r="AH407" s="30" t="str">
        <f t="shared" si="157"/>
        <v>ok</v>
      </c>
    </row>
    <row r="408" spans="1:34" x14ac:dyDescent="0.2">
      <c r="A408" s="14" t="s">
        <v>340</v>
      </c>
      <c r="C408" s="14" t="s">
        <v>220</v>
      </c>
      <c r="D408" s="14" t="s">
        <v>566</v>
      </c>
      <c r="E408" s="236">
        <v>1</v>
      </c>
      <c r="F408" s="49">
        <f>IF(VLOOKUP($D408,$C$5:$AU$503,3,)=0,0,(VLOOKUP($D408,$C$5:$AU$503,4,)/VLOOKUP($D408,$C$5:$AU$503,3,))*$E408)</f>
        <v>0.75083567803905482</v>
      </c>
      <c r="G408" s="49">
        <f>IF(VLOOKUP($D408,$C$5:$AU$503,3,)=0,0,(VLOOKUP($D408,$C$5:$AU$503,5,)/VLOOKUP($D408,$C$5:$AU$503,3,))*$E408)</f>
        <v>4.9280157264219221E-2</v>
      </c>
      <c r="H408" s="49">
        <f>IF(VLOOKUP($D408,$C$5:$AU$503,3,)=0,0,(VLOOKUP($D408,$C$5:$AU$503,6,)/VLOOKUP($D408,$C$5:$AU$503,3,))*$E408)</f>
        <v>9.1411128531735233E-2</v>
      </c>
      <c r="I408" s="49">
        <f>IF(VLOOKUP($D408,$C$5:$AU$503,3,)=0,0,(VLOOKUP($D408,$C$5:$AU$503,7,)/VLOOKUP($D408,$C$5:$AU$503,3,))*$E408)</f>
        <v>4.5045070339059879E-3</v>
      </c>
      <c r="J408" s="49">
        <f>IF(VLOOKUP($D408,$C$5:$AU$503,3,)=0,0,(VLOOKUP($D408,$C$5:$AU$503,8,)/VLOOKUP($D408,$C$5:$AU$503,3,))*$E408)</f>
        <v>3.0473167127489584E-2</v>
      </c>
      <c r="K408" s="49">
        <f>IF(VLOOKUP($D408,$C$5:$AU$503,3,)=0,0,(VLOOKUP($D408,$C$5:$AU$503,9,)/VLOOKUP($D408,$C$5:$AU$503,3,))*$E408)</f>
        <v>4.901267915226986E-2</v>
      </c>
      <c r="L408" s="49">
        <f>IF(VLOOKUP($D408,$C$5:$AU$503,3,)=0,0,(VLOOKUP($D408,$C$5:$AU$503,10,)/VLOOKUP($D408,$C$5:$AU$503,3,))*$E408)</f>
        <v>8.8586968828439534E-3</v>
      </c>
      <c r="M408" s="49">
        <f>IF(VLOOKUP($D408,$C$5:$AU$503,3,)=0,0,(VLOOKUP($D408,$C$5:$AU$503,11,)/VLOOKUP($D408,$C$5:$AU$503,3,))*$E408)</f>
        <v>9.7891685236351587E-3</v>
      </c>
      <c r="N408" s="49">
        <f>IF(VLOOKUP($D408,$C$5:$AU$503,3,)=0,0,(VLOOKUP($D408,$C$5:$AU$503,12,)/VLOOKUP($D408,$C$5:$AU$503,3,))*$E408)</f>
        <v>5.8348174448460454E-3</v>
      </c>
      <c r="O408" s="49">
        <f>IF(VLOOKUP($D408,$C$5:$AU$503,3,)=0,0,(VLOOKUP($D408,$C$5:$AU$503,13,)/VLOOKUP($D408,$C$5:$AU$503,3,))*$E408)</f>
        <v>0</v>
      </c>
      <c r="P408" s="49">
        <f>IF(VLOOKUP($D408,$C$5:$AU$503,3,)=0,0,(VLOOKUP($D408,$C$5:$AU$503,14,)/VLOOKUP($D408,$C$5:$AU$503,3,))*$E408)</f>
        <v>0</v>
      </c>
      <c r="Q408" s="49">
        <f>IF(VLOOKUP($D408,$C$5:$AU$503,3,)=0,0,(VLOOKUP($D408,$C$5:$AU$503,15,)/VLOOKUP($D408,$C$5:$AU$503,3,))*$E408)</f>
        <v>0</v>
      </c>
      <c r="R408" s="49">
        <f>IF(VLOOKUP($D408,$C$5:$AU$503,3,)=0,0,(VLOOKUP($D408,$C$5:$AU$503,16,)/VLOOKUP($D408,$C$5:$AU$503,3,))*$E408)</f>
        <v>0</v>
      </c>
      <c r="S408" s="49">
        <f>IF(VLOOKUP($D408,$C$5:$AU$503,3,)=0,0,(VLOOKUP($D408,$C$5:$AU$503,17,)/VLOOKUP($D408,$C$5:$AU$503,3,))*$E408)</f>
        <v>0</v>
      </c>
      <c r="T408" s="49">
        <f>IF(VLOOKUP($D408,$C$5:$AU$503,3,)=0,0,(VLOOKUP($D408,$C$5:$AU$503,18,)/VLOOKUP($D408,$C$5:$AU$503,3,))*$E408)</f>
        <v>0</v>
      </c>
      <c r="U408" s="49">
        <f>IF(VLOOKUP($D408,$C$5:$AU$503,3,)=0,0,(VLOOKUP($D408,$C$5:$AU$503,19,)/VLOOKUP($D408,$C$5:$AU$503,3,))*$E408)</f>
        <v>0</v>
      </c>
      <c r="V408" s="49">
        <f>IF(VLOOKUP($D408,$C$5:$AU$503,3,)=0,0,(VLOOKUP($D408,$C$5:$AU$503,20,)/VLOOKUP($D408,$C$5:$AU$503,3,))*$E408)</f>
        <v>0</v>
      </c>
      <c r="W408" s="49">
        <f>IF(VLOOKUP($D408,$C$5:$AU$503,3,)=0,0,(VLOOKUP($D408,$C$5:$AU$503,21,)/VLOOKUP($D408,$C$5:$AU$503,3,))*$E408)</f>
        <v>0</v>
      </c>
      <c r="X408" s="49">
        <f>IF(VLOOKUP($D408,$C$5:$AU$503,3,)=0,0,(VLOOKUP($D408,$C$5:$AU$503,22,)/VLOOKUP($D408,$C$5:$AU$503,3,))*$E408)</f>
        <v>0</v>
      </c>
      <c r="Y408" s="49">
        <f>IF(VLOOKUP($D408,$C$5:$AU$503,3,)=0,0,(VLOOKUP($D408,$C$5:$AU$503,23,)/VLOOKUP($D408,$C$5:$AU$503,3,))*$E408)</f>
        <v>0</v>
      </c>
      <c r="Z408" s="49">
        <f>IF(VLOOKUP($D408,$C$5:$AU$503,3,)=0,0,(VLOOKUP($D408,$C$5:$AU$503,24,)/VLOOKUP($D408,$C$5:$AU$503,3,))*$E408)</f>
        <v>0</v>
      </c>
      <c r="AA408" s="49">
        <f>IF(VLOOKUP($D408,$C$5:$AU$503,3,)=0,0,(VLOOKUP($D408,$C$5:$AU$503,25,)/VLOOKUP($D408,$C$5:$AU$503,3,))*$E408)</f>
        <v>0</v>
      </c>
      <c r="AB408" s="49">
        <f>IF(VLOOKUP($D408,$C$5:$AU$503,3,)=0,0,(VLOOKUP($D408,$C$5:$AU$503,26,)/VLOOKUP($D408,$C$5:$AU$503,3,))*$E408)</f>
        <v>0</v>
      </c>
      <c r="AC408" s="49">
        <f>IF(VLOOKUP($D408,$C$5:$AU$503,3,)=0,0,(VLOOKUP($D408,$C$5:$AU$503,27,)/VLOOKUP($D408,$C$5:$AU$503,3,))*$E408)</f>
        <v>0</v>
      </c>
      <c r="AD408" s="49">
        <f>IF(VLOOKUP($D408,$C$5:$AU$503,3,)=0,0,(VLOOKUP($D408,$C$5:$AU$503,28,)/VLOOKUP($D408,$C$5:$AU$503,3,))*$E408)</f>
        <v>0</v>
      </c>
      <c r="AE408" s="49">
        <f>IF(VLOOKUP($D408,$C$5:$AU$503,3,)=0,0,(VLOOKUP($D408,$C$5:$AU$503,29,)/VLOOKUP($D408,$C$5:$AU$503,3,))*$E408)</f>
        <v>0</v>
      </c>
      <c r="AF408" s="49">
        <f>IF(VLOOKUP($D408,$C$5:$AU$503,3,)=0,0,(VLOOKUP($D408,$C$5:$AU$503,30,)/VLOOKUP($D408,$C$5:$AU$503,3,))*$E408)</f>
        <v>0</v>
      </c>
      <c r="AG408" s="49">
        <f>SUM(F408:AF408)</f>
        <v>0.99999999999999989</v>
      </c>
      <c r="AH408" s="30" t="str">
        <f t="shared" si="157"/>
        <v>ok</v>
      </c>
    </row>
    <row r="409" spans="1:34" x14ac:dyDescent="0.2">
      <c r="A409" s="14" t="s">
        <v>698</v>
      </c>
      <c r="C409" s="14" t="s">
        <v>699</v>
      </c>
      <c r="E409" s="236">
        <f>Services!G33</f>
        <v>0.99999999999999989</v>
      </c>
      <c r="F409" s="49">
        <f>Services!G6</f>
        <v>0.91914942137972078</v>
      </c>
      <c r="G409" s="49">
        <f>Services!G7</f>
        <v>6.8799665728418044E-2</v>
      </c>
      <c r="H409" s="49">
        <f>Services!G8</f>
        <v>9.9874415211342969E-3</v>
      </c>
      <c r="I409" s="49">
        <f>Services!G9</f>
        <v>2.2393366639314568E-5</v>
      </c>
      <c r="J409" s="49">
        <f>Services!G10</f>
        <v>5.9018508432088731E-5</v>
      </c>
      <c r="K409" s="49">
        <f>Services!G11</f>
        <v>7.6285375419350642E-5</v>
      </c>
      <c r="L409" s="49">
        <f>Services!G12</f>
        <v>1.2036137010608657E-3</v>
      </c>
      <c r="M409" s="49">
        <f>Services!G13</f>
        <v>1.4409459801432899E-4</v>
      </c>
      <c r="N409" s="49">
        <f>Services!G14</f>
        <v>5.5806582116092892E-4</v>
      </c>
      <c r="O409" s="49">
        <f>Services!G15</f>
        <v>0</v>
      </c>
      <c r="P409" s="49">
        <f>Services!G16</f>
        <v>0</v>
      </c>
      <c r="Q409" s="49">
        <f>Services!G28</f>
        <v>0</v>
      </c>
      <c r="R409" s="49">
        <f>Services!G30</f>
        <v>0</v>
      </c>
      <c r="S409" s="49">
        <v>0</v>
      </c>
      <c r="T409" s="49">
        <v>0</v>
      </c>
      <c r="U409" s="49">
        <v>0</v>
      </c>
      <c r="V409" s="49">
        <f>Services!W6</f>
        <v>0</v>
      </c>
      <c r="W409" s="49">
        <f>Services!X6</f>
        <v>0</v>
      </c>
      <c r="X409" s="49">
        <f>Services!Y6</f>
        <v>0</v>
      </c>
      <c r="Y409" s="49">
        <f>Services!Z6</f>
        <v>0</v>
      </c>
      <c r="Z409" s="49">
        <f>Services!AA6</f>
        <v>0</v>
      </c>
      <c r="AA409" s="49">
        <f>Services!AB6</f>
        <v>0</v>
      </c>
      <c r="AB409" s="49">
        <f>Services!AC6</f>
        <v>0</v>
      </c>
      <c r="AC409" s="49">
        <f>Services!AD6</f>
        <v>0</v>
      </c>
      <c r="AD409" s="49">
        <f>Services!AE6</f>
        <v>0</v>
      </c>
      <c r="AE409" s="49">
        <f>Services!AF6</f>
        <v>0</v>
      </c>
      <c r="AF409" s="49">
        <f>Services!AG6</f>
        <v>0</v>
      </c>
      <c r="AG409" s="49">
        <f>SUM(F409:AF409)</f>
        <v>0.99999999999999989</v>
      </c>
      <c r="AH409" s="30" t="str">
        <f t="shared" si="157"/>
        <v>ok</v>
      </c>
    </row>
    <row r="410" spans="1:34" x14ac:dyDescent="0.2">
      <c r="A410" s="14" t="s">
        <v>746</v>
      </c>
      <c r="C410" s="14" t="s">
        <v>747</v>
      </c>
      <c r="E410" s="236">
        <v>1</v>
      </c>
      <c r="F410" s="49">
        <f t="shared" ref="F410:AF410" si="158">F409</f>
        <v>0.91914942137972078</v>
      </c>
      <c r="G410" s="49">
        <f t="shared" si="158"/>
        <v>6.8799665728418044E-2</v>
      </c>
      <c r="H410" s="49">
        <f t="shared" si="158"/>
        <v>9.9874415211342969E-3</v>
      </c>
      <c r="I410" s="49">
        <f t="shared" si="158"/>
        <v>2.2393366639314568E-5</v>
      </c>
      <c r="J410" s="49">
        <f t="shared" si="158"/>
        <v>5.9018508432088731E-5</v>
      </c>
      <c r="K410" s="49">
        <f t="shared" si="158"/>
        <v>7.6285375419350642E-5</v>
      </c>
      <c r="L410" s="49">
        <f t="shared" si="158"/>
        <v>1.2036137010608657E-3</v>
      </c>
      <c r="M410" s="49">
        <f t="shared" si="158"/>
        <v>1.4409459801432899E-4</v>
      </c>
      <c r="N410" s="49">
        <f t="shared" si="158"/>
        <v>5.5806582116092892E-4</v>
      </c>
      <c r="O410" s="49">
        <f t="shared" si="158"/>
        <v>0</v>
      </c>
      <c r="P410" s="49">
        <f t="shared" si="158"/>
        <v>0</v>
      </c>
      <c r="Q410" s="49">
        <f t="shared" si="158"/>
        <v>0</v>
      </c>
      <c r="R410" s="49">
        <f t="shared" si="158"/>
        <v>0</v>
      </c>
      <c r="S410" s="49">
        <f t="shared" si="158"/>
        <v>0</v>
      </c>
      <c r="T410" s="49">
        <f t="shared" si="158"/>
        <v>0</v>
      </c>
      <c r="U410" s="49">
        <f t="shared" si="158"/>
        <v>0</v>
      </c>
      <c r="V410" s="49">
        <f t="shared" si="158"/>
        <v>0</v>
      </c>
      <c r="W410" s="49">
        <f t="shared" si="158"/>
        <v>0</v>
      </c>
      <c r="X410" s="49">
        <f t="shared" si="158"/>
        <v>0</v>
      </c>
      <c r="Y410" s="49">
        <f t="shared" si="158"/>
        <v>0</v>
      </c>
      <c r="Z410" s="49">
        <f t="shared" si="158"/>
        <v>0</v>
      </c>
      <c r="AA410" s="49">
        <f t="shared" si="158"/>
        <v>0</v>
      </c>
      <c r="AB410" s="49">
        <f t="shared" si="158"/>
        <v>0</v>
      </c>
      <c r="AC410" s="49">
        <f t="shared" si="158"/>
        <v>0</v>
      </c>
      <c r="AD410" s="49">
        <f t="shared" si="158"/>
        <v>0</v>
      </c>
      <c r="AE410" s="49">
        <f t="shared" si="158"/>
        <v>0</v>
      </c>
      <c r="AF410" s="49">
        <f t="shared" si="158"/>
        <v>0</v>
      </c>
      <c r="AG410" s="49">
        <f>SUM(F410:R410)</f>
        <v>0.99999999999999989</v>
      </c>
      <c r="AH410" s="30" t="str">
        <f t="shared" si="157"/>
        <v>ok</v>
      </c>
    </row>
    <row r="411" spans="1:34" x14ac:dyDescent="0.2">
      <c r="A411" s="14" t="s">
        <v>959</v>
      </c>
      <c r="C411" s="14" t="s">
        <v>960</v>
      </c>
      <c r="E411" s="234">
        <f>F411+G411+H411+I411+J411+K411</f>
        <v>142535856.48000005</v>
      </c>
      <c r="F411" s="50">
        <f>F313</f>
        <v>98317802.830000028</v>
      </c>
      <c r="G411" s="50">
        <f>G313</f>
        <v>10181475.759999998</v>
      </c>
      <c r="H411" s="50">
        <f t="shared" ref="H411:K411" si="159">H313</f>
        <v>19913480.189999998</v>
      </c>
      <c r="I411" s="50">
        <f t="shared" si="159"/>
        <v>851695.84000000008</v>
      </c>
      <c r="J411" s="50">
        <f t="shared" si="159"/>
        <v>6421394.1199999992</v>
      </c>
      <c r="K411" s="50">
        <f t="shared" si="159"/>
        <v>6850007.7399999993</v>
      </c>
      <c r="L411" s="50">
        <v>0</v>
      </c>
      <c r="M411" s="50">
        <v>0</v>
      </c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50">
        <f>SUM(F411:R411)</f>
        <v>142535856.48000005</v>
      </c>
      <c r="AH411" s="30" t="str">
        <f t="shared" si="157"/>
        <v>ok</v>
      </c>
    </row>
    <row r="412" spans="1:34" x14ac:dyDescent="0.2">
      <c r="F412" s="105"/>
    </row>
    <row r="413" spans="1:34" x14ac:dyDescent="0.2">
      <c r="A413" s="13" t="s">
        <v>341</v>
      </c>
    </row>
    <row r="414" spans="1:34" x14ac:dyDescent="0.2">
      <c r="A414" s="14" t="s">
        <v>342</v>
      </c>
      <c r="C414" s="14" t="s">
        <v>223</v>
      </c>
      <c r="D414" s="14" t="s">
        <v>562</v>
      </c>
      <c r="E414" s="236">
        <v>1</v>
      </c>
      <c r="F414" s="49">
        <f>IF(VLOOKUP($D414,$C$5:$AU$503,3,)=0,0,(VLOOKUP($D414,$C$5:$AU$503,4,)/VLOOKUP($D414,$C$5:$AU$503,3,))*$E414)</f>
        <v>0.92193250665307735</v>
      </c>
      <c r="G414" s="49">
        <f>IF(VLOOKUP($D414,$C$5:$AU$503,3,)=0,0,(VLOOKUP($D414,$C$5:$AU$503,5,)/VLOOKUP($D414,$C$5:$AU$503,3,))*$E414)</f>
        <v>6.9007983692882621E-2</v>
      </c>
      <c r="H414" s="49">
        <f>IF(VLOOKUP($D414,$C$5:$AU$503,3,)=0,0,(VLOOKUP($D414,$C$5:$AU$503,6,)/VLOOKUP($D414,$C$5:$AU$503,3,))*$E414)</f>
        <v>6.313345790159108E-3</v>
      </c>
      <c r="I414" s="49">
        <f>IF(VLOOKUP($D414,$C$5:$AU$503,3,)=0,0,(VLOOKUP($D414,$C$5:$AU$503,7,)/VLOOKUP($D414,$C$5:$AU$503,3,))*$E414)</f>
        <v>1.4155483834437461E-5</v>
      </c>
      <c r="J414" s="49">
        <f>IF(VLOOKUP($D414,$C$5:$AU$503,3,)=0,0,(VLOOKUP($D414,$C$5:$AU$503,8,)/VLOOKUP($D414,$C$5:$AU$503,3,))*$E414)</f>
        <v>2.8310967668874922E-5</v>
      </c>
      <c r="K414" s="49">
        <f>IF(VLOOKUP($D414,$C$5:$AU$503,3,)=0,0,(VLOOKUP($D414,$C$5:$AU$503,9,)/VLOOKUP($D414,$C$5:$AU$503,3,))*$E414)</f>
        <v>1.2739935450993716E-4</v>
      </c>
      <c r="L414" s="49">
        <f>IF(VLOOKUP($D414,$C$5:$AU$503,3,)=0,0,(VLOOKUP($D414,$C$5:$AU$503,10,)/VLOOKUP($D414,$C$5:$AU$503,3,))*$E414)</f>
        <v>2.0100787044901197E-3</v>
      </c>
      <c r="M414" s="49">
        <f>IF(VLOOKUP($D414,$C$5:$AU$503,3,)=0,0,(VLOOKUP($D414,$C$5:$AU$503,11,)/VLOOKUP($D414,$C$5:$AU$503,3,))*$E414)</f>
        <v>2.4064322518543683E-4</v>
      </c>
      <c r="N414" s="49">
        <f>IF(VLOOKUP($D414,$C$5:$AU$503,3,)=0,0,(VLOOKUP($D414,$C$5:$AU$503,12,)/VLOOKUP($D414,$C$5:$AU$503,3,))*$E414)</f>
        <v>3.2557612819206162E-4</v>
      </c>
      <c r="O414" s="49">
        <f>IF(VLOOKUP($D414,$C$5:$AU$503,3,)=0,0,(VLOOKUP($D414,$C$5:$AU$503,13,)/VLOOKUP($D414,$C$5:$AU$503,3,))*$E414)</f>
        <v>0</v>
      </c>
      <c r="P414" s="49">
        <f>IF(VLOOKUP($D414,$C$5:$AU$503,3,)=0,0,(VLOOKUP($D414,$C$5:$AU$503,14,)/VLOOKUP($D414,$C$5:$AU$503,3,))*$E414)</f>
        <v>0</v>
      </c>
      <c r="Q414" s="49">
        <f>IF(VLOOKUP($D414,$C$5:$AU$503,3,)=0,0,(VLOOKUP($D414,$C$5:$AU$503,15,)/VLOOKUP($D414,$C$5:$AU$503,3,))*$E414)</f>
        <v>0</v>
      </c>
      <c r="R414" s="49">
        <f>IF(VLOOKUP($D414,$C$5:$AU$503,3,)=0,0,(VLOOKUP($D414,$C$5:$AU$503,16,)/VLOOKUP($D414,$C$5:$AU$503,3,))*$E414)</f>
        <v>0</v>
      </c>
      <c r="S414" s="49">
        <f>IF(VLOOKUP($D414,$C$5:$AU$503,3,)=0,0,(VLOOKUP($D414,$C$5:$AU$503,17,)/VLOOKUP($D414,$C$5:$AU$503,3,))*$E414)</f>
        <v>0</v>
      </c>
      <c r="T414" s="49">
        <f>IF(VLOOKUP($D414,$C$5:$AU$503,3,)=0,0,(VLOOKUP($D414,$C$5:$AU$503,18,)/VLOOKUP($D414,$C$5:$AU$503,3,))*$E414)</f>
        <v>0</v>
      </c>
      <c r="U414" s="49">
        <f>IF(VLOOKUP($D414,$C$5:$AU$503,3,)=0,0,(VLOOKUP($D414,$C$5:$AU$503,19,)/VLOOKUP($D414,$C$5:$AU$503,3,))*$E414)</f>
        <v>0</v>
      </c>
      <c r="V414" s="49">
        <f>IF(VLOOKUP($D414,$C$5:$AU$503,3,)=0,0,(VLOOKUP($D414,$C$5:$AU$503,20,)/VLOOKUP($D414,$C$5:$AU$503,3,))*$E414)</f>
        <v>0</v>
      </c>
      <c r="W414" s="49">
        <f>IF(VLOOKUP($D414,$C$5:$AU$503,3,)=0,0,(VLOOKUP($D414,$C$5:$AU$503,21,)/VLOOKUP($D414,$C$5:$AU$503,3,))*$E414)</f>
        <v>0</v>
      </c>
      <c r="X414" s="49">
        <f>IF(VLOOKUP($D414,$C$5:$AU$503,3,)=0,0,(VLOOKUP($D414,$C$5:$AU$503,22,)/VLOOKUP($D414,$C$5:$AU$503,3,))*$E414)</f>
        <v>0</v>
      </c>
      <c r="Y414" s="49">
        <f>IF(VLOOKUP($D414,$C$5:$AU$503,3,)=0,0,(VLOOKUP($D414,$C$5:$AU$503,23,)/VLOOKUP($D414,$C$5:$AU$503,3,))*$E414)</f>
        <v>0</v>
      </c>
      <c r="Z414" s="49">
        <f>IF(VLOOKUP($D414,$C$5:$AU$503,3,)=0,0,(VLOOKUP($D414,$C$5:$AU$503,24,)/VLOOKUP($D414,$C$5:$AU$503,3,))*$E414)</f>
        <v>0</v>
      </c>
      <c r="AA414" s="49">
        <f>IF(VLOOKUP($D414,$C$5:$AU$503,3,)=0,0,(VLOOKUP($D414,$C$5:$AU$503,25,)/VLOOKUP($D414,$C$5:$AU$503,3,))*$E414)</f>
        <v>0</v>
      </c>
      <c r="AB414" s="49">
        <f>IF(VLOOKUP($D414,$C$5:$AU$503,3,)=0,0,(VLOOKUP($D414,$C$5:$AU$503,26,)/VLOOKUP($D414,$C$5:$AU$503,3,))*$E414)</f>
        <v>0</v>
      </c>
      <c r="AC414" s="49">
        <f>IF(VLOOKUP($D414,$C$5:$AU$503,3,)=0,0,(VLOOKUP($D414,$C$5:$AU$503,27,)/VLOOKUP($D414,$C$5:$AU$503,3,))*$E414)</f>
        <v>0</v>
      </c>
      <c r="AD414" s="49">
        <f>IF(VLOOKUP($D414,$C$5:$AU$503,3,)=0,0,(VLOOKUP($D414,$C$5:$AU$503,28,)/VLOOKUP($D414,$C$5:$AU$503,3,))*$E414)</f>
        <v>0</v>
      </c>
      <c r="AE414" s="49">
        <f>IF(VLOOKUP($D414,$C$5:$AU$503,3,)=0,0,(VLOOKUP($D414,$C$5:$AU$503,29,)/VLOOKUP($D414,$C$5:$AU$503,3,))*$E414)</f>
        <v>0</v>
      </c>
      <c r="AF414" s="49">
        <f>IF(VLOOKUP($D414,$C$5:$AU$503,3,)=0,0,(VLOOKUP($D414,$C$5:$AU$503,30,)/VLOOKUP($D414,$C$5:$AU$503,3,))*$E414)</f>
        <v>0</v>
      </c>
      <c r="AG414" s="101">
        <f t="shared" ref="AG414:AG419" si="160">SUM(F414:AF414)</f>
        <v>0.99999999999999989</v>
      </c>
      <c r="AH414" s="30" t="str">
        <f t="shared" ref="AH414:AH419" si="161">IF(ABS(E414-AG414)&lt;0.01,"ok","err")</f>
        <v>ok</v>
      </c>
    </row>
    <row r="415" spans="1:34" x14ac:dyDescent="0.2">
      <c r="A415" s="14" t="s">
        <v>343</v>
      </c>
      <c r="C415" s="14" t="s">
        <v>227</v>
      </c>
      <c r="D415" s="14" t="s">
        <v>563</v>
      </c>
      <c r="E415" s="236">
        <v>1</v>
      </c>
      <c r="F415" s="49">
        <f>IF(VLOOKUP($D415,$C$5:$AU$503,3,)=0,0,(VLOOKUP($D415,$C$5:$AU$503,4,)/VLOOKUP($D415,$C$5:$AU$503,3,))*$E415)</f>
        <v>0.92193250665307735</v>
      </c>
      <c r="G415" s="49">
        <f>IF(VLOOKUP($D415,$C$5:$AU$503,3,)=0,0,(VLOOKUP($D415,$C$5:$AU$503,5,)/VLOOKUP($D415,$C$5:$AU$503,3,))*$E415)</f>
        <v>6.9007983692882621E-2</v>
      </c>
      <c r="H415" s="49">
        <f>IF(VLOOKUP($D415,$C$5:$AU$503,3,)=0,0,(VLOOKUP($D415,$C$5:$AU$503,6,)/VLOOKUP($D415,$C$5:$AU$503,3,))*$E415)</f>
        <v>6.313345790159108E-3</v>
      </c>
      <c r="I415" s="49">
        <f>IF(VLOOKUP($D415,$C$5:$AU$503,3,)=0,0,(VLOOKUP($D415,$C$5:$AU$503,7,)/VLOOKUP($D415,$C$5:$AU$503,3,))*$E415)</f>
        <v>1.4155483834437461E-5</v>
      </c>
      <c r="J415" s="49">
        <f>IF(VLOOKUP($D415,$C$5:$AU$503,3,)=0,0,(VLOOKUP($D415,$C$5:$AU$503,8,)/VLOOKUP($D415,$C$5:$AU$503,3,))*$E415)</f>
        <v>2.8310967668874922E-5</v>
      </c>
      <c r="K415" s="49">
        <f>IF(VLOOKUP($D415,$C$5:$AU$503,3,)=0,0,(VLOOKUP($D415,$C$5:$AU$503,9,)/VLOOKUP($D415,$C$5:$AU$503,3,))*$E415)</f>
        <v>1.2739935450993716E-4</v>
      </c>
      <c r="L415" s="49">
        <f>IF(VLOOKUP($D415,$C$5:$AU$503,3,)=0,0,(VLOOKUP($D415,$C$5:$AU$503,10,)/VLOOKUP($D415,$C$5:$AU$503,3,))*$E415)</f>
        <v>2.0100787044901197E-3</v>
      </c>
      <c r="M415" s="49">
        <f>IF(VLOOKUP($D415,$C$5:$AU$503,3,)=0,0,(VLOOKUP($D415,$C$5:$AU$503,11,)/VLOOKUP($D415,$C$5:$AU$503,3,))*$E415)</f>
        <v>2.4064322518543683E-4</v>
      </c>
      <c r="N415" s="49">
        <f>IF(VLOOKUP($D415,$C$5:$AU$503,3,)=0,0,(VLOOKUP($D415,$C$5:$AU$503,12,)/VLOOKUP($D415,$C$5:$AU$503,3,))*$E415)</f>
        <v>3.2557612819206162E-4</v>
      </c>
      <c r="O415" s="49">
        <f>IF(VLOOKUP($D415,$C$5:$AU$503,3,)=0,0,(VLOOKUP($D415,$C$5:$AU$503,13,)/VLOOKUP($D415,$C$5:$AU$503,3,))*$E415)</f>
        <v>0</v>
      </c>
      <c r="P415" s="49">
        <f>IF(VLOOKUP($D415,$C$5:$AU$503,3,)=0,0,(VLOOKUP($D415,$C$5:$AU$503,14,)/VLOOKUP($D415,$C$5:$AU$503,3,))*$E415)</f>
        <v>0</v>
      </c>
      <c r="Q415" s="49">
        <f>IF(VLOOKUP($D415,$C$5:$AU$503,3,)=0,0,(VLOOKUP($D415,$C$5:$AU$503,15,)/VLOOKUP($D415,$C$5:$AU$503,3,))*$E415)</f>
        <v>0</v>
      </c>
      <c r="R415" s="49">
        <f>IF(VLOOKUP($D415,$C$5:$AU$503,3,)=0,0,(VLOOKUP($D415,$C$5:$AU$503,16,)/VLOOKUP($D415,$C$5:$AU$503,3,))*$E415)</f>
        <v>0</v>
      </c>
      <c r="S415" s="49">
        <f>IF(VLOOKUP($D415,$C$5:$AU$503,3,)=0,0,(VLOOKUP($D415,$C$5:$AU$503,17,)/VLOOKUP($D415,$C$5:$AU$503,3,))*$E415)</f>
        <v>0</v>
      </c>
      <c r="T415" s="49">
        <f>IF(VLOOKUP($D415,$C$5:$AU$503,3,)=0,0,(VLOOKUP($D415,$C$5:$AU$503,18,)/VLOOKUP($D415,$C$5:$AU$503,3,))*$E415)</f>
        <v>0</v>
      </c>
      <c r="U415" s="49">
        <f>IF(VLOOKUP($D415,$C$5:$AU$503,3,)=0,0,(VLOOKUP($D415,$C$5:$AU$503,19,)/VLOOKUP($D415,$C$5:$AU$503,3,))*$E415)</f>
        <v>0</v>
      </c>
      <c r="V415" s="49">
        <f>IF(VLOOKUP($D415,$C$5:$AU$503,3,)=0,0,(VLOOKUP($D415,$C$5:$AU$503,20,)/VLOOKUP($D415,$C$5:$AU$503,3,))*$E415)</f>
        <v>0</v>
      </c>
      <c r="W415" s="49">
        <f>IF(VLOOKUP($D415,$C$5:$AU$503,3,)=0,0,(VLOOKUP($D415,$C$5:$AU$503,21,)/VLOOKUP($D415,$C$5:$AU$503,3,))*$E415)</f>
        <v>0</v>
      </c>
      <c r="X415" s="49">
        <f>IF(VLOOKUP($D415,$C$5:$AU$503,3,)=0,0,(VLOOKUP($D415,$C$5:$AU$503,22,)/VLOOKUP($D415,$C$5:$AU$503,3,))*$E415)</f>
        <v>0</v>
      </c>
      <c r="Y415" s="49">
        <f>IF(VLOOKUP($D415,$C$5:$AU$503,3,)=0,0,(VLOOKUP($D415,$C$5:$AU$503,23,)/VLOOKUP($D415,$C$5:$AU$503,3,))*$E415)</f>
        <v>0</v>
      </c>
      <c r="Z415" s="49">
        <f>IF(VLOOKUP($D415,$C$5:$AU$503,3,)=0,0,(VLOOKUP($D415,$C$5:$AU$503,24,)/VLOOKUP($D415,$C$5:$AU$503,3,))*$E415)</f>
        <v>0</v>
      </c>
      <c r="AA415" s="49">
        <f>IF(VLOOKUP($D415,$C$5:$AU$503,3,)=0,0,(VLOOKUP($D415,$C$5:$AU$503,25,)/VLOOKUP($D415,$C$5:$AU$503,3,))*$E415)</f>
        <v>0</v>
      </c>
      <c r="AB415" s="49">
        <f>IF(VLOOKUP($D415,$C$5:$AU$503,3,)=0,0,(VLOOKUP($D415,$C$5:$AU$503,26,)/VLOOKUP($D415,$C$5:$AU$503,3,))*$E415)</f>
        <v>0</v>
      </c>
      <c r="AC415" s="49">
        <f>IF(VLOOKUP($D415,$C$5:$AU$503,3,)=0,0,(VLOOKUP($D415,$C$5:$AU$503,27,)/VLOOKUP($D415,$C$5:$AU$503,3,))*$E415)</f>
        <v>0</v>
      </c>
      <c r="AD415" s="49">
        <f>IF(VLOOKUP($D415,$C$5:$AU$503,3,)=0,0,(VLOOKUP($D415,$C$5:$AU$503,28,)/VLOOKUP($D415,$C$5:$AU$503,3,))*$E415)</f>
        <v>0</v>
      </c>
      <c r="AE415" s="49">
        <f>IF(VLOOKUP($D415,$C$5:$AU$503,3,)=0,0,(VLOOKUP($D415,$C$5:$AU$503,29,)/VLOOKUP($D415,$C$5:$AU$503,3,))*$E415)</f>
        <v>0</v>
      </c>
      <c r="AF415" s="49">
        <f>IF(VLOOKUP($D415,$C$5:$AU$503,3,)=0,0,(VLOOKUP($D415,$C$5:$AU$503,30,)/VLOOKUP($D415,$C$5:$AU$503,3,))*$E415)</f>
        <v>0</v>
      </c>
      <c r="AG415" s="101">
        <f t="shared" si="160"/>
        <v>0.99999999999999989</v>
      </c>
      <c r="AH415" s="30" t="str">
        <f t="shared" si="161"/>
        <v>ok</v>
      </c>
    </row>
    <row r="416" spans="1:34" x14ac:dyDescent="0.2">
      <c r="A416" s="14" t="s">
        <v>344</v>
      </c>
      <c r="C416" s="14" t="s">
        <v>230</v>
      </c>
      <c r="E416" s="236">
        <f>Meters!$G32</f>
        <v>0.99999999999999989</v>
      </c>
      <c r="F416" s="49">
        <f>Meters!$G6</f>
        <v>0.65436189524004218</v>
      </c>
      <c r="G416" s="49">
        <f>Meters!$G7</f>
        <v>0.26789026115865971</v>
      </c>
      <c r="H416" s="49">
        <f>Meters!$G8</f>
        <v>6.1591385026482488E-2</v>
      </c>
      <c r="I416" s="49">
        <f>Meters!$G9</f>
        <v>6.2333440024670917E-4</v>
      </c>
      <c r="J416" s="49">
        <f>Meters!$G10</f>
        <v>1.2466688004934183E-3</v>
      </c>
      <c r="K416" s="49">
        <f>Meters!$G11</f>
        <v>5.6100096022203829E-3</v>
      </c>
      <c r="L416" s="49">
        <f>Meters!$G12</f>
        <v>5.9397206928771948E-3</v>
      </c>
      <c r="M416" s="49">
        <f>Meters!$G13</f>
        <v>2.3476536893502291E-3</v>
      </c>
      <c r="N416" s="49">
        <f>Meters!$G14</f>
        <v>3.8907138962767458E-4</v>
      </c>
      <c r="O416" s="49">
        <f>Meters!$G15</f>
        <v>0</v>
      </c>
      <c r="P416" s="49">
        <f>Meters!$G16</f>
        <v>0</v>
      </c>
      <c r="Q416" s="49">
        <f>Meters!$G28</f>
        <v>0</v>
      </c>
      <c r="R416" s="49">
        <f>Meters!$G30</f>
        <v>0</v>
      </c>
      <c r="S416" s="49">
        <v>0</v>
      </c>
      <c r="T416" s="49">
        <v>0</v>
      </c>
      <c r="U416" s="49">
        <v>0</v>
      </c>
      <c r="V416" s="49">
        <f>Meters!X6</f>
        <v>0</v>
      </c>
      <c r="W416" s="49">
        <f>Meters!Y6</f>
        <v>0</v>
      </c>
      <c r="X416" s="49">
        <f>Meters!Z6</f>
        <v>0</v>
      </c>
      <c r="Y416" s="49">
        <f>Meters!AA6</f>
        <v>0</v>
      </c>
      <c r="Z416" s="49">
        <f>Meters!AB6</f>
        <v>0</v>
      </c>
      <c r="AA416" s="49">
        <f>Meters!AC6</f>
        <v>0</v>
      </c>
      <c r="AB416" s="49">
        <f>Meters!AD6</f>
        <v>0</v>
      </c>
      <c r="AC416" s="49">
        <f>Meters!AE6</f>
        <v>0</v>
      </c>
      <c r="AD416" s="49">
        <f>Meters!AF6</f>
        <v>0</v>
      </c>
      <c r="AE416" s="49">
        <f>Meters!AG6</f>
        <v>0</v>
      </c>
      <c r="AF416" s="49">
        <f>Meters!AH6</f>
        <v>0</v>
      </c>
      <c r="AG416" s="101">
        <f t="shared" si="160"/>
        <v>0.99999999999999989</v>
      </c>
      <c r="AH416" s="30" t="str">
        <f t="shared" si="161"/>
        <v>ok</v>
      </c>
    </row>
    <row r="417" spans="1:34" x14ac:dyDescent="0.2">
      <c r="A417" s="14" t="s">
        <v>345</v>
      </c>
      <c r="C417" s="14" t="s">
        <v>232</v>
      </c>
      <c r="D417" s="14" t="s">
        <v>565</v>
      </c>
      <c r="E417" s="236">
        <v>1</v>
      </c>
      <c r="F417" s="49">
        <f>IF(VLOOKUP($D417,$C$5:$AU$503,3,)=0,0,(VLOOKUP($D417,$C$5:$AU$503,4,)/VLOOKUP($D417,$C$5:$AU$503,3,))*$E417)</f>
        <v>0</v>
      </c>
      <c r="G417" s="49">
        <f>IF(VLOOKUP($D417,$C$5:$AU$503,3,)=0,0,(VLOOKUP($D417,$C$5:$AU$503,5,)/VLOOKUP($D417,$C$5:$AU$503,3,))*$E417)</f>
        <v>0</v>
      </c>
      <c r="H417" s="49">
        <f>IF(VLOOKUP($D417,$C$5:$AU$503,3,)=0,0,(VLOOKUP($D417,$C$5:$AU$503,6,)/VLOOKUP($D417,$C$5:$AU$503,3,))*$E417)</f>
        <v>0</v>
      </c>
      <c r="I417" s="49">
        <f>IF(VLOOKUP($D417,$C$5:$AU$503,3,)=0,0,(VLOOKUP($D417,$C$5:$AU$503,7,)/VLOOKUP($D417,$C$5:$AU$503,3,))*$E417)</f>
        <v>0</v>
      </c>
      <c r="J417" s="49">
        <f>IF(VLOOKUP($D417,$C$5:$AU$503,3,)=0,0,(VLOOKUP($D417,$C$5:$AU$503,8,)/VLOOKUP($D417,$C$5:$AU$503,3,))*$E417)</f>
        <v>0</v>
      </c>
      <c r="K417" s="49">
        <v>0</v>
      </c>
      <c r="L417" s="49">
        <f>IF(VLOOKUP($D417,$C$5:$AU$503,3,)=0,0,(VLOOKUP($D417,$C$5:$AU$503,10,)/VLOOKUP($D417,$C$5:$AU$503,3,))*$E417)</f>
        <v>0</v>
      </c>
      <c r="M417" s="49">
        <f>IF(VLOOKUP($D417,$C$5:$AU$503,3,)=0,0,(VLOOKUP($D417,$C$5:$AU$503,11,)/VLOOKUP($D417,$C$5:$AU$503,3,))*$E417)</f>
        <v>0</v>
      </c>
      <c r="N417" s="49">
        <f>IF(VLOOKUP($D417,$C$5:$AU$503,3,)=0,0,(VLOOKUP($D417,$C$5:$AU$503,12,)/VLOOKUP($D417,$C$5:$AU$503,3,))*$E417)</f>
        <v>1</v>
      </c>
      <c r="O417" s="49">
        <v>0</v>
      </c>
      <c r="P417" s="49">
        <v>0</v>
      </c>
      <c r="Q417" s="49">
        <f>IF(VLOOKUP($D417,$C$5:$AU$503,3,)=0,0,(VLOOKUP($D417,$C$5:$AU$503,15,)/VLOOKUP($D417,$C$5:$AU$503,3,))*$E417)</f>
        <v>0</v>
      </c>
      <c r="R417" s="49">
        <f>IF(VLOOKUP($D417,$C$5:$AU$503,3,)=0,0,(VLOOKUP($D417,$C$5:$AU$503,16,)/VLOOKUP($D417,$C$5:$AU$503,3,))*$E417)</f>
        <v>0</v>
      </c>
      <c r="S417" s="49">
        <f>IF(VLOOKUP($D417,$C$5:$AU$503,3,)=0,0,(VLOOKUP($D417,$C$5:$AU$503,17,)/VLOOKUP($D417,$C$5:$AU$503,3,))*$E417)</f>
        <v>0</v>
      </c>
      <c r="T417" s="49">
        <f>IF(VLOOKUP($D417,$C$5:$AU$503,3,)=0,0,(VLOOKUP($D417,$C$5:$AU$503,18,)/VLOOKUP($D417,$C$5:$AU$503,3,))*$E417)</f>
        <v>0</v>
      </c>
      <c r="U417" s="49">
        <f>IF(VLOOKUP($D417,$C$5:$AU$503,3,)=0,0,(VLOOKUP($D417,$C$5:$AU$503,19,)/VLOOKUP($D417,$C$5:$AU$503,3,))*$E417)</f>
        <v>0</v>
      </c>
      <c r="V417" s="49">
        <f>IF(VLOOKUP($D417,$C$5:$AU$503,3,)=0,0,(VLOOKUP($D417,$C$5:$AU$503,20,)/VLOOKUP($D417,$C$5:$AU$503,3,))*$E417)</f>
        <v>0</v>
      </c>
      <c r="W417" s="49">
        <f>IF(VLOOKUP($D417,$C$5:$AU$503,3,)=0,0,(VLOOKUP($D417,$C$5:$AU$503,21,)/VLOOKUP($D417,$C$5:$AU$503,3,))*$E417)</f>
        <v>0</v>
      </c>
      <c r="X417" s="49">
        <f>IF(VLOOKUP($D417,$C$5:$AU$503,3,)=0,0,(VLOOKUP($D417,$C$5:$AU$503,22,)/VLOOKUP($D417,$C$5:$AU$503,3,))*$E417)</f>
        <v>0</v>
      </c>
      <c r="Y417" s="49">
        <f>IF(VLOOKUP($D417,$C$5:$AU$503,3,)=0,0,(VLOOKUP($D417,$C$5:$AU$503,23,)/VLOOKUP($D417,$C$5:$AU$503,3,))*$E417)</f>
        <v>0</v>
      </c>
      <c r="Z417" s="49">
        <f>IF(VLOOKUP($D417,$C$5:$AU$503,3,)=0,0,(VLOOKUP($D417,$C$5:$AU$503,24,)/VLOOKUP($D417,$C$5:$AU$503,3,))*$E417)</f>
        <v>0</v>
      </c>
      <c r="AA417" s="49">
        <f>IF(VLOOKUP($D417,$C$5:$AU$503,3,)=0,0,(VLOOKUP($D417,$C$5:$AU$503,25,)/VLOOKUP($D417,$C$5:$AU$503,3,))*$E417)</f>
        <v>0</v>
      </c>
      <c r="AB417" s="49">
        <f>IF(VLOOKUP($D417,$C$5:$AU$503,3,)=0,0,(VLOOKUP($D417,$C$5:$AU$503,26,)/VLOOKUP($D417,$C$5:$AU$503,3,))*$E417)</f>
        <v>0</v>
      </c>
      <c r="AC417" s="49">
        <f>IF(VLOOKUP($D417,$C$5:$AU$503,3,)=0,0,(VLOOKUP($D417,$C$5:$AU$503,27,)/VLOOKUP($D417,$C$5:$AU$503,3,))*$E417)</f>
        <v>0</v>
      </c>
      <c r="AD417" s="49">
        <f>IF(VLOOKUP($D417,$C$5:$AU$503,3,)=0,0,(VLOOKUP($D417,$C$5:$AU$503,28,)/VLOOKUP($D417,$C$5:$AU$503,3,))*$E417)</f>
        <v>0</v>
      </c>
      <c r="AE417" s="49">
        <f>IF(VLOOKUP($D417,$C$5:$AU$503,3,)=0,0,(VLOOKUP($D417,$C$5:$AU$503,29,)/VLOOKUP($D417,$C$5:$AU$503,3,))*$E417)</f>
        <v>0</v>
      </c>
      <c r="AF417" s="49">
        <f>IF(VLOOKUP($D417,$C$5:$AU$503,3,)=0,0,(VLOOKUP($D417,$C$5:$AU$503,30,)/VLOOKUP($D417,$C$5:$AU$503,3,))*$E417)</f>
        <v>0</v>
      </c>
      <c r="AG417" s="101">
        <f t="shared" si="160"/>
        <v>1</v>
      </c>
      <c r="AH417" s="30" t="str">
        <f t="shared" si="161"/>
        <v>ok</v>
      </c>
    </row>
    <row r="418" spans="1:34" x14ac:dyDescent="0.2">
      <c r="A418" s="14" t="s">
        <v>346</v>
      </c>
      <c r="C418" s="14" t="s">
        <v>234</v>
      </c>
      <c r="D418" s="14" t="s">
        <v>615</v>
      </c>
      <c r="E418" s="236">
        <v>1</v>
      </c>
      <c r="F418" s="49">
        <f>IF(VLOOKUP($D418,$C$5:$AU$503,3,)=0,0,(VLOOKUP($D418,$C$5:$AU$503,4,)/VLOOKUP($D418,$C$5:$AU$503,3,))*$E418)</f>
        <v>0.92193250665307735</v>
      </c>
      <c r="G418" s="49">
        <f>IF(VLOOKUP($D418,$C$5:$AU$503,3,)=0,0,(VLOOKUP($D418,$C$5:$AU$503,5,)/VLOOKUP($D418,$C$5:$AU$503,3,))*$E418)</f>
        <v>6.9007983692882621E-2</v>
      </c>
      <c r="H418" s="49">
        <f>IF(VLOOKUP($D418,$C$5:$AU$503,3,)=0,0,(VLOOKUP($D418,$C$5:$AU$503,6,)/VLOOKUP($D418,$C$5:$AU$503,3,))*$E418)</f>
        <v>6.313345790159108E-3</v>
      </c>
      <c r="I418" s="49">
        <f>IF(VLOOKUP($D418,$C$5:$AU$503,3,)=0,0,(VLOOKUP($D418,$C$5:$AU$503,7,)/VLOOKUP($D418,$C$5:$AU$503,3,))*$E418)</f>
        <v>1.4155483834437461E-5</v>
      </c>
      <c r="J418" s="49">
        <f>IF(VLOOKUP($D418,$C$5:$AU$503,3,)=0,0,(VLOOKUP($D418,$C$5:$AU$503,8,)/VLOOKUP($D418,$C$5:$AU$503,3,))*$E418)</f>
        <v>2.8310967668874922E-5</v>
      </c>
      <c r="K418" s="49">
        <f>IF(VLOOKUP($D418,$C$5:$AU$503,3,)=0,0,(VLOOKUP($D418,$C$5:$AU$503,9,)/VLOOKUP($D418,$C$5:$AU$503,3,))*$E418)</f>
        <v>1.2739935450993716E-4</v>
      </c>
      <c r="L418" s="49">
        <f>IF(VLOOKUP($D418,$C$5:$AU$503,3,)=0,0,(VLOOKUP($D418,$C$5:$AU$503,10,)/VLOOKUP($D418,$C$5:$AU$503,3,))*$E418)</f>
        <v>2.0100787044901197E-3</v>
      </c>
      <c r="M418" s="49">
        <f>IF(VLOOKUP($D418,$C$5:$AU$503,3,)=0,0,(VLOOKUP($D418,$C$5:$AU$503,11,)/VLOOKUP($D418,$C$5:$AU$503,3,))*$E418)</f>
        <v>2.4064322518543683E-4</v>
      </c>
      <c r="N418" s="49">
        <f>IF(VLOOKUP($D418,$C$5:$AU$503,3,)=0,0,(VLOOKUP($D418,$C$5:$AU$503,12,)/VLOOKUP($D418,$C$5:$AU$503,3,))*$E418)</f>
        <v>3.2557612819206162E-4</v>
      </c>
      <c r="O418" s="49">
        <f>IF(VLOOKUP($D418,$C$5:$AU$503,3,)=0,0,(VLOOKUP($D418,$C$5:$AU$503,13,)/VLOOKUP($D418,$C$5:$AU$503,3,))*$E418)</f>
        <v>0</v>
      </c>
      <c r="P418" s="49">
        <f>IF(VLOOKUP($D418,$C$5:$AU$503,3,)=0,0,(VLOOKUP($D418,$C$5:$AU$503,14,)/VLOOKUP($D418,$C$5:$AU$503,3,))*$E418)</f>
        <v>0</v>
      </c>
      <c r="Q418" s="49">
        <f>IF(VLOOKUP($D418,$C$5:$AU$503,3,)=0,0,(VLOOKUP($D418,$C$5:$AU$503,15,)/VLOOKUP($D418,$C$5:$AU$503,3,))*$E418)</f>
        <v>0</v>
      </c>
      <c r="R418" s="49">
        <f>IF(VLOOKUP($D418,$C$5:$AU$503,3,)=0,0,(VLOOKUP($D418,$C$5:$AU$503,16,)/VLOOKUP($D418,$C$5:$AU$503,3,))*$E418)</f>
        <v>0</v>
      </c>
      <c r="S418" s="49">
        <f>IF(VLOOKUP($D418,$C$5:$AU$503,3,)=0,0,(VLOOKUP($D418,$C$5:$AU$503,17,)/VLOOKUP($D418,$C$5:$AU$503,3,))*$E418)</f>
        <v>0</v>
      </c>
      <c r="T418" s="49">
        <f>IF(VLOOKUP($D418,$C$5:$AU$503,3,)=0,0,(VLOOKUP($D418,$C$5:$AU$503,18,)/VLOOKUP($D418,$C$5:$AU$503,3,))*$E418)</f>
        <v>0</v>
      </c>
      <c r="U418" s="49">
        <f>IF(VLOOKUP($D418,$C$5:$AU$503,3,)=0,0,(VLOOKUP($D418,$C$5:$AU$503,19,)/VLOOKUP($D418,$C$5:$AU$503,3,))*$E418)</f>
        <v>0</v>
      </c>
      <c r="V418" s="49">
        <f>IF(VLOOKUP($D418,$C$5:$AU$503,3,)=0,0,(VLOOKUP($D418,$C$5:$AU$503,20,)/VLOOKUP($D418,$C$5:$AU$503,3,))*$E418)</f>
        <v>0</v>
      </c>
      <c r="W418" s="49">
        <f>IF(VLOOKUP($D418,$C$5:$AU$503,3,)=0,0,(VLOOKUP($D418,$C$5:$AU$503,21,)/VLOOKUP($D418,$C$5:$AU$503,3,))*$E418)</f>
        <v>0</v>
      </c>
      <c r="X418" s="49">
        <f>IF(VLOOKUP($D418,$C$5:$AU$503,3,)=0,0,(VLOOKUP($D418,$C$5:$AU$503,22,)/VLOOKUP($D418,$C$5:$AU$503,3,))*$E418)</f>
        <v>0</v>
      </c>
      <c r="Y418" s="49">
        <f>IF(VLOOKUP($D418,$C$5:$AU$503,3,)=0,0,(VLOOKUP($D418,$C$5:$AU$503,23,)/VLOOKUP($D418,$C$5:$AU$503,3,))*$E418)</f>
        <v>0</v>
      </c>
      <c r="Z418" s="49">
        <f>IF(VLOOKUP($D418,$C$5:$AU$503,3,)=0,0,(VLOOKUP($D418,$C$5:$AU$503,24,)/VLOOKUP($D418,$C$5:$AU$503,3,))*$E418)</f>
        <v>0</v>
      </c>
      <c r="AA418" s="49">
        <f>IF(VLOOKUP($D418,$C$5:$AU$503,3,)=0,0,(VLOOKUP($D418,$C$5:$AU$503,25,)/VLOOKUP($D418,$C$5:$AU$503,3,))*$E418)</f>
        <v>0</v>
      </c>
      <c r="AB418" s="49">
        <f>IF(VLOOKUP($D418,$C$5:$AU$503,3,)=0,0,(VLOOKUP($D418,$C$5:$AU$503,26,)/VLOOKUP($D418,$C$5:$AU$503,3,))*$E418)</f>
        <v>0</v>
      </c>
      <c r="AC418" s="49">
        <f>IF(VLOOKUP($D418,$C$5:$AU$503,3,)=0,0,(VLOOKUP($D418,$C$5:$AU$503,27,)/VLOOKUP($D418,$C$5:$AU$503,3,))*$E418)</f>
        <v>0</v>
      </c>
      <c r="AD418" s="49">
        <f>IF(VLOOKUP($D418,$C$5:$AU$503,3,)=0,0,(VLOOKUP($D418,$C$5:$AU$503,28,)/VLOOKUP($D418,$C$5:$AU$503,3,))*$E418)</f>
        <v>0</v>
      </c>
      <c r="AE418" s="49">
        <f>IF(VLOOKUP($D418,$C$5:$AU$503,3,)=0,0,(VLOOKUP($D418,$C$5:$AU$503,29,)/VLOOKUP($D418,$C$5:$AU$503,3,))*$E418)</f>
        <v>0</v>
      </c>
      <c r="AF418" s="49">
        <f>IF(VLOOKUP($D418,$C$5:$AU$503,3,)=0,0,(VLOOKUP($D418,$C$5:$AU$503,30,)/VLOOKUP($D418,$C$5:$AU$503,3,))*$E418)</f>
        <v>0</v>
      </c>
      <c r="AG418" s="101">
        <f t="shared" si="160"/>
        <v>0.99999999999999989</v>
      </c>
      <c r="AH418" s="30" t="str">
        <f t="shared" si="161"/>
        <v>ok</v>
      </c>
    </row>
    <row r="419" spans="1:34" x14ac:dyDescent="0.2">
      <c r="A419" s="14" t="s">
        <v>470</v>
      </c>
      <c r="C419" s="14" t="s">
        <v>235</v>
      </c>
      <c r="D419" s="14" t="s">
        <v>616</v>
      </c>
      <c r="E419" s="236">
        <v>1</v>
      </c>
      <c r="F419" s="49">
        <f>IF(VLOOKUP($D419,$C$5:$AU$503,3,)=0,0,(VLOOKUP($D419,$C$5:$AU$503,4,)/VLOOKUP($D419,$C$5:$AU$503,3,))*$E419)</f>
        <v>0.92193250665307735</v>
      </c>
      <c r="G419" s="49">
        <f>IF(VLOOKUP($D419,$C$5:$AU$503,3,)=0,0,(VLOOKUP($D419,$C$5:$AU$503,5,)/VLOOKUP($D419,$C$5:$AU$503,3,))*$E419)</f>
        <v>6.9007983692882621E-2</v>
      </c>
      <c r="H419" s="49">
        <f>IF(VLOOKUP($D419,$C$5:$AU$503,3,)=0,0,(VLOOKUP($D419,$C$5:$AU$503,6,)/VLOOKUP($D419,$C$5:$AU$503,3,))*$E419)</f>
        <v>6.313345790159108E-3</v>
      </c>
      <c r="I419" s="49">
        <f>IF(VLOOKUP($D419,$C$5:$AU$503,3,)=0,0,(VLOOKUP($D419,$C$5:$AU$503,7,)/VLOOKUP($D419,$C$5:$AU$503,3,))*$E419)</f>
        <v>1.4155483834437461E-5</v>
      </c>
      <c r="J419" s="49">
        <f>IF(VLOOKUP($D419,$C$5:$AU$503,3,)=0,0,(VLOOKUP($D419,$C$5:$AU$503,8,)/VLOOKUP($D419,$C$5:$AU$503,3,))*$E419)</f>
        <v>2.8310967668874922E-5</v>
      </c>
      <c r="K419" s="49">
        <f>IF(VLOOKUP($D419,$C$5:$AU$503,3,)=0,0,(VLOOKUP($D419,$C$5:$AU$503,9,)/VLOOKUP($D419,$C$5:$AU$503,3,))*$E419)</f>
        <v>1.2739935450993716E-4</v>
      </c>
      <c r="L419" s="49">
        <f>IF(VLOOKUP($D419,$C$5:$AU$503,3,)=0,0,(VLOOKUP($D419,$C$5:$AU$503,10,)/VLOOKUP($D419,$C$5:$AU$503,3,))*$E419)</f>
        <v>2.0100787044901197E-3</v>
      </c>
      <c r="M419" s="49">
        <f>IF(VLOOKUP($D419,$C$5:$AU$503,3,)=0,0,(VLOOKUP($D419,$C$5:$AU$503,11,)/VLOOKUP($D419,$C$5:$AU$503,3,))*$E419)</f>
        <v>2.4064322518543683E-4</v>
      </c>
      <c r="N419" s="49">
        <f>IF(VLOOKUP($D419,$C$5:$AU$503,3,)=0,0,(VLOOKUP($D419,$C$5:$AU$503,12,)/VLOOKUP($D419,$C$5:$AU$503,3,))*$E419)</f>
        <v>3.2557612819206162E-4</v>
      </c>
      <c r="O419" s="49">
        <f>IF(VLOOKUP($D419,$C$5:$AU$503,3,)=0,0,(VLOOKUP($D419,$C$5:$AU$503,13,)/VLOOKUP($D419,$C$5:$AU$503,3,))*$E419)</f>
        <v>0</v>
      </c>
      <c r="P419" s="49">
        <f>IF(VLOOKUP($D419,$C$5:$AU$503,3,)=0,0,(VLOOKUP($D419,$C$5:$AU$503,14,)/VLOOKUP($D419,$C$5:$AU$503,3,))*$E419)</f>
        <v>0</v>
      </c>
      <c r="Q419" s="49">
        <f>IF(VLOOKUP($D419,$C$5:$AU$503,3,)=0,0,(VLOOKUP($D419,$C$5:$AU$503,15,)/VLOOKUP($D419,$C$5:$AU$503,3,))*$E419)</f>
        <v>0</v>
      </c>
      <c r="R419" s="49">
        <f>IF(VLOOKUP($D419,$C$5:$AU$503,3,)=0,0,(VLOOKUP($D419,$C$5:$AU$503,16,)/VLOOKUP($D419,$C$5:$AU$503,3,))*$E419)</f>
        <v>0</v>
      </c>
      <c r="S419" s="49">
        <f>IF(VLOOKUP($D419,$C$5:$AU$503,3,)=0,0,(VLOOKUP($D419,$C$5:$AU$503,17,)/VLOOKUP($D419,$C$5:$AU$503,3,))*$E419)</f>
        <v>0</v>
      </c>
      <c r="T419" s="49">
        <f>IF(VLOOKUP($D419,$C$5:$AU$503,3,)=0,0,(VLOOKUP($D419,$C$5:$AU$503,18,)/VLOOKUP($D419,$C$5:$AU$503,3,))*$E419)</f>
        <v>0</v>
      </c>
      <c r="U419" s="49">
        <f>IF(VLOOKUP($D419,$C$5:$AU$503,3,)=0,0,(VLOOKUP($D419,$C$5:$AU$503,19,)/VLOOKUP($D419,$C$5:$AU$503,3,))*$E419)</f>
        <v>0</v>
      </c>
      <c r="V419" s="49">
        <f>IF(VLOOKUP($D419,$C$5:$AU$503,3,)=0,0,(VLOOKUP($D419,$C$5:$AU$503,20,)/VLOOKUP($D419,$C$5:$AU$503,3,))*$E419)</f>
        <v>0</v>
      </c>
      <c r="W419" s="49">
        <f>IF(VLOOKUP($D419,$C$5:$AU$503,3,)=0,0,(VLOOKUP($D419,$C$5:$AU$503,21,)/VLOOKUP($D419,$C$5:$AU$503,3,))*$E419)</f>
        <v>0</v>
      </c>
      <c r="X419" s="49">
        <f>IF(VLOOKUP($D419,$C$5:$AU$503,3,)=0,0,(VLOOKUP($D419,$C$5:$AU$503,22,)/VLOOKUP($D419,$C$5:$AU$503,3,))*$E419)</f>
        <v>0</v>
      </c>
      <c r="Y419" s="49">
        <f>IF(VLOOKUP($D419,$C$5:$AU$503,3,)=0,0,(VLOOKUP($D419,$C$5:$AU$503,23,)/VLOOKUP($D419,$C$5:$AU$503,3,))*$E419)</f>
        <v>0</v>
      </c>
      <c r="Z419" s="49">
        <f>IF(VLOOKUP($D419,$C$5:$AU$503,3,)=0,0,(VLOOKUP($D419,$C$5:$AU$503,24,)/VLOOKUP($D419,$C$5:$AU$503,3,))*$E419)</f>
        <v>0</v>
      </c>
      <c r="AA419" s="49">
        <f>IF(VLOOKUP($D419,$C$5:$AU$503,3,)=0,0,(VLOOKUP($D419,$C$5:$AU$503,25,)/VLOOKUP($D419,$C$5:$AU$503,3,))*$E419)</f>
        <v>0</v>
      </c>
      <c r="AB419" s="49">
        <f>IF(VLOOKUP($D419,$C$5:$AU$503,3,)=0,0,(VLOOKUP($D419,$C$5:$AU$503,26,)/VLOOKUP($D419,$C$5:$AU$503,3,))*$E419)</f>
        <v>0</v>
      </c>
      <c r="AC419" s="49">
        <f>IF(VLOOKUP($D419,$C$5:$AU$503,3,)=0,0,(VLOOKUP($D419,$C$5:$AU$503,27,)/VLOOKUP($D419,$C$5:$AU$503,3,))*$E419)</f>
        <v>0</v>
      </c>
      <c r="AD419" s="49">
        <f>IF(VLOOKUP($D419,$C$5:$AU$503,3,)=0,0,(VLOOKUP($D419,$C$5:$AU$503,28,)/VLOOKUP($D419,$C$5:$AU$503,3,))*$E419)</f>
        <v>0</v>
      </c>
      <c r="AE419" s="49">
        <f>IF(VLOOKUP($D419,$C$5:$AU$503,3,)=0,0,(VLOOKUP($D419,$C$5:$AU$503,29,)/VLOOKUP($D419,$C$5:$AU$503,3,))*$E419)</f>
        <v>0</v>
      </c>
      <c r="AF419" s="49">
        <f>IF(VLOOKUP($D419,$C$5:$AU$503,3,)=0,0,(VLOOKUP($D419,$C$5:$AU$503,30,)/VLOOKUP($D419,$C$5:$AU$503,3,))*$E419)</f>
        <v>0</v>
      </c>
      <c r="AG419" s="101">
        <f t="shared" si="160"/>
        <v>0.99999999999999989</v>
      </c>
      <c r="AH419" s="30" t="str">
        <f t="shared" si="161"/>
        <v>ok</v>
      </c>
    </row>
    <row r="421" spans="1:34" x14ac:dyDescent="0.2">
      <c r="A421" s="13" t="s">
        <v>866</v>
      </c>
      <c r="D421" s="47"/>
    </row>
    <row r="422" spans="1:34" x14ac:dyDescent="0.2">
      <c r="A422" s="14" t="s">
        <v>349</v>
      </c>
      <c r="C422" s="14" t="s">
        <v>561</v>
      </c>
      <c r="E422" s="234">
        <f>'Billing Det'!E25</f>
        <v>149668025.12000006</v>
      </c>
      <c r="F422" s="50">
        <f>'Billing Det'!$E8</f>
        <v>98317802.830000028</v>
      </c>
      <c r="G422" s="50">
        <f>'Billing Det'!$E9</f>
        <v>10181475.759999998</v>
      </c>
      <c r="H422" s="50">
        <f>'Billing Det'!$E10</f>
        <v>19913480.189999998</v>
      </c>
      <c r="I422" s="50">
        <f>'Billing Det'!$E11</f>
        <v>851695.84000000008</v>
      </c>
      <c r="J422" s="50">
        <f>'Billing Det'!$E12</f>
        <v>6421394.1199999992</v>
      </c>
      <c r="K422" s="50">
        <f>'Billing Det'!$E13</f>
        <v>6850007.7399999993</v>
      </c>
      <c r="L422" s="50">
        <f>'Billing Det'!$E14</f>
        <v>1666788.1599999997</v>
      </c>
      <c r="M422" s="50">
        <f>'Billing Det'!$E15</f>
        <v>1119040.3600000001</v>
      </c>
      <c r="N422" s="50">
        <f>'Billing Det'!$E16</f>
        <v>4346340.12</v>
      </c>
      <c r="O422" s="50">
        <f>'Billing Det'!$E17</f>
        <v>0</v>
      </c>
      <c r="P422" s="50">
        <f>'Billing Det'!$E18</f>
        <v>0</v>
      </c>
      <c r="Q422" s="50">
        <f>'Billing Det'!$E19</f>
        <v>0</v>
      </c>
      <c r="R422" s="50">
        <f>'Billing Det'!$E20</f>
        <v>0</v>
      </c>
      <c r="S422" s="50">
        <f>'Billing Det'!$E21</f>
        <v>0</v>
      </c>
      <c r="T422" s="50">
        <f>'Billing Det'!$E22</f>
        <v>0</v>
      </c>
      <c r="U422" s="50">
        <f>'Billing Det'!$E23</f>
        <v>0</v>
      </c>
      <c r="V422" s="50">
        <v>0</v>
      </c>
      <c r="W422" s="50">
        <v>0</v>
      </c>
      <c r="X422" s="50">
        <v>0</v>
      </c>
      <c r="Y422" s="50">
        <v>0</v>
      </c>
      <c r="Z422" s="50">
        <v>0</v>
      </c>
      <c r="AA422" s="50">
        <v>0</v>
      </c>
      <c r="AB422" s="50">
        <v>0</v>
      </c>
      <c r="AC422" s="50">
        <v>0</v>
      </c>
      <c r="AD422" s="50">
        <v>0</v>
      </c>
      <c r="AE422" s="50"/>
      <c r="AF422" s="50"/>
      <c r="AG422" s="50">
        <f t="shared" ref="AG422:AG432" si="162">SUM(F422:AF422)</f>
        <v>149668025.12000006</v>
      </c>
      <c r="AH422" s="30" t="str">
        <f t="shared" ref="AH422:AH432" si="163">IF(ABS(E422-AG422)&lt;0.01,"ok","err")</f>
        <v>ok</v>
      </c>
    </row>
    <row r="423" spans="1:34" x14ac:dyDescent="0.2">
      <c r="A423" s="14" t="s">
        <v>11</v>
      </c>
      <c r="C423" s="14" t="s">
        <v>214</v>
      </c>
      <c r="E423" s="234">
        <f>'Billing Det'!D25</f>
        <v>1221964154</v>
      </c>
      <c r="F423" s="50">
        <f>'Billing Det'!D8</f>
        <v>766561470</v>
      </c>
      <c r="G423" s="50">
        <f>'Billing Det'!D9</f>
        <v>69966370</v>
      </c>
      <c r="H423" s="50">
        <f>'Billing Det'!D10</f>
        <v>183071000</v>
      </c>
      <c r="I423" s="50">
        <f>'Billing Det'!D11</f>
        <v>9835173</v>
      </c>
      <c r="J423" s="50">
        <f>'Billing Det'!D12</f>
        <v>75495061</v>
      </c>
      <c r="K423" s="50">
        <f>'Billing Det'!D13</f>
        <v>81411983</v>
      </c>
      <c r="L423" s="50">
        <f>'Billing Det'!D14</f>
        <v>11928714</v>
      </c>
      <c r="M423" s="50">
        <f>'Billing Det'!D15</f>
        <v>10463040</v>
      </c>
      <c r="N423" s="50">
        <f>'Billing Det'!D16</f>
        <v>13231343</v>
      </c>
      <c r="O423" s="50">
        <f>'Billing Det'!D17</f>
        <v>0</v>
      </c>
      <c r="P423" s="50">
        <f>'Billing Det'!D18</f>
        <v>0</v>
      </c>
      <c r="Q423" s="50">
        <f>'Billing Det'!D19</f>
        <v>0</v>
      </c>
      <c r="R423" s="50">
        <f>'Billing Det'!D20</f>
        <v>0</v>
      </c>
      <c r="S423" s="50">
        <f>'Billing Det'!$D21</f>
        <v>0</v>
      </c>
      <c r="T423" s="50">
        <f>'Billing Det'!$D22</f>
        <v>0</v>
      </c>
      <c r="U423" s="50">
        <f>'Billing Det'!$D23</f>
        <v>0</v>
      </c>
      <c r="V423" s="50">
        <v>0</v>
      </c>
      <c r="W423" s="50">
        <v>0</v>
      </c>
      <c r="X423" s="50">
        <v>0</v>
      </c>
      <c r="Y423" s="50">
        <v>0</v>
      </c>
      <c r="Z423" s="50">
        <v>0</v>
      </c>
      <c r="AA423" s="50">
        <v>0</v>
      </c>
      <c r="AB423" s="50">
        <v>0</v>
      </c>
      <c r="AC423" s="50">
        <v>0</v>
      </c>
      <c r="AD423" s="50">
        <v>0</v>
      </c>
      <c r="AE423" s="50"/>
      <c r="AF423" s="50"/>
      <c r="AG423" s="50">
        <f>SUM(F423:AF423)</f>
        <v>1221964154</v>
      </c>
      <c r="AH423" s="30" t="str">
        <f t="shared" si="163"/>
        <v>ok</v>
      </c>
    </row>
    <row r="424" spans="1:34" x14ac:dyDescent="0.2">
      <c r="A424" s="14" t="s">
        <v>743</v>
      </c>
      <c r="E424" s="249">
        <v>0.05</v>
      </c>
      <c r="F424" s="106">
        <v>0.05</v>
      </c>
      <c r="G424" s="106">
        <v>0.05</v>
      </c>
      <c r="H424" s="106">
        <v>2.5000000000000001E-2</v>
      </c>
      <c r="I424" s="106">
        <v>2.5000000000000001E-2</v>
      </c>
      <c r="J424" s="195">
        <v>2.5000000000000001E-2</v>
      </c>
      <c r="K424" s="195">
        <v>2.5000000000000001E-2</v>
      </c>
      <c r="L424" s="50">
        <v>0.05</v>
      </c>
      <c r="M424" s="106">
        <v>0.05</v>
      </c>
      <c r="N424" s="106">
        <v>0.05</v>
      </c>
      <c r="O424" s="50">
        <v>0</v>
      </c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106"/>
      <c r="AE424" s="106"/>
      <c r="AF424" s="106"/>
      <c r="AG424" s="163"/>
      <c r="AH424" s="30"/>
    </row>
    <row r="425" spans="1:34" x14ac:dyDescent="0.2">
      <c r="A425" s="14" t="s">
        <v>744</v>
      </c>
      <c r="C425" s="14" t="s">
        <v>11</v>
      </c>
      <c r="E425" s="234">
        <v>1276836404.5614035</v>
      </c>
      <c r="F425" s="50">
        <f t="shared" ref="F425:AF425" si="164">F423/(1-F424)</f>
        <v>806906810.52631581</v>
      </c>
      <c r="G425" s="50">
        <f t="shared" si="164"/>
        <v>73648810.526315793</v>
      </c>
      <c r="H425" s="50">
        <f t="shared" si="164"/>
        <v>187765128.20512822</v>
      </c>
      <c r="I425" s="50">
        <f t="shared" si="164"/>
        <v>10087356.923076924</v>
      </c>
      <c r="J425" s="50">
        <f t="shared" si="164"/>
        <v>77430831.794871792</v>
      </c>
      <c r="K425" s="50">
        <f t="shared" si="164"/>
        <v>83499469.743589744</v>
      </c>
      <c r="L425" s="50">
        <f t="shared" si="164"/>
        <v>12556541.052631579</v>
      </c>
      <c r="M425" s="50">
        <f t="shared" si="164"/>
        <v>11013726.315789474</v>
      </c>
      <c r="N425" s="50">
        <f t="shared" si="164"/>
        <v>13927729.47368421</v>
      </c>
      <c r="O425" s="50">
        <f t="shared" si="164"/>
        <v>0</v>
      </c>
      <c r="P425" s="50">
        <f t="shared" si="164"/>
        <v>0</v>
      </c>
      <c r="Q425" s="50">
        <f t="shared" si="164"/>
        <v>0</v>
      </c>
      <c r="R425" s="50">
        <f t="shared" si="164"/>
        <v>0</v>
      </c>
      <c r="S425" s="50">
        <f t="shared" si="164"/>
        <v>0</v>
      </c>
      <c r="T425" s="50">
        <f t="shared" si="164"/>
        <v>0</v>
      </c>
      <c r="U425" s="50">
        <f t="shared" si="164"/>
        <v>0</v>
      </c>
      <c r="V425" s="50">
        <f t="shared" si="164"/>
        <v>0</v>
      </c>
      <c r="W425" s="50">
        <f t="shared" si="164"/>
        <v>0</v>
      </c>
      <c r="X425" s="50">
        <f t="shared" si="164"/>
        <v>0</v>
      </c>
      <c r="Y425" s="50">
        <f t="shared" si="164"/>
        <v>0</v>
      </c>
      <c r="Z425" s="50">
        <f t="shared" si="164"/>
        <v>0</v>
      </c>
      <c r="AA425" s="50">
        <f t="shared" si="164"/>
        <v>0</v>
      </c>
      <c r="AB425" s="50">
        <f t="shared" si="164"/>
        <v>0</v>
      </c>
      <c r="AC425" s="50">
        <f t="shared" si="164"/>
        <v>0</v>
      </c>
      <c r="AD425" s="50">
        <f t="shared" si="164"/>
        <v>0</v>
      </c>
      <c r="AE425" s="50">
        <f t="shared" si="164"/>
        <v>0</v>
      </c>
      <c r="AF425" s="50">
        <f t="shared" si="164"/>
        <v>0</v>
      </c>
      <c r="AG425" s="50">
        <f t="shared" si="162"/>
        <v>1276836404.5614035</v>
      </c>
      <c r="AH425" s="30" t="str">
        <f t="shared" si="163"/>
        <v>ok</v>
      </c>
    </row>
    <row r="426" spans="1:34" x14ac:dyDescent="0.2">
      <c r="A426" s="14" t="s">
        <v>558</v>
      </c>
      <c r="E426" s="234">
        <f>'Billing Det'!C25*12</f>
        <v>847728</v>
      </c>
      <c r="F426" s="50">
        <f>'Billing Det'!$C8*12</f>
        <v>781548</v>
      </c>
      <c r="G426" s="50">
        <f>'Billing Det'!$C9*12</f>
        <v>58500</v>
      </c>
      <c r="H426" s="50">
        <f>'Billing Det'!$C10*12</f>
        <v>5352</v>
      </c>
      <c r="I426" s="50">
        <f>'Billing Det'!$C11*12</f>
        <v>12</v>
      </c>
      <c r="J426" s="50">
        <f>'Billing Det'!$C12*12</f>
        <v>24</v>
      </c>
      <c r="K426" s="50">
        <f>'Billing Det'!$C13*12</f>
        <v>108</v>
      </c>
      <c r="L426" s="50">
        <f>'Billing Det'!$C14*12</f>
        <v>1704</v>
      </c>
      <c r="M426" s="50">
        <f>'Billing Det'!$C15*12</f>
        <v>204</v>
      </c>
      <c r="N426" s="50">
        <f>'Billing Det'!$C16*12</f>
        <v>276</v>
      </c>
      <c r="O426" s="50">
        <f>'Billing Det'!$C17*12</f>
        <v>0</v>
      </c>
      <c r="P426" s="50">
        <f>'Billing Det'!$C18*12</f>
        <v>0</v>
      </c>
      <c r="Q426" s="50">
        <f>'Billing Det'!$C19*12</f>
        <v>0</v>
      </c>
      <c r="R426" s="50">
        <f>'Billing Det'!$C20*12</f>
        <v>0</v>
      </c>
      <c r="S426" s="50">
        <f>'Billing Det'!$C21*12</f>
        <v>0</v>
      </c>
      <c r="T426" s="50">
        <f>'Billing Det'!$C22*12</f>
        <v>0</v>
      </c>
      <c r="U426" s="50">
        <f>'Billing Det'!$C23*12</f>
        <v>0</v>
      </c>
      <c r="V426" s="50">
        <v>0</v>
      </c>
      <c r="W426" s="50">
        <v>0</v>
      </c>
      <c r="X426" s="50">
        <v>0</v>
      </c>
      <c r="Y426" s="50">
        <v>0</v>
      </c>
      <c r="Z426" s="50">
        <v>0</v>
      </c>
      <c r="AA426" s="50">
        <v>0</v>
      </c>
      <c r="AB426" s="50">
        <v>0</v>
      </c>
      <c r="AC426" s="50">
        <v>0</v>
      </c>
      <c r="AD426" s="50">
        <v>0</v>
      </c>
      <c r="AE426" s="50"/>
      <c r="AF426" s="50"/>
      <c r="AG426" s="50">
        <f t="shared" si="162"/>
        <v>847728</v>
      </c>
      <c r="AH426" s="30" t="str">
        <f t="shared" si="163"/>
        <v>ok</v>
      </c>
    </row>
    <row r="427" spans="1:34" x14ac:dyDescent="0.2">
      <c r="A427" s="14" t="s">
        <v>559</v>
      </c>
      <c r="C427" s="14" t="s">
        <v>562</v>
      </c>
      <c r="E427" s="234">
        <v>70644</v>
      </c>
      <c r="F427" s="50">
        <f>F426/12</f>
        <v>65129</v>
      </c>
      <c r="G427" s="50">
        <f t="shared" ref="G427:AF427" si="165">G426/12</f>
        <v>4875</v>
      </c>
      <c r="H427" s="50">
        <f>H426/12</f>
        <v>446</v>
      </c>
      <c r="I427" s="50">
        <f t="shared" si="165"/>
        <v>1</v>
      </c>
      <c r="J427" s="50">
        <f t="shared" si="165"/>
        <v>2</v>
      </c>
      <c r="K427" s="50">
        <f t="shared" si="165"/>
        <v>9</v>
      </c>
      <c r="L427" s="50">
        <f t="shared" si="165"/>
        <v>142</v>
      </c>
      <c r="M427" s="50">
        <f t="shared" si="165"/>
        <v>17</v>
      </c>
      <c r="N427" s="50">
        <f t="shared" si="165"/>
        <v>23</v>
      </c>
      <c r="O427" s="50">
        <f t="shared" si="165"/>
        <v>0</v>
      </c>
      <c r="P427" s="50">
        <f t="shared" si="165"/>
        <v>0</v>
      </c>
      <c r="Q427" s="50">
        <f t="shared" si="165"/>
        <v>0</v>
      </c>
      <c r="R427" s="50">
        <f t="shared" si="165"/>
        <v>0</v>
      </c>
      <c r="S427" s="50">
        <f t="shared" si="165"/>
        <v>0</v>
      </c>
      <c r="T427" s="50">
        <f t="shared" si="165"/>
        <v>0</v>
      </c>
      <c r="U427" s="50">
        <f t="shared" si="165"/>
        <v>0</v>
      </c>
      <c r="V427" s="50">
        <v>0</v>
      </c>
      <c r="W427" s="50">
        <v>0</v>
      </c>
      <c r="X427" s="50">
        <v>0</v>
      </c>
      <c r="Y427" s="50">
        <v>0</v>
      </c>
      <c r="Z427" s="50">
        <f t="shared" si="165"/>
        <v>0</v>
      </c>
      <c r="AA427" s="50">
        <f t="shared" si="165"/>
        <v>0</v>
      </c>
      <c r="AB427" s="50">
        <f t="shared" si="165"/>
        <v>0</v>
      </c>
      <c r="AC427" s="50">
        <f t="shared" si="165"/>
        <v>0</v>
      </c>
      <c r="AD427" s="50">
        <f t="shared" si="165"/>
        <v>0</v>
      </c>
      <c r="AE427" s="50">
        <f t="shared" si="165"/>
        <v>0</v>
      </c>
      <c r="AF427" s="50">
        <f t="shared" si="165"/>
        <v>0</v>
      </c>
      <c r="AG427" s="50">
        <f t="shared" si="162"/>
        <v>70644</v>
      </c>
      <c r="AH427" s="30" t="str">
        <f t="shared" si="163"/>
        <v>ok</v>
      </c>
    </row>
    <row r="428" spans="1:34" x14ac:dyDescent="0.2">
      <c r="A428" s="14" t="s">
        <v>560</v>
      </c>
      <c r="C428" s="14" t="s">
        <v>563</v>
      </c>
      <c r="E428" s="234">
        <f>E427</f>
        <v>70644</v>
      </c>
      <c r="F428" s="50">
        <f t="shared" ref="F428:O428" si="166">F427</f>
        <v>65129</v>
      </c>
      <c r="G428" s="50">
        <f t="shared" si="166"/>
        <v>4875</v>
      </c>
      <c r="H428" s="50">
        <f t="shared" si="166"/>
        <v>446</v>
      </c>
      <c r="I428" s="50">
        <f t="shared" si="166"/>
        <v>1</v>
      </c>
      <c r="J428" s="50">
        <f t="shared" si="166"/>
        <v>2</v>
      </c>
      <c r="K428" s="50">
        <f t="shared" si="166"/>
        <v>9</v>
      </c>
      <c r="L428" s="50">
        <f t="shared" si="166"/>
        <v>142</v>
      </c>
      <c r="M428" s="50">
        <f t="shared" si="166"/>
        <v>17</v>
      </c>
      <c r="N428" s="50">
        <f t="shared" si="166"/>
        <v>23</v>
      </c>
      <c r="O428" s="50">
        <f t="shared" si="166"/>
        <v>0</v>
      </c>
      <c r="P428" s="50">
        <f t="shared" ref="P428:U428" si="167">P427</f>
        <v>0</v>
      </c>
      <c r="Q428" s="50">
        <f t="shared" si="167"/>
        <v>0</v>
      </c>
      <c r="R428" s="50">
        <f t="shared" si="167"/>
        <v>0</v>
      </c>
      <c r="S428" s="50">
        <f t="shared" si="167"/>
        <v>0</v>
      </c>
      <c r="T428" s="50">
        <f t="shared" si="167"/>
        <v>0</v>
      </c>
      <c r="U428" s="50">
        <f t="shared" si="167"/>
        <v>0</v>
      </c>
      <c r="V428" s="50">
        <v>0</v>
      </c>
      <c r="W428" s="50">
        <v>0</v>
      </c>
      <c r="X428" s="50">
        <v>0</v>
      </c>
      <c r="Y428" s="50">
        <v>0</v>
      </c>
      <c r="Z428" s="36">
        <f t="shared" ref="Z428:AF428" si="168">Z427</f>
        <v>0</v>
      </c>
      <c r="AA428" s="36">
        <f t="shared" si="168"/>
        <v>0</v>
      </c>
      <c r="AB428" s="36">
        <f t="shared" si="168"/>
        <v>0</v>
      </c>
      <c r="AC428" s="36">
        <f t="shared" si="168"/>
        <v>0</v>
      </c>
      <c r="AD428" s="36">
        <f t="shared" si="168"/>
        <v>0</v>
      </c>
      <c r="AE428" s="36">
        <f t="shared" si="168"/>
        <v>0</v>
      </c>
      <c r="AF428" s="36">
        <f t="shared" si="168"/>
        <v>0</v>
      </c>
      <c r="AG428" s="50">
        <f t="shared" si="162"/>
        <v>70644</v>
      </c>
      <c r="AH428" s="30" t="str">
        <f t="shared" si="163"/>
        <v>ok</v>
      </c>
    </row>
    <row r="429" spans="1:34" x14ac:dyDescent="0.2">
      <c r="A429" s="14" t="s">
        <v>901</v>
      </c>
      <c r="C429" s="14" t="s">
        <v>564</v>
      </c>
      <c r="E429" s="234">
        <v>70644</v>
      </c>
      <c r="F429" s="36">
        <f>F427</f>
        <v>65129</v>
      </c>
      <c r="G429" s="36">
        <f t="shared" ref="G429:O429" si="169">G427</f>
        <v>4875</v>
      </c>
      <c r="H429" s="36">
        <f t="shared" si="169"/>
        <v>446</v>
      </c>
      <c r="I429" s="36">
        <f t="shared" si="169"/>
        <v>1</v>
      </c>
      <c r="J429" s="36">
        <f t="shared" si="169"/>
        <v>2</v>
      </c>
      <c r="K429" s="36">
        <f t="shared" si="169"/>
        <v>9</v>
      </c>
      <c r="L429" s="36">
        <f t="shared" si="169"/>
        <v>142</v>
      </c>
      <c r="M429" s="36">
        <f t="shared" si="169"/>
        <v>17</v>
      </c>
      <c r="N429" s="36">
        <f t="shared" si="169"/>
        <v>23</v>
      </c>
      <c r="O429" s="36">
        <f t="shared" si="169"/>
        <v>0</v>
      </c>
      <c r="P429" s="36">
        <f>P427/45</f>
        <v>0</v>
      </c>
      <c r="Q429" s="36">
        <f t="shared" ref="Q429:R429" si="170">Q427</f>
        <v>0</v>
      </c>
      <c r="R429" s="36">
        <f t="shared" si="170"/>
        <v>0</v>
      </c>
      <c r="S429" s="50">
        <f>S427</f>
        <v>0</v>
      </c>
      <c r="T429" s="50">
        <f>T427</f>
        <v>0</v>
      </c>
      <c r="U429" s="50">
        <f>U427</f>
        <v>0</v>
      </c>
      <c r="V429" s="50">
        <v>0</v>
      </c>
      <c r="W429" s="50">
        <v>0</v>
      </c>
      <c r="X429" s="50">
        <v>0</v>
      </c>
      <c r="Y429" s="50">
        <v>0</v>
      </c>
      <c r="Z429" s="36">
        <f t="shared" ref="Z429:AF429" si="171">Z427</f>
        <v>0</v>
      </c>
      <c r="AA429" s="36">
        <f t="shared" si="171"/>
        <v>0</v>
      </c>
      <c r="AB429" s="36">
        <f t="shared" si="171"/>
        <v>0</v>
      </c>
      <c r="AC429" s="36">
        <f t="shared" si="171"/>
        <v>0</v>
      </c>
      <c r="AD429" s="36">
        <f t="shared" si="171"/>
        <v>0</v>
      </c>
      <c r="AE429" s="36">
        <f t="shared" si="171"/>
        <v>0</v>
      </c>
      <c r="AF429" s="36">
        <f t="shared" si="171"/>
        <v>0</v>
      </c>
      <c r="AG429" s="50">
        <f>SUM(F429:AF429)</f>
        <v>70644</v>
      </c>
      <c r="AH429" s="30" t="str">
        <f t="shared" si="163"/>
        <v>ok</v>
      </c>
    </row>
    <row r="430" spans="1:34" x14ac:dyDescent="0.2">
      <c r="A430" s="14" t="s">
        <v>754</v>
      </c>
      <c r="C430" s="14" t="s">
        <v>565</v>
      </c>
      <c r="E430" s="234">
        <v>1</v>
      </c>
      <c r="F430" s="50">
        <v>0</v>
      </c>
      <c r="G430" s="50">
        <v>0</v>
      </c>
      <c r="H430" s="50">
        <v>0</v>
      </c>
      <c r="I430" s="50">
        <v>0</v>
      </c>
      <c r="J430" s="50">
        <v>0</v>
      </c>
      <c r="K430" s="50">
        <v>0</v>
      </c>
      <c r="L430" s="50">
        <v>0</v>
      </c>
      <c r="M430" s="50">
        <v>0</v>
      </c>
      <c r="N430" s="50">
        <v>1</v>
      </c>
      <c r="O430" s="50">
        <v>0</v>
      </c>
      <c r="P430" s="50">
        <v>0</v>
      </c>
      <c r="Q430" s="50">
        <v>0</v>
      </c>
      <c r="R430" s="50">
        <v>0</v>
      </c>
      <c r="S430" s="50">
        <v>0</v>
      </c>
      <c r="T430" s="50">
        <v>0</v>
      </c>
      <c r="U430" s="50">
        <v>0</v>
      </c>
      <c r="V430" s="50">
        <v>0</v>
      </c>
      <c r="W430" s="50">
        <v>0</v>
      </c>
      <c r="X430" s="50">
        <v>0</v>
      </c>
      <c r="Y430" s="50">
        <v>0</v>
      </c>
      <c r="Z430" s="36"/>
      <c r="AA430" s="36"/>
      <c r="AB430" s="36"/>
      <c r="AC430" s="36"/>
      <c r="AD430" s="36"/>
      <c r="AE430" s="36"/>
      <c r="AF430" s="36"/>
      <c r="AG430" s="50">
        <f t="shared" si="162"/>
        <v>1</v>
      </c>
      <c r="AH430" s="30" t="str">
        <f t="shared" si="163"/>
        <v>ok</v>
      </c>
    </row>
    <row r="431" spans="1:34" x14ac:dyDescent="0.2">
      <c r="A431" s="14" t="s">
        <v>614</v>
      </c>
      <c r="C431" s="14" t="s">
        <v>615</v>
      </c>
      <c r="E431" s="234">
        <f>E429</f>
        <v>70644</v>
      </c>
      <c r="F431" s="50">
        <f t="shared" ref="F431:M431" si="172">F429</f>
        <v>65129</v>
      </c>
      <c r="G431" s="50">
        <f t="shared" si="172"/>
        <v>4875</v>
      </c>
      <c r="H431" s="50">
        <f t="shared" si="172"/>
        <v>446</v>
      </c>
      <c r="I431" s="50">
        <f t="shared" si="172"/>
        <v>1</v>
      </c>
      <c r="J431" s="50">
        <f t="shared" si="172"/>
        <v>2</v>
      </c>
      <c r="K431" s="50">
        <f t="shared" si="172"/>
        <v>9</v>
      </c>
      <c r="L431" s="50">
        <f t="shared" si="172"/>
        <v>142</v>
      </c>
      <c r="M431" s="36">
        <f t="shared" si="172"/>
        <v>17</v>
      </c>
      <c r="N431" s="36">
        <f>N429</f>
        <v>23</v>
      </c>
      <c r="O431" s="36">
        <f t="shared" ref="O431" si="173">O428</f>
        <v>0</v>
      </c>
      <c r="P431" s="36">
        <f>P429</f>
        <v>0</v>
      </c>
      <c r="Q431" s="50">
        <f>Q426/12*2.11</f>
        <v>0</v>
      </c>
      <c r="R431" s="50">
        <f>R426/12*2.11</f>
        <v>0</v>
      </c>
      <c r="S431" s="50">
        <f>S429</f>
        <v>0</v>
      </c>
      <c r="T431" s="50">
        <f>T429</f>
        <v>0</v>
      </c>
      <c r="U431" s="50">
        <f>U429</f>
        <v>0</v>
      </c>
      <c r="V431" s="50">
        <v>0</v>
      </c>
      <c r="W431" s="50">
        <v>0</v>
      </c>
      <c r="X431" s="50">
        <v>0</v>
      </c>
      <c r="Y431" s="50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0</v>
      </c>
      <c r="AE431" s="36">
        <v>0</v>
      </c>
      <c r="AF431" s="36">
        <v>0</v>
      </c>
      <c r="AG431" s="50">
        <f t="shared" si="162"/>
        <v>70644</v>
      </c>
      <c r="AH431" s="30" t="str">
        <f t="shared" si="163"/>
        <v>ok</v>
      </c>
    </row>
    <row r="432" spans="1:34" x14ac:dyDescent="0.2">
      <c r="A432" s="14" t="s">
        <v>470</v>
      </c>
      <c r="C432" s="14" t="s">
        <v>616</v>
      </c>
      <c r="E432" s="234">
        <f>E431</f>
        <v>70644</v>
      </c>
      <c r="F432" s="50">
        <f t="shared" ref="F432:P432" si="174">F431</f>
        <v>65129</v>
      </c>
      <c r="G432" s="50">
        <f t="shared" si="174"/>
        <v>4875</v>
      </c>
      <c r="H432" s="50">
        <f t="shared" si="174"/>
        <v>446</v>
      </c>
      <c r="I432" s="50">
        <f t="shared" si="174"/>
        <v>1</v>
      </c>
      <c r="J432" s="50">
        <f t="shared" si="174"/>
        <v>2</v>
      </c>
      <c r="K432" s="50">
        <f t="shared" si="174"/>
        <v>9</v>
      </c>
      <c r="L432" s="50">
        <f t="shared" si="174"/>
        <v>142</v>
      </c>
      <c r="M432" s="50">
        <f t="shared" si="174"/>
        <v>17</v>
      </c>
      <c r="N432" s="50">
        <f t="shared" si="174"/>
        <v>23</v>
      </c>
      <c r="O432" s="50">
        <f t="shared" si="174"/>
        <v>0</v>
      </c>
      <c r="P432" s="50">
        <f t="shared" si="174"/>
        <v>0</v>
      </c>
      <c r="Q432" s="36">
        <f t="shared" ref="Q432" si="175">Q428</f>
        <v>0</v>
      </c>
      <c r="R432" s="36">
        <f>R428</f>
        <v>0</v>
      </c>
      <c r="S432" s="50">
        <f>S428</f>
        <v>0</v>
      </c>
      <c r="T432" s="50">
        <v>0</v>
      </c>
      <c r="U432" s="50">
        <v>0</v>
      </c>
      <c r="V432" s="50">
        <v>0</v>
      </c>
      <c r="W432" s="50">
        <v>0</v>
      </c>
      <c r="X432" s="50">
        <v>0</v>
      </c>
      <c r="Y432" s="50">
        <v>0</v>
      </c>
      <c r="Z432" s="36"/>
      <c r="AA432" s="36"/>
      <c r="AB432" s="36"/>
      <c r="AC432" s="36"/>
      <c r="AD432" s="36"/>
      <c r="AE432" s="36"/>
      <c r="AF432" s="36"/>
      <c r="AG432" s="50">
        <f t="shared" si="162"/>
        <v>70644</v>
      </c>
      <c r="AH432" s="30" t="str">
        <f t="shared" si="163"/>
        <v>ok</v>
      </c>
    </row>
    <row r="434" spans="1:34" x14ac:dyDescent="0.2">
      <c r="A434" s="14" t="s">
        <v>689</v>
      </c>
      <c r="C434" s="14" t="s">
        <v>962</v>
      </c>
      <c r="E434" s="234">
        <f>'Billing Det'!$K$25</f>
        <v>2417265.9999339683</v>
      </c>
      <c r="F434" s="50">
        <f>'Billing Det'!$K$8</f>
        <v>1860019.0197614997</v>
      </c>
      <c r="G434" s="50">
        <f>'Billing Det'!$K$9</f>
        <v>0</v>
      </c>
      <c r="H434" s="50">
        <f>'Billing Det'!$K$10</f>
        <v>279127.08015072963</v>
      </c>
      <c r="I434" s="50">
        <f>'Billing Det'!$K$11</f>
        <v>9605.3434619815671</v>
      </c>
      <c r="J434" s="50">
        <f>'Billing Det'!$K$12</f>
        <v>89981.243257168477</v>
      </c>
      <c r="K434" s="50">
        <f>'Billing Det'!$K$13</f>
        <v>123176.90394713261</v>
      </c>
      <c r="L434" s="50">
        <f>'Billing Det'!$K$14</f>
        <v>18372.174475966465</v>
      </c>
      <c r="M434" s="50">
        <f>'Billing Det'!$K$15</f>
        <v>18828.890351839662</v>
      </c>
      <c r="N434" s="50">
        <f>'Billing Det'!$K$16</f>
        <v>18155.344527649773</v>
      </c>
      <c r="O434" s="50">
        <f>'Billing Det'!$K$17</f>
        <v>0</v>
      </c>
      <c r="P434" s="50">
        <f>'Billing Det'!$K$18</f>
        <v>0</v>
      </c>
      <c r="Q434" s="50">
        <f>'Billing Det'!$K$19</f>
        <v>0</v>
      </c>
      <c r="R434" s="50">
        <f>'Billing Det'!$K$20</f>
        <v>0</v>
      </c>
      <c r="S434" s="50">
        <f>'Billing Det'!$K$21</f>
        <v>0</v>
      </c>
      <c r="T434" s="50">
        <f>'Billing Det'!$K$22</f>
        <v>0</v>
      </c>
      <c r="U434" s="50">
        <f>'Billing Det'!$K$23</f>
        <v>0</v>
      </c>
      <c r="V434" s="50">
        <v>0</v>
      </c>
      <c r="W434" s="50">
        <v>0</v>
      </c>
      <c r="X434" s="50">
        <v>0</v>
      </c>
      <c r="Y434" s="50">
        <v>0</v>
      </c>
      <c r="Z434" s="50">
        <v>0</v>
      </c>
      <c r="AA434" s="50">
        <v>0</v>
      </c>
      <c r="AB434" s="50">
        <v>0</v>
      </c>
      <c r="AC434" s="50">
        <v>0</v>
      </c>
      <c r="AD434" s="50">
        <v>0</v>
      </c>
      <c r="AE434" s="50"/>
      <c r="AF434" s="50"/>
      <c r="AG434" s="93">
        <f>SUM(F434:AF434)</f>
        <v>2417265.9999339683</v>
      </c>
      <c r="AH434" s="30" t="str">
        <f>IF(ABS(E434-AG434)&lt;0.01,"ok","err")</f>
        <v>ok</v>
      </c>
    </row>
    <row r="435" spans="1:34" x14ac:dyDescent="0.2">
      <c r="A435" s="14" t="s">
        <v>690</v>
      </c>
      <c r="C435" s="14" t="s">
        <v>963</v>
      </c>
      <c r="E435" s="234">
        <f>'Billing Det'!$J$25</f>
        <v>687398.99997512659</v>
      </c>
      <c r="F435" s="50">
        <f>'Billing Det'!$J$8</f>
        <v>516655.63246531255</v>
      </c>
      <c r="G435" s="50">
        <f>'Billing Det'!$J$9</f>
        <v>0</v>
      </c>
      <c r="H435" s="50">
        <f>'Billing Det'!$J$10</f>
        <v>97775.687701612915</v>
      </c>
      <c r="I435" s="50">
        <f>'Billing Det'!$J$11</f>
        <v>3874.7220878136204</v>
      </c>
      <c r="J435" s="50">
        <f>'Billing Det'!$J$12</f>
        <v>30796.306287335719</v>
      </c>
      <c r="K435" s="50">
        <f>'Billing Det'!$J$13</f>
        <v>30722.32966845878</v>
      </c>
      <c r="L435" s="50">
        <f>'Billing Det'!$J$14</f>
        <v>5388.3578629032254</v>
      </c>
      <c r="M435" s="50">
        <f>'Billing Det'!$J$15</f>
        <v>2185.9639016897081</v>
      </c>
      <c r="N435" s="50">
        <f>'Billing Det'!$J$16</f>
        <v>0</v>
      </c>
      <c r="O435" s="50">
        <f>'Billing Det'!$J$17</f>
        <v>0</v>
      </c>
      <c r="P435" s="50">
        <f>'Billing Det'!$J$18</f>
        <v>0</v>
      </c>
      <c r="Q435" s="50">
        <f>'Billing Det'!$J$19</f>
        <v>0</v>
      </c>
      <c r="R435" s="50">
        <f>'Billing Det'!$J$20</f>
        <v>0</v>
      </c>
      <c r="S435" s="50">
        <f>'Billing Det'!$J$21</f>
        <v>0</v>
      </c>
      <c r="T435" s="50">
        <f>'Billing Det'!$J$22</f>
        <v>0</v>
      </c>
      <c r="U435" s="50">
        <f>'Billing Det'!$J$23</f>
        <v>0</v>
      </c>
      <c r="V435" s="50">
        <v>0</v>
      </c>
      <c r="W435" s="50">
        <v>0</v>
      </c>
      <c r="X435" s="50">
        <v>0</v>
      </c>
      <c r="Y435" s="50">
        <v>0</v>
      </c>
      <c r="Z435" s="50">
        <v>0</v>
      </c>
      <c r="AA435" s="50">
        <v>0</v>
      </c>
      <c r="AB435" s="50">
        <v>0</v>
      </c>
      <c r="AC435" s="50">
        <v>0</v>
      </c>
      <c r="AD435" s="50">
        <v>0</v>
      </c>
      <c r="AE435" s="50"/>
      <c r="AF435" s="50"/>
      <c r="AG435" s="93">
        <f>SUM(F435:AF435)</f>
        <v>687398.99997512659</v>
      </c>
      <c r="AH435" s="30" t="str">
        <f>IF(ABS(E435-AG435)&lt;0.01,"ok","err")</f>
        <v>ok</v>
      </c>
    </row>
    <row r="436" spans="1:34" x14ac:dyDescent="0.2">
      <c r="A436" s="14" t="s">
        <v>890</v>
      </c>
      <c r="C436" s="14" t="s">
        <v>961</v>
      </c>
      <c r="E436" s="234">
        <f>'Billing Det'!$I$25</f>
        <v>3104664.9999090945</v>
      </c>
      <c r="F436" s="50">
        <f>'Billing Det'!$I$8</f>
        <v>2376674.6522268122</v>
      </c>
      <c r="G436" s="50">
        <f>'Billing Det'!$I$9</f>
        <v>0</v>
      </c>
      <c r="H436" s="50">
        <f>'Billing Det'!$I$10</f>
        <v>376902.76785234257</v>
      </c>
      <c r="I436" s="50">
        <f>'Billing Det'!$I$11</f>
        <v>13480.065549795188</v>
      </c>
      <c r="J436" s="50">
        <f>'Billing Det'!$I$12</f>
        <v>120777.5495445042</v>
      </c>
      <c r="K436" s="50">
        <f>'Billing Det'!$I$13</f>
        <v>153899.23361559139</v>
      </c>
      <c r="L436" s="50">
        <f>'Billing Det'!$I$14</f>
        <v>23760.532338869689</v>
      </c>
      <c r="M436" s="50">
        <f>'Billing Det'!$I$15</f>
        <v>21014.854253529371</v>
      </c>
      <c r="N436" s="50">
        <f>'Billing Det'!$I$16</f>
        <v>18155.344527649773</v>
      </c>
      <c r="O436" s="50">
        <f>'Billing Det'!$I$17</f>
        <v>0</v>
      </c>
      <c r="P436" s="50">
        <f>'Billing Det'!$I$18</f>
        <v>0</v>
      </c>
      <c r="Q436" s="50">
        <f>'Billing Det'!$I$19</f>
        <v>0</v>
      </c>
      <c r="R436" s="50">
        <f>'Billing Det'!$I$20</f>
        <v>0</v>
      </c>
      <c r="S436" s="50">
        <f>'Billing Det'!$I$21</f>
        <v>0</v>
      </c>
      <c r="T436" s="50">
        <f>'Billing Det'!$I$22</f>
        <v>0</v>
      </c>
      <c r="U436" s="50">
        <f>'Billing Det'!$I$23</f>
        <v>0</v>
      </c>
      <c r="V436" s="50">
        <v>0</v>
      </c>
      <c r="W436" s="50">
        <v>0</v>
      </c>
      <c r="X436" s="50">
        <v>0</v>
      </c>
      <c r="Y436" s="50">
        <v>0</v>
      </c>
      <c r="Z436" s="50">
        <v>0</v>
      </c>
      <c r="AA436" s="50">
        <v>0</v>
      </c>
      <c r="AB436" s="50">
        <v>0</v>
      </c>
      <c r="AC436" s="50">
        <v>0</v>
      </c>
      <c r="AD436" s="50">
        <v>0</v>
      </c>
      <c r="AE436" s="50"/>
      <c r="AF436" s="50"/>
      <c r="AG436" s="93">
        <f>SUM(F436:AF436)</f>
        <v>3104664.9999090945</v>
      </c>
      <c r="AH436" s="30" t="str">
        <f>IF(ABS(E436-AG436)&lt;0.01,"ok","err")</f>
        <v>ok</v>
      </c>
    </row>
    <row r="437" spans="1:34" x14ac:dyDescent="0.2">
      <c r="A437" s="14" t="s">
        <v>691</v>
      </c>
      <c r="C437" s="14" t="s">
        <v>566</v>
      </c>
      <c r="E437" s="234">
        <f>'Billing Det'!$H$25</f>
        <v>557119.99271756539</v>
      </c>
      <c r="F437" s="50">
        <f>'Billing Det'!$H$8</f>
        <v>418305.5674812065</v>
      </c>
      <c r="G437" s="50">
        <f>'Billing Det'!$H$9</f>
        <v>27454.960856162288</v>
      </c>
      <c r="H437" s="50">
        <f>'Billing Det'!$H$10</f>
        <v>50926.967261904763</v>
      </c>
      <c r="I437" s="50">
        <f>'Billing Det'!$H$11</f>
        <v>2509.5509259259261</v>
      </c>
      <c r="J437" s="50">
        <f>'Billing Det'!$H$12</f>
        <v>16977.21064814815</v>
      </c>
      <c r="K437" s="50">
        <f>'Billing Det'!$H$13</f>
        <v>27305.943452380954</v>
      </c>
      <c r="L437" s="50">
        <f>'Billing Det'!$H$14</f>
        <v>4935.3571428571422</v>
      </c>
      <c r="M437" s="50">
        <f>'Billing Det'!$H$15</f>
        <v>5453.74149659864</v>
      </c>
      <c r="N437" s="50">
        <f>'Billing Det'!$H$16</f>
        <v>3250.6934523809523</v>
      </c>
      <c r="O437" s="50">
        <f>'Billing Det'!$H$17</f>
        <v>0</v>
      </c>
      <c r="P437" s="50">
        <f>'Billing Det'!$H$18</f>
        <v>0</v>
      </c>
      <c r="Q437" s="50">
        <f>'Billing Det'!$H$19</f>
        <v>0</v>
      </c>
      <c r="R437" s="50">
        <f>'Billing Det'!$H$20</f>
        <v>0</v>
      </c>
      <c r="S437" s="50">
        <f>'Billing Det'!$H$21</f>
        <v>0</v>
      </c>
      <c r="T437" s="50">
        <f>'Billing Det'!$H$22</f>
        <v>0</v>
      </c>
      <c r="U437" s="50">
        <f>'Billing Det'!$H$23</f>
        <v>0</v>
      </c>
      <c r="V437" s="50">
        <v>0</v>
      </c>
      <c r="W437" s="50">
        <v>0</v>
      </c>
      <c r="X437" s="50">
        <v>0</v>
      </c>
      <c r="Y437" s="50">
        <v>0</v>
      </c>
      <c r="Z437" s="50">
        <v>0</v>
      </c>
      <c r="AA437" s="50">
        <v>0</v>
      </c>
      <c r="AB437" s="50">
        <v>0</v>
      </c>
      <c r="AC437" s="50">
        <v>0</v>
      </c>
      <c r="AD437" s="50">
        <v>0</v>
      </c>
      <c r="AE437" s="50"/>
      <c r="AF437" s="50"/>
      <c r="AG437" s="93">
        <f>SUM(F437:AF437)</f>
        <v>557119.99271756539</v>
      </c>
      <c r="AH437" s="30" t="str">
        <f>IF(ABS(E437-AG437)&lt;0.01,"ok","err")</f>
        <v>ok</v>
      </c>
    </row>
    <row r="438" spans="1:34" x14ac:dyDescent="0.2">
      <c r="A438" s="14" t="s">
        <v>745</v>
      </c>
      <c r="C438" s="14" t="s">
        <v>891</v>
      </c>
      <c r="E438" s="234">
        <f>'Billing Det'!$F$25</f>
        <v>7399616.3547002124</v>
      </c>
      <c r="F438" s="50">
        <f>'Billing Det'!$F$8</f>
        <v>5856627.3154726354</v>
      </c>
      <c r="G438" s="50">
        <f>'Billing Det'!$F$9</f>
        <v>417502.61032358243</v>
      </c>
      <c r="H438" s="50">
        <f>'Billing Det'!$F$10</f>
        <v>607687.66299999983</v>
      </c>
      <c r="I438" s="50">
        <f>'Billing Det'!$F$11</f>
        <v>20871.838</v>
      </c>
      <c r="J438" s="50">
        <f>'Billing Det'!$F$12</f>
        <v>165995.31100000002</v>
      </c>
      <c r="K438" s="50">
        <f>'Billing Det'!$F$13</f>
        <v>179775.05000000002</v>
      </c>
      <c r="L438" s="50">
        <f>'Billing Det'!$F$14</f>
        <v>67432.462</v>
      </c>
      <c r="M438" s="50">
        <f>'Billing Det'!$F$15</f>
        <v>47446.58</v>
      </c>
      <c r="N438" s="50">
        <f>'Billing Det'!$F$16</f>
        <v>36277.524903993857</v>
      </c>
      <c r="O438" s="50">
        <f>'Billing Det'!$F$17</f>
        <v>0</v>
      </c>
      <c r="P438" s="50">
        <f>'Billing Det'!$F$18</f>
        <v>0</v>
      </c>
      <c r="Q438" s="50">
        <f>'Billing Det'!$F$19</f>
        <v>0</v>
      </c>
      <c r="R438" s="50">
        <f>'Billing Det'!$F$20</f>
        <v>0</v>
      </c>
      <c r="S438" s="50">
        <f>'Billing Det'!$F$21</f>
        <v>0</v>
      </c>
      <c r="T438" s="50">
        <f>'Billing Det'!$F$22</f>
        <v>0</v>
      </c>
      <c r="U438" s="50">
        <f>'Billing Det'!$F$23</f>
        <v>0</v>
      </c>
      <c r="V438" s="50">
        <v>0</v>
      </c>
      <c r="W438" s="50">
        <v>0</v>
      </c>
      <c r="X438" s="50">
        <v>0</v>
      </c>
      <c r="Y438" s="50">
        <v>0</v>
      </c>
      <c r="Z438" s="50">
        <v>0</v>
      </c>
      <c r="AA438" s="50">
        <v>0</v>
      </c>
      <c r="AB438" s="50">
        <v>0</v>
      </c>
      <c r="AC438" s="50">
        <v>0</v>
      </c>
      <c r="AD438" s="50">
        <v>0</v>
      </c>
      <c r="AE438" s="50"/>
      <c r="AF438" s="50"/>
      <c r="AG438" s="93">
        <f>SUM(F438:AF438)</f>
        <v>7399616.3547002124</v>
      </c>
      <c r="AH438" s="30" t="str">
        <f>IF(ABS(E438-AG438)&lt;0.01,"ok","err")</f>
        <v>ok</v>
      </c>
    </row>
    <row r="440" spans="1:34" x14ac:dyDescent="0.2">
      <c r="A440" s="28" t="s">
        <v>902</v>
      </c>
    </row>
    <row r="441" spans="1:34" x14ac:dyDescent="0.2">
      <c r="E441" s="234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30"/>
    </row>
    <row r="442" spans="1:34" x14ac:dyDescent="0.2">
      <c r="A442" s="14" t="s">
        <v>595</v>
      </c>
      <c r="C442" s="14" t="s">
        <v>596</v>
      </c>
      <c r="E442" s="234">
        <v>3104664.9999090945</v>
      </c>
      <c r="F442" s="50">
        <f t="shared" ref="F442:S442" si="176">F436</f>
        <v>2376674.6522268122</v>
      </c>
      <c r="G442" s="50">
        <f t="shared" si="176"/>
        <v>0</v>
      </c>
      <c r="H442" s="50">
        <f t="shared" si="176"/>
        <v>376902.76785234257</v>
      </c>
      <c r="I442" s="50">
        <f t="shared" si="176"/>
        <v>13480.065549795188</v>
      </c>
      <c r="J442" s="50">
        <f t="shared" si="176"/>
        <v>120777.5495445042</v>
      </c>
      <c r="K442" s="50">
        <f t="shared" si="176"/>
        <v>153899.23361559139</v>
      </c>
      <c r="L442" s="50">
        <f t="shared" si="176"/>
        <v>23760.532338869689</v>
      </c>
      <c r="M442" s="50">
        <f t="shared" si="176"/>
        <v>21014.854253529371</v>
      </c>
      <c r="N442" s="50">
        <f t="shared" si="176"/>
        <v>18155.344527649773</v>
      </c>
      <c r="O442" s="50">
        <f t="shared" si="176"/>
        <v>0</v>
      </c>
      <c r="P442" s="50">
        <f t="shared" si="176"/>
        <v>0</v>
      </c>
      <c r="Q442" s="50">
        <f t="shared" si="176"/>
        <v>0</v>
      </c>
      <c r="R442" s="50">
        <f t="shared" si="176"/>
        <v>0</v>
      </c>
      <c r="S442" s="50">
        <f t="shared" si="176"/>
        <v>0</v>
      </c>
      <c r="T442" s="50">
        <f t="shared" ref="T442:AF442" si="177">T437</f>
        <v>0</v>
      </c>
      <c r="U442" s="50">
        <f t="shared" si="177"/>
        <v>0</v>
      </c>
      <c r="V442" s="50">
        <f t="shared" si="177"/>
        <v>0</v>
      </c>
      <c r="W442" s="50">
        <f t="shared" si="177"/>
        <v>0</v>
      </c>
      <c r="X442" s="50">
        <f t="shared" si="177"/>
        <v>0</v>
      </c>
      <c r="Y442" s="50">
        <f t="shared" si="177"/>
        <v>0</v>
      </c>
      <c r="Z442" s="50">
        <f t="shared" si="177"/>
        <v>0</v>
      </c>
      <c r="AA442" s="50">
        <f t="shared" si="177"/>
        <v>0</v>
      </c>
      <c r="AB442" s="50">
        <f t="shared" si="177"/>
        <v>0</v>
      </c>
      <c r="AC442" s="50">
        <f t="shared" si="177"/>
        <v>0</v>
      </c>
      <c r="AD442" s="50">
        <f t="shared" si="177"/>
        <v>0</v>
      </c>
      <c r="AE442" s="50">
        <f t="shared" si="177"/>
        <v>0</v>
      </c>
      <c r="AF442" s="50">
        <f t="shared" si="177"/>
        <v>0</v>
      </c>
      <c r="AG442" s="50">
        <f>SUM(F442:AF442)</f>
        <v>3104664.9999090945</v>
      </c>
      <c r="AH442" s="30" t="str">
        <f t="shared" ref="AH442:AH447" si="178">IF(ABS(E442-AG442)&lt;0.01,"ok","err")</f>
        <v>ok</v>
      </c>
    </row>
    <row r="443" spans="1:34" x14ac:dyDescent="0.2">
      <c r="A443" s="14" t="s">
        <v>594</v>
      </c>
      <c r="E443" s="226">
        <f>'Func &amp; Classif'!K35</f>
        <v>0</v>
      </c>
      <c r="AG443" s="93">
        <f>E443</f>
        <v>0</v>
      </c>
      <c r="AH443" s="30" t="str">
        <f t="shared" si="178"/>
        <v>ok</v>
      </c>
    </row>
    <row r="444" spans="1:34" x14ac:dyDescent="0.2">
      <c r="A444" s="14" t="s">
        <v>592</v>
      </c>
      <c r="E444" s="233"/>
      <c r="M444" s="50">
        <v>0</v>
      </c>
      <c r="N444" s="50">
        <v>0</v>
      </c>
      <c r="O444" s="50"/>
      <c r="P444" s="50"/>
      <c r="AG444" s="93">
        <f>SUM(F444:AF444)</f>
        <v>0</v>
      </c>
      <c r="AH444" s="30" t="str">
        <f t="shared" si="178"/>
        <v>ok</v>
      </c>
    </row>
    <row r="445" spans="1:34" x14ac:dyDescent="0.2">
      <c r="A445" s="14" t="s">
        <v>593</v>
      </c>
      <c r="D445" s="14" t="s">
        <v>596</v>
      </c>
      <c r="E445" s="226">
        <f>E443-E444</f>
        <v>0</v>
      </c>
      <c r="F445" s="66">
        <f>IF(VLOOKUP($D445,$C$5:$AU$521,3,)=0,0,(VLOOKUP($D445,$C$5:$AU$521,4,)/VLOOKUP($D445,$C$5:$AU$521,3,))*$E445)</f>
        <v>0</v>
      </c>
      <c r="G445" s="66">
        <f>IF(VLOOKUP($D445,$C$5:$AU$521,3,)=0,0,(VLOOKUP($D445,$C$5:$AU$521,5,)/VLOOKUP($D445,$C$5:$AU$521,3,))*$E445)</f>
        <v>0</v>
      </c>
      <c r="H445" s="66">
        <f>IF(VLOOKUP($D445,$C$5:$AU$521,3,)=0,0,(VLOOKUP($D445,$C$5:$AU$521,6,)/VLOOKUP($D445,$C$5:$AU$521,3,))*$E445)</f>
        <v>0</v>
      </c>
      <c r="I445" s="66">
        <f>IF(VLOOKUP($D445,$C$5:$AU$521,3,)=0,0,(VLOOKUP($D445,$C$5:$AU$521,7,)/VLOOKUP($D445,$C$5:$AU$521,3,))*$E445)</f>
        <v>0</v>
      </c>
      <c r="J445" s="66">
        <f>IF(VLOOKUP($D445,$C$5:$AU$521,3,)=0,0,(VLOOKUP($D445,$C$5:$AU$521,8,)/VLOOKUP($D445,$C$5:$AU$521,3,))*$E445)</f>
        <v>0</v>
      </c>
      <c r="K445" s="66">
        <f>IF(VLOOKUP($D445,$C$5:$AU$521,3,)=0,0,(VLOOKUP($D445,$C$5:$AU$521,9,)/VLOOKUP($D445,$C$5:$AU$521,3,))*$E445)</f>
        <v>0</v>
      </c>
      <c r="L445" s="66">
        <f>IF(VLOOKUP($D445,$C$5:$AU$521,3,)=0,0,(VLOOKUP($D445,$C$5:$AU$521,10,)/VLOOKUP($D445,$C$5:$AU$521,3,))*$E445)</f>
        <v>0</v>
      </c>
      <c r="M445" s="66">
        <f>IF(VLOOKUP($D445,$C$5:$AU$521,3,)=0,0,(VLOOKUP($D445,$C$5:$AU$521,11,)/VLOOKUP($D445,$C$5:$AU$521,3,))*$E445)</f>
        <v>0</v>
      </c>
      <c r="N445" s="66">
        <f>IF(VLOOKUP($D445,$C$5:$AU$521,3,)=0,0,(VLOOKUP($D445,$C$5:$AU$521,12,)/VLOOKUP($D445,$C$5:$AU$521,3,))*$E445)</f>
        <v>0</v>
      </c>
      <c r="O445" s="66">
        <f>IF(VLOOKUP($D445,$C$5:$AU$521,3,)=0,0,(VLOOKUP($D445,$C$5:$AU$521,13,)/VLOOKUP($D445,$C$5:$AU$521,3,))*$E445)</f>
        <v>0</v>
      </c>
      <c r="P445" s="66">
        <f>IF(VLOOKUP($D445,$C$5:$AU$521,3,)=0,0,(VLOOKUP($D445,$C$5:$AU$521,14,)/VLOOKUP($D445,$C$5:$AU$521,3,))*$E445)</f>
        <v>0</v>
      </c>
      <c r="Q445" s="66">
        <f>IF(VLOOKUP($D445,$C$5:$AU$521,3,)=0,0,(VLOOKUP($D445,$C$5:$AU$521,15,)/VLOOKUP($D445,$C$5:$AU$521,3,))*$E445)</f>
        <v>0</v>
      </c>
      <c r="R445" s="66">
        <f>IF(VLOOKUP($D445,$C$5:$AU$521,3,)=0,0,(VLOOKUP($D445,$C$5:$AU$521,16,)/VLOOKUP($D445,$C$5:$AU$521,3,))*$E445)</f>
        <v>0</v>
      </c>
      <c r="S445" s="66">
        <f>IF(VLOOKUP($D445,$C$5:$AU$521,3,)=0,0,(VLOOKUP($D445,$C$5:$AU$521,17,)/VLOOKUP($D445,$C$5:$AU$521,3,))*$E445)</f>
        <v>0</v>
      </c>
      <c r="T445" s="66">
        <f>IF(VLOOKUP($D445,$C$5:$AU$521,3,)=0,0,(VLOOKUP($D445,$C$5:$AU$521,18,)/VLOOKUP($D445,$C$5:$AU$521,3,))*$E445)</f>
        <v>0</v>
      </c>
      <c r="U445" s="66">
        <f>IF(VLOOKUP($D445,$C$5:$AU$521,3,)=0,0,(VLOOKUP($D445,$C$5:$AU$521,19,)/VLOOKUP($D445,$C$5:$AU$521,3,))*$E445)</f>
        <v>0</v>
      </c>
      <c r="V445" s="66">
        <f>IF(VLOOKUP($D445,$C$5:$AU$521,3,)=0,0,(VLOOKUP($D445,$C$5:$AU$521,20,)/VLOOKUP($D445,$C$5:$AU$521,3,))*$E445)</f>
        <v>0</v>
      </c>
      <c r="W445" s="66">
        <f>IF(VLOOKUP($D445,$C$5:$AU$521,3,)=0,0,(VLOOKUP($D445,$C$5:$AU$521,21,)/VLOOKUP($D445,$C$5:$AU$521,3,))*$E445)</f>
        <v>0</v>
      </c>
      <c r="X445" s="66">
        <f>IF(VLOOKUP($D445,$C$5:$AU$521,3,)=0,0,(VLOOKUP($D445,$C$5:$AU$521,22,)/VLOOKUP($D445,$C$5:$AU$521,3,))*$E445)</f>
        <v>0</v>
      </c>
      <c r="Y445" s="66">
        <f>IF(VLOOKUP($D445,$C$5:$AU$521,3,)=0,0,(VLOOKUP($D445,$C$5:$AU$521,23,)/VLOOKUP($D445,$C$5:$AU$521,3,))*$E445)</f>
        <v>0</v>
      </c>
      <c r="Z445" s="66">
        <f>IF(VLOOKUP($D445,$C$5:$AU$521,3,)=0,0,(VLOOKUP($D445,$C$5:$AU$521,24,)/VLOOKUP($D445,$C$5:$AU$521,3,))*$E445)</f>
        <v>0</v>
      </c>
      <c r="AA445" s="66">
        <f>IF(VLOOKUP($D445,$C$5:$AU$521,3,)=0,0,(VLOOKUP($D445,$C$5:$AU$521,25,)/VLOOKUP($D445,$C$5:$AU$521,3,))*$E445)</f>
        <v>0</v>
      </c>
      <c r="AB445" s="66">
        <f>IF(VLOOKUP($D445,$C$5:$AU$521,3,)=0,0,(VLOOKUP($D445,$C$5:$AU$521,26,)/VLOOKUP($D445,$C$5:$AU$521,3,))*$E445)</f>
        <v>0</v>
      </c>
      <c r="AC445" s="66">
        <f>IF(VLOOKUP($D445,$C$5:$AU$521,3,)=0,0,(VLOOKUP($D445,$C$5:$AU$521,27,)/VLOOKUP($D445,$C$5:$AU$521,3,))*$E445)</f>
        <v>0</v>
      </c>
      <c r="AD445" s="66">
        <f>IF(VLOOKUP($D445,$C$5:$AU$521,3,)=0,0,(VLOOKUP($D445,$C$5:$AU$521,28,)/VLOOKUP($D445,$C$5:$AU$521,3,))*$E445)</f>
        <v>0</v>
      </c>
      <c r="AE445" s="66">
        <f>IF(VLOOKUP($D445,$C$5:$AU$521,3,)=0,0,(VLOOKUP($D445,$C$5:$AU$521,29,)/VLOOKUP($D445,$C$5:$AU$521,3,))*$E445)</f>
        <v>0</v>
      </c>
      <c r="AF445" s="66">
        <f>IF(VLOOKUP($D445,$C$5:$AU$521,3,)=0,0,(VLOOKUP($D445,$C$5:$AU$521,30,)/VLOOKUP($D445,$C$5:$AU$521,3,))*$E445)</f>
        <v>0</v>
      </c>
      <c r="AG445" s="93">
        <f>SUM(F445:AF445)</f>
        <v>0</v>
      </c>
      <c r="AH445" s="30" t="str">
        <f t="shared" si="178"/>
        <v>ok</v>
      </c>
    </row>
    <row r="446" spans="1:34" x14ac:dyDescent="0.2">
      <c r="A446" s="14" t="s">
        <v>598</v>
      </c>
      <c r="C446" s="14" t="s">
        <v>597</v>
      </c>
      <c r="E446" s="226">
        <f>E444+E445</f>
        <v>0</v>
      </c>
      <c r="F446" s="93">
        <f t="shared" ref="F446:U446" si="179">F444+F445</f>
        <v>0</v>
      </c>
      <c r="G446" s="93">
        <f t="shared" si="179"/>
        <v>0</v>
      </c>
      <c r="H446" s="93">
        <f t="shared" si="179"/>
        <v>0</v>
      </c>
      <c r="I446" s="93">
        <f t="shared" si="179"/>
        <v>0</v>
      </c>
      <c r="J446" s="93">
        <f t="shared" si="179"/>
        <v>0</v>
      </c>
      <c r="K446" s="93">
        <f t="shared" si="179"/>
        <v>0</v>
      </c>
      <c r="L446" s="93">
        <f t="shared" si="179"/>
        <v>0</v>
      </c>
      <c r="M446" s="93">
        <f t="shared" si="179"/>
        <v>0</v>
      </c>
      <c r="N446" s="93">
        <f t="shared" si="179"/>
        <v>0</v>
      </c>
      <c r="O446" s="93">
        <f t="shared" si="179"/>
        <v>0</v>
      </c>
      <c r="P446" s="93">
        <f t="shared" si="179"/>
        <v>0</v>
      </c>
      <c r="Q446" s="93">
        <f t="shared" si="179"/>
        <v>0</v>
      </c>
      <c r="R446" s="93">
        <f t="shared" si="179"/>
        <v>0</v>
      </c>
      <c r="S446" s="93">
        <f t="shared" si="179"/>
        <v>0</v>
      </c>
      <c r="T446" s="93">
        <f t="shared" si="179"/>
        <v>0</v>
      </c>
      <c r="U446" s="93">
        <f t="shared" si="179"/>
        <v>0</v>
      </c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>
        <f>SUM(F446:AF446)</f>
        <v>0</v>
      </c>
      <c r="AH446" s="30" t="str">
        <f t="shared" si="178"/>
        <v>ok</v>
      </c>
    </row>
    <row r="447" spans="1:34" x14ac:dyDescent="0.2">
      <c r="A447" s="14" t="s">
        <v>621</v>
      </c>
      <c r="C447" s="14" t="s">
        <v>599</v>
      </c>
      <c r="D447" s="14" t="s">
        <v>597</v>
      </c>
      <c r="E447" s="248">
        <v>0</v>
      </c>
      <c r="F447" s="101">
        <f>IF(VLOOKUP($D447,$C$5:$AU$521,3,)=0,0,(VLOOKUP($D447,$C$5:$AU$521,4,)/VLOOKUP($D447,$C$5:$AU$521,3,))*$E447)</f>
        <v>0</v>
      </c>
      <c r="G447" s="101">
        <f>IF(VLOOKUP($D447,$C$5:$AU$521,3,)=0,0,(VLOOKUP($D447,$C$5:$AU$521,5,)/VLOOKUP($D447,$C$5:$AU$521,3,))*$E447)</f>
        <v>0</v>
      </c>
      <c r="H447" s="101">
        <f>IF(VLOOKUP($D447,$C$5:$AU$521,3,)=0,0,(VLOOKUP($D447,$C$5:$AU$521,6,)/VLOOKUP($D447,$C$5:$AU$521,3,))*$E447)</f>
        <v>0</v>
      </c>
      <c r="I447" s="101">
        <f>IF(VLOOKUP($D447,$C$5:$AU$521,3,)=0,0,(VLOOKUP($D447,$C$5:$AU$521,7,)/VLOOKUP($D447,$C$5:$AU$521,3,))*$E447)</f>
        <v>0</v>
      </c>
      <c r="J447" s="101">
        <f>IF(VLOOKUP($D447,$C$5:$AU$521,3,)=0,0,(VLOOKUP($D447,$C$5:$AU$521,8,)/VLOOKUP($D447,$C$5:$AU$521,3,))*$E447)</f>
        <v>0</v>
      </c>
      <c r="K447" s="101">
        <f>IF(VLOOKUP($D447,$C$5:$AU$521,3,)=0,0,(VLOOKUP($D447,$C$5:$AU$521,9,)/VLOOKUP($D447,$C$5:$AU$521,3,))*$E447)</f>
        <v>0</v>
      </c>
      <c r="L447" s="101">
        <f>IF(VLOOKUP($D447,$C$5:$AU$521,3,)=0,0,(VLOOKUP($D447,$C$5:$AU$521,10,)/VLOOKUP($D447,$C$5:$AU$521,3,))*$E447)</f>
        <v>0</v>
      </c>
      <c r="M447" s="101">
        <f>IF(VLOOKUP($D447,$C$5:$AU$521,3,)=0,0,(VLOOKUP($D447,$C$5:$AU$521,11,)/VLOOKUP($D447,$C$5:$AU$521,3,))*$E447)</f>
        <v>0</v>
      </c>
      <c r="N447" s="101">
        <f>IF(VLOOKUP($D447,$C$5:$AU$521,3,)=0,0,(VLOOKUP($D447,$C$5:$AU$521,12,)/VLOOKUP($D447,$C$5:$AU$521,3,))*$E447)</f>
        <v>0</v>
      </c>
      <c r="O447" s="101">
        <f>IF(VLOOKUP($D447,$C$5:$AU$521,3,)=0,0,(VLOOKUP($D447,$C$5:$AU$521,13,)/VLOOKUP($D447,$C$5:$AU$521,3,))*$E447)</f>
        <v>0</v>
      </c>
      <c r="P447" s="101">
        <f>IF(VLOOKUP($D447,$C$5:$AU$521,3,)=0,0,(VLOOKUP($D447,$C$5:$AU$521,14,)/VLOOKUP($D447,$C$5:$AU$521,3,))*$E447)</f>
        <v>0</v>
      </c>
      <c r="Q447" s="101">
        <f>IF(VLOOKUP($D447,$C$5:$AU$521,3,)=0,0,(VLOOKUP($D447,$C$5:$AU$521,15,)/VLOOKUP($D447,$C$5:$AU$521,3,))*$E447)</f>
        <v>0</v>
      </c>
      <c r="R447" s="101">
        <f>IF(VLOOKUP($D447,$C$5:$AU$521,3,)=0,0,(VLOOKUP($D447,$C$5:$AU$521,16,)/VLOOKUP($D447,$C$5:$AU$521,3,))*$E447)</f>
        <v>0</v>
      </c>
      <c r="S447" s="101">
        <f>IF(VLOOKUP($D447,$C$5:$AU$521,3,)=0,0,(VLOOKUP($D447,$C$5:$AU$521,17,)/VLOOKUP($D447,$C$5:$AU$521,3,))*$E447)</f>
        <v>0</v>
      </c>
      <c r="T447" s="101">
        <f>IF(VLOOKUP($D447,$C$5:$AU$521,3,)=0,0,(VLOOKUP($D447,$C$5:$AU$521,18,)/VLOOKUP($D447,$C$5:$AU$521,3,))*$E447)</f>
        <v>0</v>
      </c>
      <c r="U447" s="101">
        <f>IF(VLOOKUP($D447,$C$5:$AU$521,3,)=0,0,(VLOOKUP($D447,$C$5:$AU$521,19,)/VLOOKUP($D447,$C$5:$AU$521,3,))*$E447)</f>
        <v>0</v>
      </c>
      <c r="V447" s="101">
        <f>IF(VLOOKUP($D447,$C$5:$AU$521,3,)=0,0,(VLOOKUP($D447,$C$5:$AU$521,20,)/VLOOKUP($D447,$C$5:$AU$521,3,))*$E447)</f>
        <v>0</v>
      </c>
      <c r="W447" s="101">
        <f>IF(VLOOKUP($D447,$C$5:$AU$521,3,)=0,0,(VLOOKUP($D447,$C$5:$AU$521,21,)/VLOOKUP($D447,$C$5:$AU$521,3,))*$E447)</f>
        <v>0</v>
      </c>
      <c r="X447" s="101">
        <f>IF(VLOOKUP($D447,$C$5:$AU$521,3,)=0,0,(VLOOKUP($D447,$C$5:$AU$521,22,)/VLOOKUP($D447,$C$5:$AU$521,3,))*$E447)</f>
        <v>0</v>
      </c>
      <c r="Y447" s="101">
        <f>IF(VLOOKUP($D447,$C$5:$AU$521,3,)=0,0,(VLOOKUP($D447,$C$5:$AU$521,23,)/VLOOKUP($D447,$C$5:$AU$521,3,))*$E447)</f>
        <v>0</v>
      </c>
      <c r="Z447" s="101">
        <f>IF(VLOOKUP($D447,$C$5:$AU$521,3,)=0,0,(VLOOKUP($D447,$C$5:$AU$521,24,)/VLOOKUP($D447,$C$5:$AU$521,3,))*$E447)</f>
        <v>0</v>
      </c>
      <c r="AA447" s="101">
        <f>IF(VLOOKUP($D447,$C$5:$AU$521,3,)=0,0,(VLOOKUP($D447,$C$5:$AU$521,25,)/VLOOKUP($D447,$C$5:$AU$521,3,))*$E447)</f>
        <v>0</v>
      </c>
      <c r="AB447" s="101">
        <f>IF(VLOOKUP($D447,$C$5:$AU$521,3,)=0,0,(VLOOKUP($D447,$C$5:$AU$521,26,)/VLOOKUP($D447,$C$5:$AU$521,3,))*$E447)</f>
        <v>0</v>
      </c>
      <c r="AC447" s="101">
        <f>IF(VLOOKUP($D447,$C$5:$AU$521,3,)=0,0,(VLOOKUP($D447,$C$5:$AU$521,27,)/VLOOKUP($D447,$C$5:$AU$521,3,))*$E447)</f>
        <v>0</v>
      </c>
      <c r="AD447" s="101">
        <f>IF(VLOOKUP($D447,$C$5:$AU$521,3,)=0,0,(VLOOKUP($D447,$C$5:$AU$521,28,)/VLOOKUP($D447,$C$5:$AU$521,3,))*$E447)</f>
        <v>0</v>
      </c>
      <c r="AE447" s="101">
        <f>IF(VLOOKUP($D447,$C$5:$AU$521,3,)=0,0,(VLOOKUP($D447,$C$5:$AU$521,29,)/VLOOKUP($D447,$C$5:$AU$521,3,))*$E447)</f>
        <v>0</v>
      </c>
      <c r="AF447" s="101">
        <f>IF(VLOOKUP($D447,$C$5:$AU$521,3,)=0,0,(VLOOKUP($D447,$C$5:$AU$521,30,)/VLOOKUP($D447,$C$5:$AU$521,3,))*$E447)</f>
        <v>0</v>
      </c>
      <c r="AG447" s="101">
        <f>SUM(F447:AF447)</f>
        <v>0</v>
      </c>
      <c r="AH447" s="30" t="str">
        <f t="shared" si="178"/>
        <v>ok</v>
      </c>
    </row>
    <row r="448" spans="1:34" x14ac:dyDescent="0.2">
      <c r="E448" s="248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30"/>
    </row>
    <row r="449" spans="1:34" x14ac:dyDescent="0.2">
      <c r="A449" s="14" t="s">
        <v>595</v>
      </c>
      <c r="C449" s="14" t="s">
        <v>622</v>
      </c>
      <c r="E449" s="234">
        <f t="shared" ref="E449:AF449" si="180">E442</f>
        <v>3104664.9999090945</v>
      </c>
      <c r="F449" s="50">
        <f t="shared" si="180"/>
        <v>2376674.6522268122</v>
      </c>
      <c r="G449" s="50">
        <f t="shared" si="180"/>
        <v>0</v>
      </c>
      <c r="H449" s="50">
        <f t="shared" si="180"/>
        <v>376902.76785234257</v>
      </c>
      <c r="I449" s="50">
        <f t="shared" si="180"/>
        <v>13480.065549795188</v>
      </c>
      <c r="J449" s="50">
        <f t="shared" si="180"/>
        <v>120777.5495445042</v>
      </c>
      <c r="K449" s="50">
        <f t="shared" si="180"/>
        <v>153899.23361559139</v>
      </c>
      <c r="L449" s="50">
        <f t="shared" si="180"/>
        <v>23760.532338869689</v>
      </c>
      <c r="M449" s="50">
        <f t="shared" si="180"/>
        <v>21014.854253529371</v>
      </c>
      <c r="N449" s="50">
        <f t="shared" si="180"/>
        <v>18155.344527649773</v>
      </c>
      <c r="O449" s="50">
        <f t="shared" si="180"/>
        <v>0</v>
      </c>
      <c r="P449" s="50">
        <f t="shared" si="180"/>
        <v>0</v>
      </c>
      <c r="Q449" s="50">
        <f t="shared" si="180"/>
        <v>0</v>
      </c>
      <c r="R449" s="50">
        <f t="shared" si="180"/>
        <v>0</v>
      </c>
      <c r="S449" s="50">
        <f t="shared" si="180"/>
        <v>0</v>
      </c>
      <c r="T449" s="50">
        <f t="shared" si="180"/>
        <v>0</v>
      </c>
      <c r="U449" s="50">
        <f t="shared" si="180"/>
        <v>0</v>
      </c>
      <c r="V449" s="50">
        <f t="shared" si="180"/>
        <v>0</v>
      </c>
      <c r="W449" s="50">
        <f t="shared" si="180"/>
        <v>0</v>
      </c>
      <c r="X449" s="50">
        <f t="shared" si="180"/>
        <v>0</v>
      </c>
      <c r="Y449" s="50">
        <f t="shared" si="180"/>
        <v>0</v>
      </c>
      <c r="Z449" s="50">
        <f t="shared" si="180"/>
        <v>0</v>
      </c>
      <c r="AA449" s="50">
        <f t="shared" si="180"/>
        <v>0</v>
      </c>
      <c r="AB449" s="50">
        <f t="shared" si="180"/>
        <v>0</v>
      </c>
      <c r="AC449" s="50">
        <f t="shared" si="180"/>
        <v>0</v>
      </c>
      <c r="AD449" s="50">
        <f t="shared" si="180"/>
        <v>0</v>
      </c>
      <c r="AE449" s="50">
        <f t="shared" si="180"/>
        <v>0</v>
      </c>
      <c r="AF449" s="50">
        <f t="shared" si="180"/>
        <v>0</v>
      </c>
      <c r="AG449" s="50">
        <f>SUM(F449:AF449)</f>
        <v>3104664.9999090945</v>
      </c>
      <c r="AH449" s="30" t="str">
        <f t="shared" ref="AH449:AH454" si="181">IF(ABS(E449-AG449)&lt;0.01,"ok","err")</f>
        <v>ok</v>
      </c>
    </row>
    <row r="450" spans="1:34" x14ac:dyDescent="0.2">
      <c r="A450" s="14" t="s">
        <v>594</v>
      </c>
      <c r="E450" s="226">
        <f>E443</f>
        <v>0</v>
      </c>
      <c r="AG450" s="93">
        <f>E450</f>
        <v>0</v>
      </c>
      <c r="AH450" s="30" t="str">
        <f t="shared" si="181"/>
        <v>ok</v>
      </c>
    </row>
    <row r="451" spans="1:34" x14ac:dyDescent="0.2">
      <c r="A451" s="14" t="s">
        <v>592</v>
      </c>
      <c r="E451" s="233">
        <f>E444</f>
        <v>0</v>
      </c>
      <c r="F451" s="48">
        <f>F444</f>
        <v>0</v>
      </c>
      <c r="G451" s="48">
        <f t="shared" ref="G451:S451" si="182">G444</f>
        <v>0</v>
      </c>
      <c r="H451" s="48">
        <f t="shared" si="182"/>
        <v>0</v>
      </c>
      <c r="I451" s="48">
        <f t="shared" si="182"/>
        <v>0</v>
      </c>
      <c r="J451" s="48">
        <f t="shared" si="182"/>
        <v>0</v>
      </c>
      <c r="K451" s="48">
        <f t="shared" si="182"/>
        <v>0</v>
      </c>
      <c r="L451" s="48">
        <f t="shared" si="182"/>
        <v>0</v>
      </c>
      <c r="M451" s="48">
        <f t="shared" si="182"/>
        <v>0</v>
      </c>
      <c r="N451" s="48">
        <f t="shared" si="182"/>
        <v>0</v>
      </c>
      <c r="O451" s="50">
        <f t="shared" si="182"/>
        <v>0</v>
      </c>
      <c r="P451" s="50">
        <f t="shared" si="182"/>
        <v>0</v>
      </c>
      <c r="Q451" s="14">
        <f t="shared" si="182"/>
        <v>0</v>
      </c>
      <c r="R451" s="14">
        <f t="shared" si="182"/>
        <v>0</v>
      </c>
      <c r="S451" s="14">
        <f t="shared" si="182"/>
        <v>0</v>
      </c>
      <c r="AG451" s="93">
        <f>SUM(F451:AF451)</f>
        <v>0</v>
      </c>
      <c r="AH451" s="30" t="str">
        <f t="shared" si="181"/>
        <v>ok</v>
      </c>
    </row>
    <row r="452" spans="1:34" x14ac:dyDescent="0.2">
      <c r="A452" s="14" t="s">
        <v>593</v>
      </c>
      <c r="D452" s="14" t="s">
        <v>622</v>
      </c>
      <c r="E452" s="226">
        <f>E450-E451</f>
        <v>0</v>
      </c>
      <c r="F452" s="66">
        <f>IF(VLOOKUP($D452,$C$5:$AU$521,3,)=0,0,(VLOOKUP($D452,$C$5:$AU$521,4,)/VLOOKUP($D452,$C$5:$AU$521,3,))*$E452)</f>
        <v>0</v>
      </c>
      <c r="G452" s="66">
        <f>IF(VLOOKUP($D452,$C$5:$AU$521,3,)=0,0,(VLOOKUP($D452,$C$5:$AU$521,5,)/VLOOKUP($D452,$C$5:$AU$521,3,))*$E452)</f>
        <v>0</v>
      </c>
      <c r="H452" s="66">
        <f>IF(VLOOKUP($D452,$C$5:$AU$521,3,)=0,0,(VLOOKUP($D452,$C$5:$AU$521,6,)/VLOOKUP($D452,$C$5:$AU$521,3,))*$E452)</f>
        <v>0</v>
      </c>
      <c r="I452" s="66">
        <f>IF(VLOOKUP($D452,$C$5:$AU$521,3,)=0,0,(VLOOKUP($D452,$C$5:$AU$521,7,)/VLOOKUP($D452,$C$5:$AU$521,3,))*$E452)</f>
        <v>0</v>
      </c>
      <c r="J452" s="66">
        <f>IF(VLOOKUP($D452,$C$5:$AU$521,3,)=0,0,(VLOOKUP($D452,$C$5:$AU$521,8,)/VLOOKUP($D452,$C$5:$AU$521,3,))*$E452)</f>
        <v>0</v>
      </c>
      <c r="K452" s="66">
        <f>IF(VLOOKUP($D452,$C$5:$AU$521,3,)=0,0,(VLOOKUP($D452,$C$5:$AU$521,9,)/VLOOKUP($D452,$C$5:$AU$521,3,))*$E452)</f>
        <v>0</v>
      </c>
      <c r="L452" s="66">
        <f>IF(VLOOKUP($D452,$C$5:$AU$521,3,)=0,0,(VLOOKUP($D452,$C$5:$AU$521,10,)/VLOOKUP($D452,$C$5:$AU$521,3,))*$E452)</f>
        <v>0</v>
      </c>
      <c r="M452" s="66">
        <f>IF(VLOOKUP($D452,$C$5:$AU$521,3,)=0,0,(VLOOKUP($D452,$C$5:$AU$521,11,)/VLOOKUP($D452,$C$5:$AU$521,3,))*$E452)</f>
        <v>0</v>
      </c>
      <c r="N452" s="66">
        <f>IF(VLOOKUP($D452,$C$5:$AU$521,3,)=0,0,(VLOOKUP($D452,$C$5:$AU$521,12,)/VLOOKUP($D452,$C$5:$AU$521,3,))*$E452)</f>
        <v>0</v>
      </c>
      <c r="O452" s="66">
        <f>IF(VLOOKUP($D452,$C$5:$AU$521,3,)=0,0,(VLOOKUP($D452,$C$5:$AU$521,13,)/VLOOKUP($D452,$C$5:$AU$521,3,))*$E452)</f>
        <v>0</v>
      </c>
      <c r="P452" s="66">
        <f>IF(VLOOKUP($D452,$C$5:$AU$521,3,)=0,0,(VLOOKUP($D452,$C$5:$AU$521,14,)/VLOOKUP($D452,$C$5:$AU$521,3,))*$E452)</f>
        <v>0</v>
      </c>
      <c r="Q452" s="66">
        <f>IF(VLOOKUP($D452,$C$5:$AU$521,3,)=0,0,(VLOOKUP($D452,$C$5:$AU$521,15,)/VLOOKUP($D452,$C$5:$AU$521,3,))*$E452)</f>
        <v>0</v>
      </c>
      <c r="R452" s="66">
        <f>IF(VLOOKUP($D452,$C$5:$AU$521,3,)=0,0,(VLOOKUP($D452,$C$5:$AU$521,16,)/VLOOKUP($D452,$C$5:$AU$521,3,))*$E452)</f>
        <v>0</v>
      </c>
      <c r="S452" s="66">
        <f>IF(VLOOKUP($D452,$C$5:$AU$521,3,)=0,0,(VLOOKUP($D452,$C$5:$AU$521,17,)/VLOOKUP($D452,$C$5:$AU$521,3,))*$E452)</f>
        <v>0</v>
      </c>
      <c r="T452" s="66">
        <f>IF(VLOOKUP($D452,$C$5:$AU$521,3,)=0,0,(VLOOKUP($D452,$C$5:$AU$521,18,)/VLOOKUP($D452,$C$5:$AU$521,3,))*$E452)</f>
        <v>0</v>
      </c>
      <c r="U452" s="66">
        <f>IF(VLOOKUP($D452,$C$5:$AU$521,3,)=0,0,(VLOOKUP($D452,$C$5:$AU$521,19,)/VLOOKUP($D452,$C$5:$AU$521,3,))*$E452)</f>
        <v>0</v>
      </c>
      <c r="V452" s="66">
        <f>IF(VLOOKUP($D452,$C$5:$AU$521,3,)=0,0,(VLOOKUP($D452,$C$5:$AU$521,20,)/VLOOKUP($D452,$C$5:$AU$521,3,))*$E452)</f>
        <v>0</v>
      </c>
      <c r="W452" s="66">
        <f>IF(VLOOKUP($D452,$C$5:$AU$521,3,)=0,0,(VLOOKUP($D452,$C$5:$AU$521,21,)/VLOOKUP($D452,$C$5:$AU$521,3,))*$E452)</f>
        <v>0</v>
      </c>
      <c r="X452" s="66">
        <f>IF(VLOOKUP($D452,$C$5:$AU$521,3,)=0,0,(VLOOKUP($D452,$C$5:$AU$521,22,)/VLOOKUP($D452,$C$5:$AU$521,3,))*$E452)</f>
        <v>0</v>
      </c>
      <c r="Y452" s="66">
        <f>IF(VLOOKUP($D452,$C$5:$AU$521,3,)=0,0,(VLOOKUP($D452,$C$5:$AU$521,23,)/VLOOKUP($D452,$C$5:$AU$521,3,))*$E452)</f>
        <v>0</v>
      </c>
      <c r="Z452" s="66">
        <f>IF(VLOOKUP($D452,$C$5:$AU$521,3,)=0,0,(VLOOKUP($D452,$C$5:$AU$521,24,)/VLOOKUP($D452,$C$5:$AU$521,3,))*$E452)</f>
        <v>0</v>
      </c>
      <c r="AA452" s="66">
        <f>IF(VLOOKUP($D452,$C$5:$AU$521,3,)=0,0,(VLOOKUP($D452,$C$5:$AU$521,25,)/VLOOKUP($D452,$C$5:$AU$521,3,))*$E452)</f>
        <v>0</v>
      </c>
      <c r="AB452" s="66">
        <f>IF(VLOOKUP($D452,$C$5:$AU$521,3,)=0,0,(VLOOKUP($D452,$C$5:$AU$521,26,)/VLOOKUP($D452,$C$5:$AU$521,3,))*$E452)</f>
        <v>0</v>
      </c>
      <c r="AC452" s="66">
        <f>IF(VLOOKUP($D452,$C$5:$AU$521,3,)=0,0,(VLOOKUP($D452,$C$5:$AU$521,27,)/VLOOKUP($D452,$C$5:$AU$521,3,))*$E452)</f>
        <v>0</v>
      </c>
      <c r="AD452" s="66">
        <f>IF(VLOOKUP($D452,$C$5:$AU$521,3,)=0,0,(VLOOKUP($D452,$C$5:$AU$521,28,)/VLOOKUP($D452,$C$5:$AU$521,3,))*$E452)</f>
        <v>0</v>
      </c>
      <c r="AE452" s="66">
        <f>IF(VLOOKUP($D452,$C$5:$AU$521,3,)=0,0,(VLOOKUP($D452,$C$5:$AU$521,29,)/VLOOKUP($D452,$C$5:$AU$521,3,))*$E452)</f>
        <v>0</v>
      </c>
      <c r="AF452" s="66">
        <f>IF(VLOOKUP($D452,$C$5:$AU$521,3,)=0,0,(VLOOKUP($D452,$C$5:$AU$521,30,)/VLOOKUP($D452,$C$5:$AU$521,3,))*$E452)</f>
        <v>0</v>
      </c>
      <c r="AG452" s="93">
        <f>SUM(F452:AF452)</f>
        <v>0</v>
      </c>
      <c r="AH452" s="30" t="str">
        <f t="shared" si="181"/>
        <v>ok</v>
      </c>
    </row>
    <row r="453" spans="1:34" x14ac:dyDescent="0.2">
      <c r="A453" s="14" t="s">
        <v>598</v>
      </c>
      <c r="C453" s="14" t="s">
        <v>623</v>
      </c>
      <c r="E453" s="226">
        <f t="shared" ref="E453:U453" si="183">E451+E452</f>
        <v>0</v>
      </c>
      <c r="F453" s="93">
        <f t="shared" si="183"/>
        <v>0</v>
      </c>
      <c r="G453" s="93">
        <f t="shared" si="183"/>
        <v>0</v>
      </c>
      <c r="H453" s="93">
        <f t="shared" si="183"/>
        <v>0</v>
      </c>
      <c r="I453" s="93">
        <f t="shared" si="183"/>
        <v>0</v>
      </c>
      <c r="J453" s="93">
        <f t="shared" si="183"/>
        <v>0</v>
      </c>
      <c r="K453" s="93">
        <f t="shared" si="183"/>
        <v>0</v>
      </c>
      <c r="L453" s="93">
        <f t="shared" si="183"/>
        <v>0</v>
      </c>
      <c r="M453" s="93">
        <f t="shared" si="183"/>
        <v>0</v>
      </c>
      <c r="N453" s="93">
        <f t="shared" si="183"/>
        <v>0</v>
      </c>
      <c r="O453" s="93">
        <f t="shared" si="183"/>
        <v>0</v>
      </c>
      <c r="P453" s="93">
        <f t="shared" si="183"/>
        <v>0</v>
      </c>
      <c r="Q453" s="93">
        <f t="shared" si="183"/>
        <v>0</v>
      </c>
      <c r="R453" s="93">
        <f t="shared" si="183"/>
        <v>0</v>
      </c>
      <c r="S453" s="93">
        <f t="shared" si="183"/>
        <v>0</v>
      </c>
      <c r="T453" s="93">
        <f t="shared" si="183"/>
        <v>0</v>
      </c>
      <c r="U453" s="93">
        <f t="shared" si="183"/>
        <v>0</v>
      </c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>
        <f>SUM(F453:AF453)</f>
        <v>0</v>
      </c>
      <c r="AH453" s="30" t="str">
        <f t="shared" si="181"/>
        <v>ok</v>
      </c>
    </row>
    <row r="454" spans="1:34" x14ac:dyDescent="0.2">
      <c r="A454" s="14" t="s">
        <v>631</v>
      </c>
      <c r="C454" s="14" t="s">
        <v>624</v>
      </c>
      <c r="D454" s="14" t="s">
        <v>623</v>
      </c>
      <c r="E454" s="248">
        <v>0</v>
      </c>
      <c r="F454" s="101">
        <f>IF(VLOOKUP($D454,$C$5:$AU$521,3,)=0,0,(VLOOKUP($D454,$C$5:$AU$521,4,)/VLOOKUP($D454,$C$5:$AU$521,3,))*$E454)</f>
        <v>0</v>
      </c>
      <c r="G454" s="101">
        <f>IF(VLOOKUP($D454,$C$5:$AU$521,3,)=0,0,(VLOOKUP($D454,$C$5:$AU$521,5,)/VLOOKUP($D454,$C$5:$AU$521,3,))*$E454)</f>
        <v>0</v>
      </c>
      <c r="H454" s="101">
        <f>IF(VLOOKUP($D454,$C$5:$AU$521,3,)=0,0,(VLOOKUP($D454,$C$5:$AU$521,6,)/VLOOKUP($D454,$C$5:$AU$521,3,))*$E454)</f>
        <v>0</v>
      </c>
      <c r="I454" s="101">
        <f>IF(VLOOKUP($D454,$C$5:$AU$521,3,)=0,0,(VLOOKUP($D454,$C$5:$AU$521,7,)/VLOOKUP($D454,$C$5:$AU$521,3,))*$E454)</f>
        <v>0</v>
      </c>
      <c r="J454" s="101">
        <f>IF(VLOOKUP($D454,$C$5:$AU$521,3,)=0,0,(VLOOKUP($D454,$C$5:$AU$521,8,)/VLOOKUP($D454,$C$5:$AU$521,3,))*$E454)</f>
        <v>0</v>
      </c>
      <c r="K454" s="101">
        <f>IF(VLOOKUP($D454,$C$5:$AU$521,3,)=0,0,(VLOOKUP($D454,$C$5:$AU$521,9,)/VLOOKUP($D454,$C$5:$AU$521,3,))*$E454)</f>
        <v>0</v>
      </c>
      <c r="L454" s="101">
        <f>IF(VLOOKUP($D454,$C$5:$AU$521,3,)=0,0,(VLOOKUP($D454,$C$5:$AU$521,10,)/VLOOKUP($D454,$C$5:$AU$521,3,))*$E454)</f>
        <v>0</v>
      </c>
      <c r="M454" s="101">
        <f>IF(VLOOKUP($D454,$C$5:$AU$521,3,)=0,0,(VLOOKUP($D454,$C$5:$AU$521,11,)/VLOOKUP($D454,$C$5:$AU$521,3,))*$E454)</f>
        <v>0</v>
      </c>
      <c r="N454" s="101">
        <f>IF(VLOOKUP($D454,$C$5:$AU$521,3,)=0,0,(VLOOKUP($D454,$C$5:$AU$521,12,)/VLOOKUP($D454,$C$5:$AU$521,3,))*$E454)</f>
        <v>0</v>
      </c>
      <c r="O454" s="101">
        <f>IF(VLOOKUP($D454,$C$5:$AU$521,3,)=0,0,(VLOOKUP($D454,$C$5:$AU$521,13,)/VLOOKUP($D454,$C$5:$AU$521,3,))*$E454)</f>
        <v>0</v>
      </c>
      <c r="P454" s="101">
        <f>IF(VLOOKUP($D454,$C$5:$AU$521,3,)=0,0,(VLOOKUP($D454,$C$5:$AU$521,14,)/VLOOKUP($D454,$C$5:$AU$521,3,))*$E454)</f>
        <v>0</v>
      </c>
      <c r="Q454" s="101">
        <f>IF(VLOOKUP($D454,$C$5:$AU$521,3,)=0,0,(VLOOKUP($D454,$C$5:$AU$521,15,)/VLOOKUP($D454,$C$5:$AU$521,3,))*$E454)</f>
        <v>0</v>
      </c>
      <c r="R454" s="101">
        <f>IF(VLOOKUP($D454,$C$5:$AU$521,3,)=0,0,(VLOOKUP($D454,$C$5:$AU$521,16,)/VLOOKUP($D454,$C$5:$AU$521,3,))*$E454)</f>
        <v>0</v>
      </c>
      <c r="S454" s="101">
        <f>IF(VLOOKUP($D454,$C$5:$AU$521,3,)=0,0,(VLOOKUP($D454,$C$5:$AU$521,17,)/VLOOKUP($D454,$C$5:$AU$521,3,))*$E454)</f>
        <v>0</v>
      </c>
      <c r="T454" s="101">
        <f>IF(VLOOKUP($D454,$C$5:$AU$521,3,)=0,0,(VLOOKUP($D454,$C$5:$AU$521,18,)/VLOOKUP($D454,$C$5:$AU$521,3,))*$E454)</f>
        <v>0</v>
      </c>
      <c r="U454" s="101">
        <f>IF(VLOOKUP($D454,$C$5:$AU$521,3,)=0,0,(VLOOKUP($D454,$C$5:$AU$521,19,)/VLOOKUP($D454,$C$5:$AU$521,3,))*$E454)</f>
        <v>0</v>
      </c>
      <c r="V454" s="101">
        <f>IF(VLOOKUP($D454,$C$5:$AU$521,3,)=0,0,(VLOOKUP($D454,$C$5:$AU$521,20,)/VLOOKUP($D454,$C$5:$AU$521,3,))*$E454)</f>
        <v>0</v>
      </c>
      <c r="W454" s="101">
        <f>IF(VLOOKUP($D454,$C$5:$AU$521,3,)=0,0,(VLOOKUP($D454,$C$5:$AU$521,21,)/VLOOKUP($D454,$C$5:$AU$521,3,))*$E454)</f>
        <v>0</v>
      </c>
      <c r="X454" s="101">
        <f>IF(VLOOKUP($D454,$C$5:$AU$521,3,)=0,0,(VLOOKUP($D454,$C$5:$AU$521,22,)/VLOOKUP($D454,$C$5:$AU$521,3,))*$E454)</f>
        <v>0</v>
      </c>
      <c r="Y454" s="101">
        <f>IF(VLOOKUP($D454,$C$5:$AU$521,3,)=0,0,(VLOOKUP($D454,$C$5:$AU$521,23,)/VLOOKUP($D454,$C$5:$AU$521,3,))*$E454)</f>
        <v>0</v>
      </c>
      <c r="Z454" s="101">
        <f>IF(VLOOKUP($D454,$C$5:$AU$521,3,)=0,0,(VLOOKUP($D454,$C$5:$AU$521,24,)/VLOOKUP($D454,$C$5:$AU$521,3,))*$E454)</f>
        <v>0</v>
      </c>
      <c r="AA454" s="101">
        <f>IF(VLOOKUP($D454,$C$5:$AU$521,3,)=0,0,(VLOOKUP($D454,$C$5:$AU$521,25,)/VLOOKUP($D454,$C$5:$AU$521,3,))*$E454)</f>
        <v>0</v>
      </c>
      <c r="AB454" s="101">
        <f>IF(VLOOKUP($D454,$C$5:$AU$521,3,)=0,0,(VLOOKUP($D454,$C$5:$AU$521,26,)/VLOOKUP($D454,$C$5:$AU$521,3,))*$E454)</f>
        <v>0</v>
      </c>
      <c r="AC454" s="101">
        <f>IF(VLOOKUP($D454,$C$5:$AU$521,3,)=0,0,(VLOOKUP($D454,$C$5:$AU$521,27,)/VLOOKUP($D454,$C$5:$AU$521,3,))*$E454)</f>
        <v>0</v>
      </c>
      <c r="AD454" s="101">
        <f>IF(VLOOKUP($D454,$C$5:$AU$521,3,)=0,0,(VLOOKUP($D454,$C$5:$AU$521,28,)/VLOOKUP($D454,$C$5:$AU$521,3,))*$E454)</f>
        <v>0</v>
      </c>
      <c r="AE454" s="101">
        <f>IF(VLOOKUP($D454,$C$5:$AU$521,3,)=0,0,(VLOOKUP($D454,$C$5:$AU$521,29,)/VLOOKUP($D454,$C$5:$AU$521,3,))*$E454)</f>
        <v>0</v>
      </c>
      <c r="AF454" s="101">
        <f>IF(VLOOKUP($D454,$C$5:$AU$521,3,)=0,0,(VLOOKUP($D454,$C$5:$AU$521,30,)/VLOOKUP($D454,$C$5:$AU$521,3,))*$E454)</f>
        <v>0</v>
      </c>
      <c r="AG454" s="101">
        <f>SUM(F454:AF454)</f>
        <v>0</v>
      </c>
      <c r="AH454" s="30" t="str">
        <f t="shared" si="181"/>
        <v>ok</v>
      </c>
    </row>
    <row r="455" spans="1:34" x14ac:dyDescent="0.2">
      <c r="E455" s="248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30"/>
    </row>
    <row r="456" spans="1:34" x14ac:dyDescent="0.2">
      <c r="A456" s="14" t="s">
        <v>600</v>
      </c>
      <c r="B456" s="50"/>
      <c r="C456" s="14" t="s">
        <v>604</v>
      </c>
      <c r="E456" s="234">
        <v>7399616.3547002124</v>
      </c>
      <c r="F456" s="50">
        <f>F438</f>
        <v>5856627.3154726354</v>
      </c>
      <c r="G456" s="50">
        <f t="shared" ref="G456:P456" si="184">G438</f>
        <v>417502.61032358243</v>
      </c>
      <c r="H456" s="50">
        <f t="shared" si="184"/>
        <v>607687.66299999983</v>
      </c>
      <c r="I456" s="50">
        <f t="shared" si="184"/>
        <v>20871.838</v>
      </c>
      <c r="J456" s="50">
        <f t="shared" si="184"/>
        <v>165995.31100000002</v>
      </c>
      <c r="K456" s="50">
        <f t="shared" si="184"/>
        <v>179775.05000000002</v>
      </c>
      <c r="L456" s="50">
        <f t="shared" si="184"/>
        <v>67432.462</v>
      </c>
      <c r="M456" s="50">
        <f t="shared" si="184"/>
        <v>47446.58</v>
      </c>
      <c r="N456" s="50">
        <f t="shared" si="184"/>
        <v>36277.524903993857</v>
      </c>
      <c r="O456" s="50">
        <f t="shared" si="184"/>
        <v>0</v>
      </c>
      <c r="P456" s="50">
        <f t="shared" si="184"/>
        <v>0</v>
      </c>
      <c r="Q456" s="50">
        <f>Q438*2.11</f>
        <v>0</v>
      </c>
      <c r="R456" s="50">
        <f>R438*2.11</f>
        <v>0</v>
      </c>
      <c r="S456" s="50">
        <f>S438</f>
        <v>0</v>
      </c>
      <c r="T456" s="50">
        <f>T438*0.9</f>
        <v>0</v>
      </c>
      <c r="U456" s="50">
        <f t="shared" ref="U456:Z456" si="185">U438</f>
        <v>0</v>
      </c>
      <c r="V456" s="50">
        <f t="shared" si="185"/>
        <v>0</v>
      </c>
      <c r="W456" s="50">
        <f t="shared" si="185"/>
        <v>0</v>
      </c>
      <c r="X456" s="50">
        <f t="shared" si="185"/>
        <v>0</v>
      </c>
      <c r="Y456" s="50">
        <f t="shared" si="185"/>
        <v>0</v>
      </c>
      <c r="Z456" s="50">
        <f t="shared" si="185"/>
        <v>0</v>
      </c>
      <c r="AA456" s="50">
        <f>AA438*0.5</f>
        <v>0</v>
      </c>
      <c r="AB456" s="50">
        <f>AB438*0.1</f>
        <v>0</v>
      </c>
      <c r="AC456" s="50">
        <f>AC438*0.5</f>
        <v>0</v>
      </c>
      <c r="AD456" s="50">
        <f>AD438*0.07</f>
        <v>0</v>
      </c>
      <c r="AE456" s="50">
        <f>AE438*0.07</f>
        <v>0</v>
      </c>
      <c r="AF456" s="50">
        <f>AF438</f>
        <v>0</v>
      </c>
      <c r="AG456" s="50">
        <f>SUM(F456:AF456)</f>
        <v>7399616.3547002124</v>
      </c>
      <c r="AH456" s="30" t="str">
        <f t="shared" ref="AH456:AH461" si="186">IF(ABS(E456-AG456)&lt;0.01,"ok","err")</f>
        <v>ok</v>
      </c>
    </row>
    <row r="457" spans="1:34" x14ac:dyDescent="0.2">
      <c r="A457" s="14" t="s">
        <v>601</v>
      </c>
      <c r="E457" s="226">
        <f>'Func &amp; Classif'!O54</f>
        <v>134014238.56753168</v>
      </c>
      <c r="AG457" s="93">
        <f>E457</f>
        <v>134014238.56753168</v>
      </c>
      <c r="AH457" s="30" t="str">
        <f t="shared" si="186"/>
        <v>ok</v>
      </c>
    </row>
    <row r="458" spans="1:34" x14ac:dyDescent="0.2">
      <c r="A458" s="14" t="s">
        <v>592</v>
      </c>
      <c r="E458" s="233"/>
      <c r="M458" s="50">
        <v>0</v>
      </c>
      <c r="N458" s="50">
        <v>0</v>
      </c>
      <c r="P458" s="50"/>
      <c r="Q458" s="50">
        <f>(1/70)*'Func &amp; Classif'!F53</f>
        <v>0</v>
      </c>
      <c r="AA458" s="66">
        <v>0</v>
      </c>
      <c r="AB458" s="66">
        <v>0</v>
      </c>
      <c r="AC458" s="66">
        <v>0</v>
      </c>
      <c r="AD458" s="66">
        <v>0</v>
      </c>
      <c r="AE458" s="66">
        <v>0</v>
      </c>
      <c r="AG458" s="93">
        <f>SUM(F458:AF458)</f>
        <v>0</v>
      </c>
      <c r="AH458" s="30" t="str">
        <f t="shared" si="186"/>
        <v>ok</v>
      </c>
    </row>
    <row r="459" spans="1:34" x14ac:dyDescent="0.2">
      <c r="A459" s="14" t="s">
        <v>602</v>
      </c>
      <c r="D459" s="14" t="s">
        <v>625</v>
      </c>
      <c r="E459" s="226">
        <f>E457-E458</f>
        <v>134014238.56753168</v>
      </c>
      <c r="F459" s="107">
        <f>IF(VLOOKUP($D459,$C$5:$AU$521,3,)=0,0,(VLOOKUP($D459,$C$5:$AU$521,4,)/VLOOKUP($D459,$C$5:$AU$521,3,))*$E459)</f>
        <v>106069208.54191643</v>
      </c>
      <c r="G459" s="66">
        <f>IF(VLOOKUP($D459,$C$5:$AU$521,3,)=0,0,(VLOOKUP($D459,$C$5:$AU$521,5,)/VLOOKUP($D459,$C$5:$AU$521,3,))*$E459)</f>
        <v>7561377.7445274852</v>
      </c>
      <c r="H459" s="66">
        <f>IF(VLOOKUP($D459,$C$5:$AU$521,3,)=0,0,(VLOOKUP($D459,$C$5:$AU$521,6,)/VLOOKUP($D459,$C$5:$AU$521,3,))*$E459)</f>
        <v>11005813.75304655</v>
      </c>
      <c r="I459" s="66">
        <f>IF(VLOOKUP($D459,$C$5:$AU$521,3,)=0,0,(VLOOKUP($D459,$C$5:$AU$521,7,)/VLOOKUP($D459,$C$5:$AU$521,3,))*$E459)</f>
        <v>378009.25656073366</v>
      </c>
      <c r="J459" s="66">
        <f>IF(VLOOKUP($D459,$C$5:$AU$521,3,)=0,0,(VLOOKUP($D459,$C$5:$AU$521,8,)/VLOOKUP($D459,$C$5:$AU$521,3,))*$E459)</f>
        <v>3006336.2940857327</v>
      </c>
      <c r="K459" s="66">
        <f>IF(VLOOKUP($D459,$C$5:$AU$521,3,)=0,0,(VLOOKUP($D459,$C$5:$AU$521,9,)/VLOOKUP($D459,$C$5:$AU$521,3,))*$E459)</f>
        <v>3255900.7500282787</v>
      </c>
      <c r="L459" s="66">
        <f>IF(VLOOKUP($D459,$C$5:$AU$521,3,)=0,0,(VLOOKUP($D459,$C$5:$AU$521,10,)/VLOOKUP($D459,$C$5:$AU$521,3,))*$E459)</f>
        <v>1221267.376101708</v>
      </c>
      <c r="M459" s="66">
        <f>IF(VLOOKUP($D459,$C$5:$AU$521,3,)=0,0,(VLOOKUP($D459,$C$5:$AU$521,11,)/VLOOKUP($D459,$C$5:$AU$521,3,))*$E459)</f>
        <v>859303.64312665584</v>
      </c>
      <c r="N459" s="66">
        <f>IF(VLOOKUP($D459,$C$5:$AU$521,3,)=0,0,(VLOOKUP($D459,$C$5:$AU$521,12,)/VLOOKUP($D459,$C$5:$AU$521,3,))*$E459)</f>
        <v>657021.2081380767</v>
      </c>
      <c r="O459" s="66">
        <f>IF(VLOOKUP($D459,$C$5:$AU$521,3,)=0,0,(VLOOKUP($D459,$C$5:$AU$521,13,)/VLOOKUP($D459,$C$5:$AU$521,3,))*$E459)</f>
        <v>0</v>
      </c>
      <c r="P459" s="66">
        <f>IF(VLOOKUP($D459,$C$5:$AU$521,3,)=0,0,(VLOOKUP($D459,$C$5:$AU$521,14,)/VLOOKUP($D459,$C$5:$AU$521,3,))*$E459)</f>
        <v>0</v>
      </c>
      <c r="Q459" s="66">
        <f>IF(VLOOKUP($D459,$C$5:$AU$521,3,)=0,0,(VLOOKUP($D459,$C$5:$AU$521,15,)/VLOOKUP($D459,$C$5:$AU$521,3,))*$E459)</f>
        <v>0</v>
      </c>
      <c r="R459" s="66">
        <f>IF(VLOOKUP($D459,$C$5:$AU$521,3,)=0,0,(VLOOKUP($D459,$C$5:$AU$521,16,)/VLOOKUP($D459,$C$5:$AU$521,3,))*$E459)</f>
        <v>0</v>
      </c>
      <c r="S459" s="66">
        <f>IF(VLOOKUP($D459,$C$5:$AU$521,3,)=0,0,(VLOOKUP($D459,$C$5:$AU$521,17,)/VLOOKUP($D459,$C$5:$AU$521,3,))*$E459)</f>
        <v>0</v>
      </c>
      <c r="T459" s="66">
        <f>IF(VLOOKUP($D459,$C$5:$AU$521,3,)=0,0,(VLOOKUP($D459,$C$5:$AU$521,18,)/VLOOKUP($D459,$C$5:$AU$521,3,))*$E459)</f>
        <v>0</v>
      </c>
      <c r="U459" s="66">
        <f>IF(VLOOKUP($D459,$C$5:$AU$521,3,)=0,0,(VLOOKUP($D459,$C$5:$AU$521,19,)/VLOOKUP($D459,$C$5:$AU$521,3,))*$E459)</f>
        <v>0</v>
      </c>
      <c r="V459" s="66">
        <f>IF(VLOOKUP($D459,$C$5:$AU$521,3,)=0,0,(VLOOKUP($D459,$C$5:$AU$521,20,)/VLOOKUP($D459,$C$5:$AU$521,3,))*$E459)</f>
        <v>0</v>
      </c>
      <c r="W459" s="66">
        <f>IF(VLOOKUP($D459,$C$5:$AU$521,3,)=0,0,(VLOOKUP($D459,$C$5:$AU$521,21,)/VLOOKUP($D459,$C$5:$AU$521,3,))*$E459)</f>
        <v>0</v>
      </c>
      <c r="X459" s="66">
        <f>IF(VLOOKUP($D459,$C$5:$AU$521,3,)=0,0,(VLOOKUP($D459,$C$5:$AU$521,22,)/VLOOKUP($D459,$C$5:$AU$521,3,))*$E459)</f>
        <v>0</v>
      </c>
      <c r="Y459" s="66">
        <f>IF(VLOOKUP($D459,$C$5:$AU$521,3,)=0,0,(VLOOKUP($D459,$C$5:$AU$521,23,)/VLOOKUP($D459,$C$5:$AU$521,3,))*$E459)</f>
        <v>0</v>
      </c>
      <c r="Z459" s="66">
        <f>IF(VLOOKUP($D459,$C$5:$AU$521,3,)=0,0,(VLOOKUP($D459,$C$5:$AU$521,24,)/VLOOKUP($D459,$C$5:$AU$521,3,))*$E459)</f>
        <v>0</v>
      </c>
      <c r="AA459" s="66">
        <f>IF(VLOOKUP($D459,$C$5:$AU$521,3,)=0,0,(VLOOKUP($D459,$C$5:$AU$521,25,)/VLOOKUP($D459,$C$5:$AU$521,3,))*$E459)</f>
        <v>0</v>
      </c>
      <c r="AB459" s="66">
        <f>IF(VLOOKUP($D459,$C$5:$AU$521,3,)=0,0,(VLOOKUP($D459,$C$5:$AU$521,26,)/VLOOKUP($D459,$C$5:$AU$521,3,))*$E459)</f>
        <v>0</v>
      </c>
      <c r="AC459" s="66">
        <f>IF(VLOOKUP($D459,$C$5:$AU$521,3,)=0,0,(VLOOKUP($D459,$C$5:$AU$521,27,)/VLOOKUP($D459,$C$5:$AU$521,3,))*$E459)</f>
        <v>0</v>
      </c>
      <c r="AD459" s="66">
        <f>IF(VLOOKUP($D459,$C$5:$AU$521,3,)=0,0,(VLOOKUP($D459,$C$5:$AU$521,28,)/VLOOKUP($D459,$C$5:$AU$521,3,))*$E459)</f>
        <v>0</v>
      </c>
      <c r="AE459" s="66">
        <f>IF(VLOOKUP($D459,$C$5:$AU$521,3,)=0,0,(VLOOKUP($D459,$C$5:$AU$521,29,)/VLOOKUP($D459,$C$5:$AU$521,3,))*$E459)</f>
        <v>0</v>
      </c>
      <c r="AF459" s="66">
        <f>IF(VLOOKUP($D459,$C$5:$AU$521,3,)=0,0,(VLOOKUP($D459,$C$5:$AU$521,30,)/VLOOKUP($D459,$C$5:$AU$521,3,))*$E459)</f>
        <v>0</v>
      </c>
      <c r="AG459" s="93">
        <f>SUM(F459:AF459)</f>
        <v>134014238.56753163</v>
      </c>
      <c r="AH459" s="30" t="str">
        <f t="shared" si="186"/>
        <v>ok</v>
      </c>
    </row>
    <row r="460" spans="1:34" x14ac:dyDescent="0.2">
      <c r="A460" s="14" t="s">
        <v>603</v>
      </c>
      <c r="C460" s="14" t="s">
        <v>606</v>
      </c>
      <c r="E460" s="226">
        <f t="shared" ref="E460:AF460" si="187">E458+E459</f>
        <v>134014238.56753168</v>
      </c>
      <c r="F460" s="108">
        <f t="shared" si="187"/>
        <v>106069208.54191643</v>
      </c>
      <c r="G460" s="93">
        <f t="shared" si="187"/>
        <v>7561377.7445274852</v>
      </c>
      <c r="H460" s="93">
        <f t="shared" si="187"/>
        <v>11005813.75304655</v>
      </c>
      <c r="I460" s="93">
        <f t="shared" si="187"/>
        <v>378009.25656073366</v>
      </c>
      <c r="J460" s="93">
        <f t="shared" si="187"/>
        <v>3006336.2940857327</v>
      </c>
      <c r="K460" s="93">
        <f t="shared" si="187"/>
        <v>3255900.7500282787</v>
      </c>
      <c r="L460" s="93">
        <f t="shared" si="187"/>
        <v>1221267.376101708</v>
      </c>
      <c r="M460" s="93">
        <f t="shared" si="187"/>
        <v>859303.64312665584</v>
      </c>
      <c r="N460" s="93">
        <f t="shared" si="187"/>
        <v>657021.2081380767</v>
      </c>
      <c r="O460" s="93">
        <f t="shared" si="187"/>
        <v>0</v>
      </c>
      <c r="P460" s="93">
        <f>P458+P459</f>
        <v>0</v>
      </c>
      <c r="Q460" s="93">
        <f t="shared" si="187"/>
        <v>0</v>
      </c>
      <c r="R460" s="93">
        <f t="shared" si="187"/>
        <v>0</v>
      </c>
      <c r="S460" s="93">
        <f t="shared" si="187"/>
        <v>0</v>
      </c>
      <c r="T460" s="93">
        <f t="shared" si="187"/>
        <v>0</v>
      </c>
      <c r="U460" s="93">
        <f t="shared" si="187"/>
        <v>0</v>
      </c>
      <c r="V460" s="93">
        <f t="shared" si="187"/>
        <v>0</v>
      </c>
      <c r="W460" s="93">
        <f t="shared" si="187"/>
        <v>0</v>
      </c>
      <c r="X460" s="93">
        <f t="shared" si="187"/>
        <v>0</v>
      </c>
      <c r="Y460" s="93">
        <f t="shared" si="187"/>
        <v>0</v>
      </c>
      <c r="Z460" s="93">
        <f t="shared" si="187"/>
        <v>0</v>
      </c>
      <c r="AA460" s="93">
        <f t="shared" si="187"/>
        <v>0</v>
      </c>
      <c r="AB460" s="93">
        <f t="shared" si="187"/>
        <v>0</v>
      </c>
      <c r="AC460" s="93">
        <f t="shared" si="187"/>
        <v>0</v>
      </c>
      <c r="AD460" s="93">
        <f t="shared" si="187"/>
        <v>0</v>
      </c>
      <c r="AE460" s="93">
        <f t="shared" si="187"/>
        <v>0</v>
      </c>
      <c r="AF460" s="93">
        <f t="shared" si="187"/>
        <v>0</v>
      </c>
      <c r="AG460" s="93">
        <f>SUM(F460:AF460)</f>
        <v>134014238.56753163</v>
      </c>
      <c r="AH460" s="30" t="str">
        <f t="shared" si="186"/>
        <v>ok</v>
      </c>
    </row>
    <row r="461" spans="1:34" x14ac:dyDescent="0.2">
      <c r="A461" s="14" t="s">
        <v>633</v>
      </c>
      <c r="C461" s="14" t="s">
        <v>605</v>
      </c>
      <c r="D461" s="14" t="s">
        <v>606</v>
      </c>
      <c r="E461" s="248">
        <v>1</v>
      </c>
      <c r="F461" s="101">
        <f>IF(VLOOKUP($D461,$C$5:$AU$521,3,)=0,0,(VLOOKUP($D461,$C$5:$AU$521,4,)/VLOOKUP($D461,$C$5:$AU$521,3,))*$E461)</f>
        <v>0.79147715702213728</v>
      </c>
      <c r="G461" s="101">
        <f>IF(VLOOKUP($D461,$C$5:$AU$521,3,)=0,0,(VLOOKUP($D461,$C$5:$AU$521,5,)/VLOOKUP($D461,$C$5:$AU$521,3,))*$E461)</f>
        <v>5.6422196815431667E-2</v>
      </c>
      <c r="H461" s="101">
        <f>IF(VLOOKUP($D461,$C$5:$AU$521,3,)=0,0,(VLOOKUP($D461,$C$5:$AU$521,6,)/VLOOKUP($D461,$C$5:$AU$521,3,))*$E461)</f>
        <v>8.2124212103780028E-2</v>
      </c>
      <c r="I461" s="101">
        <f>IF(VLOOKUP($D461,$C$5:$AU$521,3,)=0,0,(VLOOKUP($D461,$C$5:$AU$521,7,)/VLOOKUP($D461,$C$5:$AU$521,3,))*$E461)</f>
        <v>2.8206648830844151E-3</v>
      </c>
      <c r="J461" s="101">
        <f>IF(VLOOKUP($D461,$C$5:$AU$521,3,)=0,0,(VLOOKUP($D461,$C$5:$AU$521,8,)/VLOOKUP($D461,$C$5:$AU$521,3,))*$E461)</f>
        <v>2.2432961797345118E-2</v>
      </c>
      <c r="K461" s="101">
        <f>IF(VLOOKUP($D461,$C$5:$AU$521,3,)=0,0,(VLOOKUP($D461,$C$5:$AU$521,9,)/VLOOKUP($D461,$C$5:$AU$521,3,))*$E461)</f>
        <v>2.4295185234273327E-2</v>
      </c>
      <c r="L461" s="101">
        <f>IF(VLOOKUP($D461,$C$5:$AU$521,3,)=0,0,(VLOOKUP($D461,$C$5:$AU$521,10,)/VLOOKUP($D461,$C$5:$AU$521,3,))*$E461)</f>
        <v>9.1129673171727495E-3</v>
      </c>
      <c r="M461" s="101">
        <f>IF(VLOOKUP($D461,$C$5:$AU$521,3,)=0,0,(VLOOKUP($D461,$C$5:$AU$521,11,)/VLOOKUP($D461,$C$5:$AU$521,3,))*$E461)</f>
        <v>6.4120324251489185E-3</v>
      </c>
      <c r="N461" s="101">
        <f>IF(VLOOKUP($D461,$C$5:$AU$521,3,)=0,0,(VLOOKUP($D461,$C$5:$AU$521,12,)/VLOOKUP($D461,$C$5:$AU$521,3,))*$E461)</f>
        <v>4.9026224016263343E-3</v>
      </c>
      <c r="O461" s="101">
        <f>IF(VLOOKUP($D461,$C$5:$AU$521,3,)=0,0,(VLOOKUP($D461,$C$5:$AU$521,13,)/VLOOKUP($D461,$C$5:$AU$521,3,))*$E461)</f>
        <v>0</v>
      </c>
      <c r="P461" s="101">
        <f>IF(VLOOKUP($D461,$C$5:$AU$521,3,)=0,0,(VLOOKUP($D461,$C$5:$AU$521,14,)/VLOOKUP($D461,$C$5:$AU$521,3,))*$E461)</f>
        <v>0</v>
      </c>
      <c r="Q461" s="101">
        <f>IF(VLOOKUP($D461,$C$5:$AU$521,3,)=0,0,(VLOOKUP($D461,$C$5:$AU$521,15,)/VLOOKUP($D461,$C$5:$AU$521,3,))*$E461)</f>
        <v>0</v>
      </c>
      <c r="R461" s="101">
        <f>IF(VLOOKUP($D461,$C$5:$AU$521,3,)=0,0,(VLOOKUP($D461,$C$5:$AU$521,16,)/VLOOKUP($D461,$C$5:$AU$521,3,))*$E461)</f>
        <v>0</v>
      </c>
      <c r="S461" s="101">
        <f>IF(VLOOKUP($D461,$C$5:$AU$521,3,)=0,0,(VLOOKUP($D461,$C$5:$AU$521,17,)/VLOOKUP($D461,$C$5:$AU$521,3,))*$E461)</f>
        <v>0</v>
      </c>
      <c r="T461" s="101">
        <f>IF(VLOOKUP($D461,$C$5:$AU$521,3,)=0,0,(VLOOKUP($D461,$C$5:$AU$521,18,)/VLOOKUP($D461,$C$5:$AU$521,3,))*$E461)</f>
        <v>0</v>
      </c>
      <c r="U461" s="101">
        <f>IF(VLOOKUP($D461,$C$5:$AU$521,3,)=0,0,(VLOOKUP($D461,$C$5:$AU$521,19,)/VLOOKUP($D461,$C$5:$AU$521,3,))*$E461)</f>
        <v>0</v>
      </c>
      <c r="V461" s="101">
        <f>IF(VLOOKUP($D461,$C$5:$AU$521,3,)=0,0,(VLOOKUP($D461,$C$5:$AU$521,20,)/VLOOKUP($D461,$C$5:$AU$521,3,))*$E461)</f>
        <v>0</v>
      </c>
      <c r="W461" s="101">
        <f>IF(VLOOKUP($D461,$C$5:$AU$521,3,)=0,0,(VLOOKUP($D461,$C$5:$AU$521,21,)/VLOOKUP($D461,$C$5:$AU$521,3,))*$E461)</f>
        <v>0</v>
      </c>
      <c r="X461" s="101">
        <f>IF(VLOOKUP($D461,$C$5:$AU$521,3,)=0,0,(VLOOKUP($D461,$C$5:$AU$521,22,)/VLOOKUP($D461,$C$5:$AU$521,3,))*$E461)</f>
        <v>0</v>
      </c>
      <c r="Y461" s="101">
        <f>IF(VLOOKUP($D461,$C$5:$AU$521,3,)=0,0,(VLOOKUP($D461,$C$5:$AU$521,23,)/VLOOKUP($D461,$C$5:$AU$521,3,))*$E461)</f>
        <v>0</v>
      </c>
      <c r="Z461" s="101">
        <f>IF(VLOOKUP($D461,$C$5:$AU$521,3,)=0,0,(VLOOKUP($D461,$C$5:$AU$521,24,)/VLOOKUP($D461,$C$5:$AU$521,3,))*$E461)</f>
        <v>0</v>
      </c>
      <c r="AA461" s="101">
        <f>IF(VLOOKUP($D461,$C$5:$AU$521,3,)=0,0,(VLOOKUP($D461,$C$5:$AU$521,25,)/VLOOKUP($D461,$C$5:$AU$521,3,))*$E461)</f>
        <v>0</v>
      </c>
      <c r="AB461" s="101">
        <f>IF(VLOOKUP($D461,$C$5:$AU$521,3,)=0,0,(VLOOKUP($D461,$C$5:$AU$521,26,)/VLOOKUP($D461,$C$5:$AU$521,3,))*$E461)</f>
        <v>0</v>
      </c>
      <c r="AC461" s="101">
        <f>IF(VLOOKUP($D461,$C$5:$AU$521,3,)=0,0,(VLOOKUP($D461,$C$5:$AU$521,27,)/VLOOKUP($D461,$C$5:$AU$521,3,))*$E461)</f>
        <v>0</v>
      </c>
      <c r="AD461" s="101">
        <f>IF(VLOOKUP($D461,$C$5:$AU$521,3,)=0,0,(VLOOKUP($D461,$C$5:$AU$521,28,)/VLOOKUP($D461,$C$5:$AU$521,3,))*$E461)</f>
        <v>0</v>
      </c>
      <c r="AE461" s="101">
        <f>IF(VLOOKUP($D461,$C$5:$AU$521,3,)=0,0,(VLOOKUP($D461,$C$5:$AU$521,29,)/VLOOKUP($D461,$C$5:$AU$521,3,))*$E461)</f>
        <v>0</v>
      </c>
      <c r="AF461" s="101">
        <f>IF(VLOOKUP($D461,$C$5:$AU$521,3,)=0,0,(VLOOKUP($D461,$C$5:$AU$521,30,)/VLOOKUP($D461,$C$5:$AU$521,3,))*$E461)</f>
        <v>0</v>
      </c>
      <c r="AG461" s="101">
        <f>SUM(F461:AF461)</f>
        <v>0.99999999999999978</v>
      </c>
      <c r="AH461" s="30" t="str">
        <f t="shared" si="186"/>
        <v>ok</v>
      </c>
    </row>
    <row r="463" spans="1:34" x14ac:dyDescent="0.2">
      <c r="A463" s="14" t="s">
        <v>600</v>
      </c>
      <c r="C463" s="14" t="s">
        <v>625</v>
      </c>
      <c r="E463" s="234">
        <f>E456</f>
        <v>7399616.3547002124</v>
      </c>
      <c r="F463" s="48">
        <f>F456</f>
        <v>5856627.3154726354</v>
      </c>
      <c r="G463" s="50">
        <f t="shared" ref="G463:Q463" si="188">G456</f>
        <v>417502.61032358243</v>
      </c>
      <c r="H463" s="50">
        <f t="shared" si="188"/>
        <v>607687.66299999983</v>
      </c>
      <c r="I463" s="50">
        <f t="shared" si="188"/>
        <v>20871.838</v>
      </c>
      <c r="J463" s="50">
        <f t="shared" si="188"/>
        <v>165995.31100000002</v>
      </c>
      <c r="K463" s="50">
        <f t="shared" si="188"/>
        <v>179775.05000000002</v>
      </c>
      <c r="L463" s="50">
        <f t="shared" si="188"/>
        <v>67432.462</v>
      </c>
      <c r="M463" s="50">
        <f t="shared" si="188"/>
        <v>47446.58</v>
      </c>
      <c r="N463" s="50">
        <f t="shared" si="188"/>
        <v>36277.524903993857</v>
      </c>
      <c r="O463" s="50">
        <f t="shared" si="188"/>
        <v>0</v>
      </c>
      <c r="P463" s="50">
        <f t="shared" si="188"/>
        <v>0</v>
      </c>
      <c r="Q463" s="50">
        <f t="shared" si="188"/>
        <v>0</v>
      </c>
      <c r="R463" s="50">
        <f>R456</f>
        <v>0</v>
      </c>
      <c r="S463" s="50">
        <f>S456</f>
        <v>0</v>
      </c>
      <c r="T463" s="50">
        <f>T456</f>
        <v>0</v>
      </c>
      <c r="U463" s="50">
        <f t="shared" ref="U463:AF463" si="189">U456</f>
        <v>0</v>
      </c>
      <c r="V463" s="50">
        <f t="shared" si="189"/>
        <v>0</v>
      </c>
      <c r="W463" s="50">
        <f t="shared" si="189"/>
        <v>0</v>
      </c>
      <c r="X463" s="50">
        <f t="shared" si="189"/>
        <v>0</v>
      </c>
      <c r="Y463" s="50">
        <f t="shared" si="189"/>
        <v>0</v>
      </c>
      <c r="Z463" s="50">
        <f t="shared" si="189"/>
        <v>0</v>
      </c>
      <c r="AA463" s="50">
        <f t="shared" si="189"/>
        <v>0</v>
      </c>
      <c r="AB463" s="50">
        <f t="shared" si="189"/>
        <v>0</v>
      </c>
      <c r="AC463" s="50">
        <f t="shared" si="189"/>
        <v>0</v>
      </c>
      <c r="AD463" s="50">
        <f t="shared" si="189"/>
        <v>0</v>
      </c>
      <c r="AE463" s="50">
        <f t="shared" si="189"/>
        <v>0</v>
      </c>
      <c r="AF463" s="50">
        <f t="shared" si="189"/>
        <v>0</v>
      </c>
      <c r="AG463" s="50">
        <f>SUM(F463:AF463)</f>
        <v>7399616.3547002124</v>
      </c>
      <c r="AH463" s="30" t="str">
        <f t="shared" ref="AH463:AH468" si="190">IF(ABS(E463-AG463)&lt;0.01,"ok","err")</f>
        <v>ok</v>
      </c>
    </row>
    <row r="464" spans="1:34" x14ac:dyDescent="0.2">
      <c r="A464" s="14" t="s">
        <v>601</v>
      </c>
      <c r="E464" s="226">
        <f>E457</f>
        <v>134014238.56753168</v>
      </c>
      <c r="AG464" s="93">
        <f>E464</f>
        <v>134014238.56753168</v>
      </c>
      <c r="AH464" s="30" t="str">
        <f t="shared" si="190"/>
        <v>ok</v>
      </c>
    </row>
    <row r="465" spans="1:34" x14ac:dyDescent="0.2">
      <c r="A465" s="14" t="s">
        <v>592</v>
      </c>
      <c r="E465" s="233"/>
      <c r="M465" s="50">
        <v>0</v>
      </c>
      <c r="N465" s="50">
        <v>0</v>
      </c>
      <c r="P465" s="50"/>
      <c r="Q465" s="121"/>
      <c r="R465" s="14">
        <v>0</v>
      </c>
      <c r="S465" s="14">
        <v>0</v>
      </c>
      <c r="AA465" s="66">
        <v>0</v>
      </c>
      <c r="AB465" s="66">
        <v>0</v>
      </c>
      <c r="AC465" s="66">
        <v>0</v>
      </c>
      <c r="AD465" s="93">
        <f>AD458</f>
        <v>0</v>
      </c>
      <c r="AE465" s="66">
        <v>0</v>
      </c>
      <c r="AG465" s="93">
        <f>SUM(F465:AF465)</f>
        <v>0</v>
      </c>
      <c r="AH465" s="30" t="str">
        <f t="shared" si="190"/>
        <v>ok</v>
      </c>
    </row>
    <row r="466" spans="1:34" x14ac:dyDescent="0.2">
      <c r="A466" s="14" t="s">
        <v>602</v>
      </c>
      <c r="D466" s="14" t="s">
        <v>625</v>
      </c>
      <c r="E466" s="226">
        <f>E464-E465</f>
        <v>134014238.56753168</v>
      </c>
      <c r="F466" s="107">
        <f>IF(VLOOKUP($D466,$C$5:$AU$521,3,)=0,0,(VLOOKUP($D466,$C$5:$AU$521,4,)/VLOOKUP($D466,$C$5:$AU$521,3,))*$E466)</f>
        <v>106069208.54191643</v>
      </c>
      <c r="G466" s="66">
        <f>IF(VLOOKUP($D466,$C$5:$AU$521,3,)=0,0,(VLOOKUP($D466,$C$5:$AU$521,5,)/VLOOKUP($D466,$C$5:$AU$521,3,))*$E466)</f>
        <v>7561377.7445274852</v>
      </c>
      <c r="H466" s="66">
        <f>IF(VLOOKUP($D466,$C$5:$AU$521,3,)=0,0,(VLOOKUP($D466,$C$5:$AU$521,6,)/VLOOKUP($D466,$C$5:$AU$521,3,))*$E466)</f>
        <v>11005813.75304655</v>
      </c>
      <c r="I466" s="66">
        <f>IF(VLOOKUP($D466,$C$5:$AU$521,3,)=0,0,(VLOOKUP($D466,$C$5:$AU$521,7,)/VLOOKUP($D466,$C$5:$AU$521,3,))*$E466)</f>
        <v>378009.25656073366</v>
      </c>
      <c r="J466" s="66">
        <f>IF(VLOOKUP($D466,$C$5:$AU$521,3,)=0,0,(VLOOKUP($D466,$C$5:$AU$521,8,)/VLOOKUP($D466,$C$5:$AU$521,3,))*$E466)</f>
        <v>3006336.2940857327</v>
      </c>
      <c r="K466" s="66">
        <f>IF(VLOOKUP($D466,$C$5:$AU$521,3,)=0,0,(VLOOKUP($D466,$C$5:$AU$521,9,)/VLOOKUP($D466,$C$5:$AU$521,3,))*$E466)</f>
        <v>3255900.7500282787</v>
      </c>
      <c r="L466" s="66">
        <f>IF(VLOOKUP($D466,$C$5:$AU$521,3,)=0,0,(VLOOKUP($D466,$C$5:$AU$521,10,)/VLOOKUP($D466,$C$5:$AU$521,3,))*$E466)</f>
        <v>1221267.376101708</v>
      </c>
      <c r="M466" s="66">
        <f>IF(VLOOKUP($D466,$C$5:$AU$521,3,)=0,0,(VLOOKUP($D466,$C$5:$AU$521,11,)/VLOOKUP($D466,$C$5:$AU$521,3,))*$E466)</f>
        <v>859303.64312665584</v>
      </c>
      <c r="N466" s="66">
        <f>IF(VLOOKUP($D466,$C$5:$AU$521,3,)=0,0,(VLOOKUP($D466,$C$5:$AU$521,12,)/VLOOKUP($D466,$C$5:$AU$521,3,))*$E466)</f>
        <v>657021.2081380767</v>
      </c>
      <c r="O466" s="66">
        <f>IF(VLOOKUP($D466,$C$5:$AU$521,3,)=0,0,(VLOOKUP($D466,$C$5:$AU$521,13,)/VLOOKUP($D466,$C$5:$AU$521,3,))*$E466)</f>
        <v>0</v>
      </c>
      <c r="P466" s="66">
        <f>IF(VLOOKUP($D466,$C$5:$AU$521,3,)=0,0,(VLOOKUP($D466,$C$5:$AU$521,14,)/VLOOKUP($D466,$C$5:$AU$521,3,))*$E466)</f>
        <v>0</v>
      </c>
      <c r="Q466" s="66">
        <f>IF(VLOOKUP($D466,$C$5:$AU$521,3,)=0,0,(VLOOKUP($D466,$C$5:$AU$521,15,)/VLOOKUP($D466,$C$5:$AU$521,3,))*$E466)</f>
        <v>0</v>
      </c>
      <c r="R466" s="66">
        <f>IF(VLOOKUP($D466,$C$5:$AU$521,3,)=0,0,(VLOOKUP($D466,$C$5:$AU$521,16,)/VLOOKUP($D466,$C$5:$AU$521,3,))*$E466)</f>
        <v>0</v>
      </c>
      <c r="S466" s="66">
        <f>IF(VLOOKUP($D466,$C$5:$AU$521,3,)=0,0,(VLOOKUP($D466,$C$5:$AU$521,17,)/VLOOKUP($D466,$C$5:$AU$521,3,))*$E466)</f>
        <v>0</v>
      </c>
      <c r="T466" s="66">
        <f>IF(VLOOKUP($D466,$C$5:$AU$521,3,)=0,0,(VLOOKUP($D466,$C$5:$AU$521,18,)/VLOOKUP($D466,$C$5:$AU$521,3,))*$E466)</f>
        <v>0</v>
      </c>
      <c r="U466" s="66">
        <f>IF(VLOOKUP($D466,$C$5:$AU$521,3,)=0,0,(VLOOKUP($D466,$C$5:$AU$521,19,)/VLOOKUP($D466,$C$5:$AU$521,3,))*$E466)</f>
        <v>0</v>
      </c>
      <c r="V466" s="66">
        <f>IF(VLOOKUP($D466,$C$5:$AU$521,3,)=0,0,(VLOOKUP($D466,$C$5:$AU$521,20,)/VLOOKUP($D466,$C$5:$AU$521,3,))*$E466)</f>
        <v>0</v>
      </c>
      <c r="W466" s="66">
        <f>IF(VLOOKUP($D466,$C$5:$AU$521,3,)=0,0,(VLOOKUP($D466,$C$5:$AU$521,21,)/VLOOKUP($D466,$C$5:$AU$521,3,))*$E466)</f>
        <v>0</v>
      </c>
      <c r="X466" s="66">
        <f>IF(VLOOKUP($D466,$C$5:$AU$521,3,)=0,0,(VLOOKUP($D466,$C$5:$AU$521,22,)/VLOOKUP($D466,$C$5:$AU$521,3,))*$E466)</f>
        <v>0</v>
      </c>
      <c r="Y466" s="66">
        <f>IF(VLOOKUP($D466,$C$5:$AU$521,3,)=0,0,(VLOOKUP($D466,$C$5:$AU$521,23,)/VLOOKUP($D466,$C$5:$AU$521,3,))*$E466)</f>
        <v>0</v>
      </c>
      <c r="Z466" s="66">
        <f>IF(VLOOKUP($D466,$C$5:$AU$521,3,)=0,0,(VLOOKUP($D466,$C$5:$AU$521,24,)/VLOOKUP($D466,$C$5:$AU$521,3,))*$E466)</f>
        <v>0</v>
      </c>
      <c r="AA466" s="66">
        <f>IF(VLOOKUP($D466,$C$5:$AU$521,3,)=0,0,(VLOOKUP($D466,$C$5:$AU$521,25,)/VLOOKUP($D466,$C$5:$AU$521,3,))*$E466)</f>
        <v>0</v>
      </c>
      <c r="AB466" s="66">
        <f>IF(VLOOKUP($D466,$C$5:$AU$521,3,)=0,0,(VLOOKUP($D466,$C$5:$AU$521,26,)/VLOOKUP($D466,$C$5:$AU$521,3,))*$E466)</f>
        <v>0</v>
      </c>
      <c r="AC466" s="66">
        <f>IF(VLOOKUP($D466,$C$5:$AU$521,3,)=0,0,(VLOOKUP($D466,$C$5:$AU$521,27,)/VLOOKUP($D466,$C$5:$AU$521,3,))*$E466)</f>
        <v>0</v>
      </c>
      <c r="AD466" s="66">
        <f>IF(VLOOKUP($D466,$C$5:$AU$521,3,)=0,0,(VLOOKUP($D466,$C$5:$AU$521,28,)/VLOOKUP($D466,$C$5:$AU$521,3,))*$E466)</f>
        <v>0</v>
      </c>
      <c r="AE466" s="66">
        <f>IF(VLOOKUP($D466,$C$5:$AU$521,3,)=0,0,(VLOOKUP($D466,$C$5:$AU$521,29,)/VLOOKUP($D466,$C$5:$AU$521,3,))*$E466)</f>
        <v>0</v>
      </c>
      <c r="AF466" s="66">
        <f>IF(VLOOKUP($D466,$C$5:$AU$521,3,)=0,0,(VLOOKUP($D466,$C$5:$AU$521,30,)/VLOOKUP($D466,$C$5:$AU$521,3,))*$E466)</f>
        <v>0</v>
      </c>
      <c r="AG466" s="93">
        <f>SUM(F466:AF466)</f>
        <v>134014238.56753163</v>
      </c>
      <c r="AH466" s="30" t="str">
        <f t="shared" si="190"/>
        <v>ok</v>
      </c>
    </row>
    <row r="467" spans="1:34" x14ac:dyDescent="0.2">
      <c r="A467" s="14" t="s">
        <v>603</v>
      </c>
      <c r="C467" s="14" t="s">
        <v>626</v>
      </c>
      <c r="E467" s="226">
        <f t="shared" ref="E467:AF467" si="191">E465+E466</f>
        <v>134014238.56753168</v>
      </c>
      <c r="F467" s="108">
        <f t="shared" si="191"/>
        <v>106069208.54191643</v>
      </c>
      <c r="G467" s="93">
        <f t="shared" si="191"/>
        <v>7561377.7445274852</v>
      </c>
      <c r="H467" s="93">
        <f t="shared" si="191"/>
        <v>11005813.75304655</v>
      </c>
      <c r="I467" s="93">
        <f t="shared" si="191"/>
        <v>378009.25656073366</v>
      </c>
      <c r="J467" s="93">
        <f t="shared" si="191"/>
        <v>3006336.2940857327</v>
      </c>
      <c r="K467" s="93">
        <f t="shared" si="191"/>
        <v>3255900.7500282787</v>
      </c>
      <c r="L467" s="93">
        <f t="shared" si="191"/>
        <v>1221267.376101708</v>
      </c>
      <c r="M467" s="93">
        <f t="shared" si="191"/>
        <v>859303.64312665584</v>
      </c>
      <c r="N467" s="93">
        <f t="shared" si="191"/>
        <v>657021.2081380767</v>
      </c>
      <c r="O467" s="93">
        <f t="shared" si="191"/>
        <v>0</v>
      </c>
      <c r="P467" s="93">
        <f t="shared" si="191"/>
        <v>0</v>
      </c>
      <c r="Q467" s="93">
        <f t="shared" si="191"/>
        <v>0</v>
      </c>
      <c r="R467" s="93">
        <f t="shared" si="191"/>
        <v>0</v>
      </c>
      <c r="S467" s="93">
        <f t="shared" si="191"/>
        <v>0</v>
      </c>
      <c r="T467" s="93">
        <f t="shared" si="191"/>
        <v>0</v>
      </c>
      <c r="U467" s="93">
        <f t="shared" si="191"/>
        <v>0</v>
      </c>
      <c r="V467" s="93">
        <f t="shared" si="191"/>
        <v>0</v>
      </c>
      <c r="W467" s="93">
        <f t="shared" si="191"/>
        <v>0</v>
      </c>
      <c r="X467" s="93">
        <f t="shared" si="191"/>
        <v>0</v>
      </c>
      <c r="Y467" s="93">
        <f t="shared" si="191"/>
        <v>0</v>
      </c>
      <c r="Z467" s="93">
        <f t="shared" si="191"/>
        <v>0</v>
      </c>
      <c r="AA467" s="93">
        <f t="shared" si="191"/>
        <v>0</v>
      </c>
      <c r="AB467" s="93">
        <f t="shared" si="191"/>
        <v>0</v>
      </c>
      <c r="AC467" s="93">
        <f t="shared" si="191"/>
        <v>0</v>
      </c>
      <c r="AD467" s="93">
        <f t="shared" si="191"/>
        <v>0</v>
      </c>
      <c r="AE467" s="93">
        <f t="shared" si="191"/>
        <v>0</v>
      </c>
      <c r="AF467" s="93">
        <f t="shared" si="191"/>
        <v>0</v>
      </c>
      <c r="AG467" s="93">
        <f>SUM(F467:AF467)</f>
        <v>134014238.56753163</v>
      </c>
      <c r="AH467" s="30" t="str">
        <f t="shared" si="190"/>
        <v>ok</v>
      </c>
    </row>
    <row r="468" spans="1:34" x14ac:dyDescent="0.2">
      <c r="A468" s="14" t="s">
        <v>632</v>
      </c>
      <c r="C468" s="14" t="s">
        <v>627</v>
      </c>
      <c r="D468" s="14" t="s">
        <v>626</v>
      </c>
      <c r="E468" s="248">
        <v>1</v>
      </c>
      <c r="F468" s="101">
        <f>IF(VLOOKUP($D468,$C$5:$AU$521,3,)=0,0,(VLOOKUP($D468,$C$5:$AU$521,4,)/VLOOKUP($D468,$C$5:$AU$521,3,))*$E468)</f>
        <v>0.79147715702213728</v>
      </c>
      <c r="G468" s="101">
        <f>IF(VLOOKUP($D468,$C$5:$AU$521,3,)=0,0,(VLOOKUP($D468,$C$5:$AU$521,5,)/VLOOKUP($D468,$C$5:$AU$521,3,))*$E468)</f>
        <v>5.6422196815431667E-2</v>
      </c>
      <c r="H468" s="101">
        <f>IF(VLOOKUP($D468,$C$5:$AU$521,3,)=0,0,(VLOOKUP($D468,$C$5:$AU$521,6,)/VLOOKUP($D468,$C$5:$AU$521,3,))*$E468)</f>
        <v>8.2124212103780028E-2</v>
      </c>
      <c r="I468" s="101">
        <f>IF(VLOOKUP($D468,$C$5:$AU$521,3,)=0,0,(VLOOKUP($D468,$C$5:$AU$521,7,)/VLOOKUP($D468,$C$5:$AU$521,3,))*$E468)</f>
        <v>2.8206648830844151E-3</v>
      </c>
      <c r="J468" s="101">
        <f>IF(VLOOKUP($D468,$C$5:$AU$521,3,)=0,0,(VLOOKUP($D468,$C$5:$AU$521,8,)/VLOOKUP($D468,$C$5:$AU$521,3,))*$E468)</f>
        <v>2.2432961797345118E-2</v>
      </c>
      <c r="K468" s="101">
        <f>IF(VLOOKUP($D468,$C$5:$AU$521,3,)=0,0,(VLOOKUP($D468,$C$5:$AU$521,9,)/VLOOKUP($D468,$C$5:$AU$521,3,))*$E468)</f>
        <v>2.4295185234273327E-2</v>
      </c>
      <c r="L468" s="101">
        <f>IF(VLOOKUP($D468,$C$5:$AU$521,3,)=0,0,(VLOOKUP($D468,$C$5:$AU$521,10,)/VLOOKUP($D468,$C$5:$AU$521,3,))*$E468)</f>
        <v>9.1129673171727495E-3</v>
      </c>
      <c r="M468" s="101">
        <f>IF(VLOOKUP($D468,$C$5:$AU$521,3,)=0,0,(VLOOKUP($D468,$C$5:$AU$521,11,)/VLOOKUP($D468,$C$5:$AU$521,3,))*$E468)</f>
        <v>6.4120324251489185E-3</v>
      </c>
      <c r="N468" s="101">
        <f>IF(VLOOKUP($D468,$C$5:$AU$521,3,)=0,0,(VLOOKUP($D468,$C$5:$AU$521,12,)/VLOOKUP($D468,$C$5:$AU$521,3,))*$E468)</f>
        <v>4.9026224016263343E-3</v>
      </c>
      <c r="O468" s="101">
        <f>IF(VLOOKUP($D468,$C$5:$AU$521,3,)=0,0,(VLOOKUP($D468,$C$5:$AU$521,13,)/VLOOKUP($D468,$C$5:$AU$521,3,))*$E468)</f>
        <v>0</v>
      </c>
      <c r="P468" s="101">
        <f>IF(VLOOKUP($D468,$C$5:$AU$521,3,)=0,0,(VLOOKUP($D468,$C$5:$AU$521,14,)/VLOOKUP($D468,$C$5:$AU$521,3,))*$E468)</f>
        <v>0</v>
      </c>
      <c r="Q468" s="101">
        <f>IF(VLOOKUP($D468,$C$5:$AU$521,3,)=0,0,(VLOOKUP($D468,$C$5:$AU$521,15,)/VLOOKUP($D468,$C$5:$AU$521,3,))*$E468)</f>
        <v>0</v>
      </c>
      <c r="R468" s="101">
        <f>IF(VLOOKUP($D468,$C$5:$AU$521,3,)=0,0,(VLOOKUP($D468,$C$5:$AU$521,16,)/VLOOKUP($D468,$C$5:$AU$521,3,))*$E468)</f>
        <v>0</v>
      </c>
      <c r="S468" s="101">
        <f>IF(VLOOKUP($D468,$C$5:$AU$521,3,)=0,0,(VLOOKUP($D468,$C$5:$AU$521,17,)/VLOOKUP($D468,$C$5:$AU$521,3,))*$E468)</f>
        <v>0</v>
      </c>
      <c r="T468" s="101">
        <f>IF(VLOOKUP($D468,$C$5:$AU$521,3,)=0,0,(VLOOKUP($D468,$C$5:$AU$521,18,)/VLOOKUP($D468,$C$5:$AU$521,3,))*$E468)</f>
        <v>0</v>
      </c>
      <c r="U468" s="101">
        <f>IF(VLOOKUP($D468,$C$5:$AU$521,3,)=0,0,(VLOOKUP($D468,$C$5:$AU$521,19,)/VLOOKUP($D468,$C$5:$AU$521,3,))*$E468)</f>
        <v>0</v>
      </c>
      <c r="V468" s="101">
        <f>IF(VLOOKUP($D468,$C$5:$AU$521,3,)=0,0,(VLOOKUP($D468,$C$5:$AU$521,20,)/VLOOKUP($D468,$C$5:$AU$521,3,))*$E468)</f>
        <v>0</v>
      </c>
      <c r="W468" s="101">
        <f>IF(VLOOKUP($D468,$C$5:$AU$521,3,)=0,0,(VLOOKUP($D468,$C$5:$AU$521,21,)/VLOOKUP($D468,$C$5:$AU$521,3,))*$E468)</f>
        <v>0</v>
      </c>
      <c r="X468" s="101">
        <f>IF(VLOOKUP($D468,$C$5:$AU$521,3,)=0,0,(VLOOKUP($D468,$C$5:$AU$521,22,)/VLOOKUP($D468,$C$5:$AU$521,3,))*$E468)</f>
        <v>0</v>
      </c>
      <c r="Y468" s="101">
        <f>IF(VLOOKUP($D468,$C$5:$AU$521,3,)=0,0,(VLOOKUP($D468,$C$5:$AU$521,23,)/VLOOKUP($D468,$C$5:$AU$521,3,))*$E468)</f>
        <v>0</v>
      </c>
      <c r="Z468" s="101">
        <f>IF(VLOOKUP($D468,$C$5:$AU$521,3,)=0,0,(VLOOKUP($D468,$C$5:$AU$521,24,)/VLOOKUP($D468,$C$5:$AU$521,3,))*$E468)</f>
        <v>0</v>
      </c>
      <c r="AA468" s="101">
        <f>IF(VLOOKUP($D468,$C$5:$AU$521,3,)=0,0,(VLOOKUP($D468,$C$5:$AU$521,25,)/VLOOKUP($D468,$C$5:$AU$521,3,))*$E468)</f>
        <v>0</v>
      </c>
      <c r="AB468" s="101">
        <f>IF(VLOOKUP($D468,$C$5:$AU$521,3,)=0,0,(VLOOKUP($D468,$C$5:$AU$521,26,)/VLOOKUP($D468,$C$5:$AU$521,3,))*$E468)</f>
        <v>0</v>
      </c>
      <c r="AC468" s="101">
        <f>IF(VLOOKUP($D468,$C$5:$AU$521,3,)=0,0,(VLOOKUP($D468,$C$5:$AU$521,27,)/VLOOKUP($D468,$C$5:$AU$521,3,))*$E468)</f>
        <v>0</v>
      </c>
      <c r="AD468" s="101">
        <f>IF(VLOOKUP($D468,$C$5:$AU$521,3,)=0,0,(VLOOKUP($D468,$C$5:$AU$521,28,)/VLOOKUP($D468,$C$5:$AU$521,3,))*$E468)</f>
        <v>0</v>
      </c>
      <c r="AE468" s="101">
        <f>IF(VLOOKUP($D468,$C$5:$AU$521,3,)=0,0,(VLOOKUP($D468,$C$5:$AU$521,29,)/VLOOKUP($D468,$C$5:$AU$521,3,))*$E468)</f>
        <v>0</v>
      </c>
      <c r="AF468" s="101">
        <f>IF(VLOOKUP($D468,$C$5:$AU$521,3,)=0,0,(VLOOKUP($D468,$C$5:$AU$521,30,)/VLOOKUP($D468,$C$5:$AU$521,3,))*$E468)</f>
        <v>0</v>
      </c>
      <c r="AG468" s="101">
        <f>SUM(F468:AF468)</f>
        <v>0.99999999999999978</v>
      </c>
      <c r="AH468" s="30" t="str">
        <f t="shared" si="190"/>
        <v>ok</v>
      </c>
    </row>
    <row r="470" spans="1:34" x14ac:dyDescent="0.2">
      <c r="A470" s="14" t="s">
        <v>607</v>
      </c>
      <c r="C470" s="14" t="s">
        <v>611</v>
      </c>
      <c r="E470" s="234">
        <v>3104664.9999090945</v>
      </c>
      <c r="F470" s="50">
        <f t="shared" ref="F470:S470" si="192">F449</f>
        <v>2376674.6522268122</v>
      </c>
      <c r="G470" s="50">
        <f t="shared" si="192"/>
        <v>0</v>
      </c>
      <c r="H470" s="50">
        <f t="shared" si="192"/>
        <v>376902.76785234257</v>
      </c>
      <c r="I470" s="50">
        <f t="shared" si="192"/>
        <v>13480.065549795188</v>
      </c>
      <c r="J470" s="50">
        <f t="shared" si="192"/>
        <v>120777.5495445042</v>
      </c>
      <c r="K470" s="50">
        <f t="shared" si="192"/>
        <v>153899.23361559139</v>
      </c>
      <c r="L470" s="50">
        <f t="shared" si="192"/>
        <v>23760.532338869689</v>
      </c>
      <c r="M470" s="50">
        <f t="shared" si="192"/>
        <v>21014.854253529371</v>
      </c>
      <c r="N470" s="50">
        <f t="shared" si="192"/>
        <v>18155.344527649773</v>
      </c>
      <c r="O470" s="50">
        <f t="shared" si="192"/>
        <v>0</v>
      </c>
      <c r="P470" s="50">
        <f t="shared" si="192"/>
        <v>0</v>
      </c>
      <c r="Q470" s="50">
        <f t="shared" si="192"/>
        <v>0</v>
      </c>
      <c r="R470" s="50">
        <f t="shared" si="192"/>
        <v>0</v>
      </c>
      <c r="S470" s="50">
        <f t="shared" si="192"/>
        <v>0</v>
      </c>
      <c r="T470" s="50">
        <f t="shared" ref="T470:AC470" si="193">T437</f>
        <v>0</v>
      </c>
      <c r="U470" s="50">
        <f t="shared" si="193"/>
        <v>0</v>
      </c>
      <c r="V470" s="50">
        <f t="shared" si="193"/>
        <v>0</v>
      </c>
      <c r="W470" s="50">
        <f t="shared" si="193"/>
        <v>0</v>
      </c>
      <c r="X470" s="50">
        <f t="shared" si="193"/>
        <v>0</v>
      </c>
      <c r="Y470" s="50">
        <f t="shared" si="193"/>
        <v>0</v>
      </c>
      <c r="Z470" s="50">
        <f t="shared" si="193"/>
        <v>0</v>
      </c>
      <c r="AA470" s="50">
        <f t="shared" si="193"/>
        <v>0</v>
      </c>
      <c r="AB470" s="50">
        <f t="shared" si="193"/>
        <v>0</v>
      </c>
      <c r="AC470" s="50">
        <f t="shared" si="193"/>
        <v>0</v>
      </c>
      <c r="AD470" s="50">
        <v>0</v>
      </c>
      <c r="AE470" s="50">
        <v>0</v>
      </c>
      <c r="AF470" s="50">
        <f>AF437</f>
        <v>0</v>
      </c>
      <c r="AG470" s="93">
        <f>SUM(F470:AF470)</f>
        <v>3104664.9999090945</v>
      </c>
      <c r="AH470" s="30" t="str">
        <f t="shared" ref="AH470:AH475" si="194">IF(ABS(E470-AG470)&lt;0.01,"ok","err")</f>
        <v>ok</v>
      </c>
    </row>
    <row r="471" spans="1:34" x14ac:dyDescent="0.2">
      <c r="A471" s="14" t="s">
        <v>608</v>
      </c>
      <c r="E471" s="226">
        <f>'Func &amp; Classif'!M56</f>
        <v>1014232.78</v>
      </c>
      <c r="AG471" s="93">
        <f>E471</f>
        <v>1014232.78</v>
      </c>
      <c r="AH471" s="30" t="str">
        <f t="shared" si="194"/>
        <v>ok</v>
      </c>
    </row>
    <row r="472" spans="1:34" x14ac:dyDescent="0.2">
      <c r="A472" s="14" t="s">
        <v>592</v>
      </c>
      <c r="E472" s="234"/>
      <c r="F472" s="50">
        <v>0</v>
      </c>
      <c r="G472" s="50">
        <v>0</v>
      </c>
      <c r="H472" s="50">
        <v>0</v>
      </c>
      <c r="I472" s="50">
        <v>0</v>
      </c>
      <c r="J472" s="50">
        <v>0</v>
      </c>
      <c r="K472" s="50">
        <v>0</v>
      </c>
      <c r="L472" s="50">
        <v>0</v>
      </c>
      <c r="M472" s="50">
        <v>0</v>
      </c>
      <c r="N472" s="50">
        <v>0</v>
      </c>
      <c r="O472" s="66"/>
      <c r="P472" s="50"/>
      <c r="Q472" s="14">
        <v>0</v>
      </c>
      <c r="R472" s="14">
        <v>0</v>
      </c>
      <c r="S472" s="14">
        <v>0</v>
      </c>
      <c r="AG472" s="93">
        <f>SUM(F472:AF472)</f>
        <v>0</v>
      </c>
      <c r="AH472" s="30" t="str">
        <f t="shared" si="194"/>
        <v>ok</v>
      </c>
    </row>
    <row r="473" spans="1:34" x14ac:dyDescent="0.2">
      <c r="A473" s="14" t="s">
        <v>609</v>
      </c>
      <c r="D473" s="14" t="s">
        <v>611</v>
      </c>
      <c r="E473" s="226">
        <f>E471-E472</f>
        <v>1014232.78</v>
      </c>
      <c r="F473" s="66">
        <f>IF(VLOOKUP($D473,$C$5:$AU$521,3,)=0,0,(VLOOKUP($D473,$C$5:$AU$521,4,)/VLOOKUP($D473,$C$5:$AU$521,3,))*$E473)</f>
        <v>776412.70145220601</v>
      </c>
      <c r="G473" s="66">
        <f>IF(VLOOKUP($D473,$C$5:$AU$521,3,)=0,0,(VLOOKUP($D473,$C$5:$AU$521,5,)/VLOOKUP($D473,$C$5:$AU$521,3,))*$E473)</f>
        <v>0</v>
      </c>
      <c r="H473" s="66">
        <f>IF(VLOOKUP($D473,$C$5:$AU$521,3,)=0,0,(VLOOKUP($D473,$C$5:$AU$521,6,)/VLOOKUP($D473,$C$5:$AU$521,3,))*$E473)</f>
        <v>123126.69548558989</v>
      </c>
      <c r="I473" s="66">
        <f>IF(VLOOKUP($D473,$C$5:$AU$521,3,)=0,0,(VLOOKUP($D473,$C$5:$AU$521,7,)/VLOOKUP($D473,$C$5:$AU$521,3,))*$E473)</f>
        <v>4403.6713647209344</v>
      </c>
      <c r="J473" s="66">
        <f>IF(VLOOKUP($D473,$C$5:$AU$521,3,)=0,0,(VLOOKUP($D473,$C$5:$AU$521,8,)/VLOOKUP($D473,$C$5:$AU$521,3,))*$E473)</f>
        <v>39455.641700375716</v>
      </c>
      <c r="K473" s="66">
        <f>IF(VLOOKUP($D473,$C$5:$AU$521,3,)=0,0,(VLOOKUP($D473,$C$5:$AU$521,9,)/VLOOKUP($D473,$C$5:$AU$521,3,))*$E473)</f>
        <v>50275.84217762015</v>
      </c>
      <c r="L473" s="66">
        <f>IF(VLOOKUP($D473,$C$5:$AU$521,3,)=0,0,(VLOOKUP($D473,$C$5:$AU$521,10,)/VLOOKUP($D473,$C$5:$AU$521,3,))*$E473)</f>
        <v>7762.0969634525227</v>
      </c>
      <c r="M473" s="66">
        <f>IF(VLOOKUP($D473,$C$5:$AU$521,3,)=0,0,(VLOOKUP($D473,$C$5:$AU$521,11,)/VLOOKUP($D473,$C$5:$AU$521,3,))*$E473)</f>
        <v>6865.1381232680487</v>
      </c>
      <c r="N473" s="66">
        <f>IF(VLOOKUP($D473,$C$5:$AU$521,3,)=0,0,(VLOOKUP($D473,$C$5:$AU$521,12,)/VLOOKUP($D473,$C$5:$AU$521,3,))*$E473)</f>
        <v>5930.9927327667165</v>
      </c>
      <c r="O473" s="66">
        <f>IF(VLOOKUP($D473,$C$5:$AU$521,3,)=0,0,(VLOOKUP($D473,$C$5:$AU$521,13,)/VLOOKUP($D473,$C$5:$AU$521,3,))*$E473)</f>
        <v>0</v>
      </c>
      <c r="P473" s="66">
        <f>IF(VLOOKUP($D473,$C$5:$AU$521,3,)=0,0,(VLOOKUP($D473,$C$5:$AU$521,14,)/VLOOKUP($D473,$C$5:$AU$521,3,))*$E473)</f>
        <v>0</v>
      </c>
      <c r="Q473" s="66">
        <f>IF(VLOOKUP($D473,$C$5:$AU$521,3,)=0,0,(VLOOKUP($D473,$C$5:$AU$521,15,)/VLOOKUP($D473,$C$5:$AU$521,3,))*$E473)</f>
        <v>0</v>
      </c>
      <c r="R473" s="66">
        <f>IF(VLOOKUP($D473,$C$5:$AU$521,3,)=0,0,(VLOOKUP($D473,$C$5:$AU$521,16,)/VLOOKUP($D473,$C$5:$AU$521,3,))*$E473)</f>
        <v>0</v>
      </c>
      <c r="S473" s="66">
        <f>IF(VLOOKUP($D473,$C$5:$AU$521,3,)=0,0,(VLOOKUP($D473,$C$5:$AU$521,17,)/VLOOKUP($D473,$C$5:$AU$521,3,))*$E473)</f>
        <v>0</v>
      </c>
      <c r="T473" s="66">
        <f>IF(VLOOKUP($D473,$C$5:$AU$521,3,)=0,0,(VLOOKUP($D473,$C$5:$AU$521,18,)/VLOOKUP($D473,$C$5:$AU$521,3,))*$E473)</f>
        <v>0</v>
      </c>
      <c r="U473" s="66">
        <f>IF(VLOOKUP($D473,$C$5:$AU$521,3,)=0,0,(VLOOKUP($D473,$C$5:$AU$521,19,)/VLOOKUP($D473,$C$5:$AU$521,3,))*$E473)</f>
        <v>0</v>
      </c>
      <c r="V473" s="66">
        <f>IF(VLOOKUP($D473,$C$5:$AU$521,3,)=0,0,(VLOOKUP($D473,$C$5:$AU$521,20,)/VLOOKUP($D473,$C$5:$AU$521,3,))*$E473)</f>
        <v>0</v>
      </c>
      <c r="W473" s="66">
        <f>IF(VLOOKUP($D473,$C$5:$AU$521,3,)=0,0,(VLOOKUP($D473,$C$5:$AU$521,21,)/VLOOKUP($D473,$C$5:$AU$521,3,))*$E473)</f>
        <v>0</v>
      </c>
      <c r="X473" s="66">
        <f>IF(VLOOKUP($D473,$C$5:$AU$521,3,)=0,0,(VLOOKUP($D473,$C$5:$AU$521,22,)/VLOOKUP($D473,$C$5:$AU$521,3,))*$E473)</f>
        <v>0</v>
      </c>
      <c r="Y473" s="66">
        <f>IF(VLOOKUP($D473,$C$5:$AU$521,3,)=0,0,(VLOOKUP($D473,$C$5:$AU$521,23,)/VLOOKUP($D473,$C$5:$AU$521,3,))*$E473)</f>
        <v>0</v>
      </c>
      <c r="Z473" s="66">
        <f>IF(VLOOKUP($D473,$C$5:$AU$521,3,)=0,0,(VLOOKUP($D473,$C$5:$AU$521,24,)/VLOOKUP($D473,$C$5:$AU$521,3,))*$E473)</f>
        <v>0</v>
      </c>
      <c r="AA473" s="66">
        <f>IF(VLOOKUP($D473,$C$5:$AU$521,3,)=0,0,(VLOOKUP($D473,$C$5:$AU$521,25,)/VLOOKUP($D473,$C$5:$AU$521,3,))*$E473)</f>
        <v>0</v>
      </c>
      <c r="AB473" s="66">
        <f>IF(VLOOKUP($D473,$C$5:$AU$521,3,)=0,0,(VLOOKUP($D473,$C$5:$AU$521,26,)/VLOOKUP($D473,$C$5:$AU$521,3,))*$E473)</f>
        <v>0</v>
      </c>
      <c r="AC473" s="66">
        <f>IF(VLOOKUP($D473,$C$5:$AU$521,3,)=0,0,(VLOOKUP($D473,$C$5:$AU$521,27,)/VLOOKUP($D473,$C$5:$AU$521,3,))*$E473)</f>
        <v>0</v>
      </c>
      <c r="AD473" s="66">
        <f>IF(VLOOKUP($D473,$C$5:$AU$521,3,)=0,0,(VLOOKUP($D473,$C$5:$AU$521,28,)/VLOOKUP($D473,$C$5:$AU$521,3,))*$E473)</f>
        <v>0</v>
      </c>
      <c r="AE473" s="66">
        <f>IF(VLOOKUP($D473,$C$5:$AU$521,3,)=0,0,(VLOOKUP($D473,$C$5:$AU$521,29,)/VLOOKUP($D473,$C$5:$AU$521,3,))*$E473)</f>
        <v>0</v>
      </c>
      <c r="AF473" s="66">
        <f>IF(VLOOKUP($D473,$C$5:$AU$521,3,)=0,0,(VLOOKUP($D473,$C$5:$AU$521,30,)/VLOOKUP($D473,$C$5:$AU$521,3,))*$E473)</f>
        <v>0</v>
      </c>
      <c r="AG473" s="93">
        <f>SUM(F473:AF473)</f>
        <v>1014232.7799999999</v>
      </c>
      <c r="AH473" s="30" t="str">
        <f t="shared" si="194"/>
        <v>ok</v>
      </c>
    </row>
    <row r="474" spans="1:34" x14ac:dyDescent="0.2">
      <c r="A474" s="14" t="s">
        <v>610</v>
      </c>
      <c r="C474" s="14" t="s">
        <v>612</v>
      </c>
      <c r="E474" s="226">
        <f t="shared" ref="E474:AF474" si="195">E472+E473</f>
        <v>1014232.78</v>
      </c>
      <c r="F474" s="93">
        <f t="shared" si="195"/>
        <v>776412.70145220601</v>
      </c>
      <c r="G474" s="93">
        <f t="shared" si="195"/>
        <v>0</v>
      </c>
      <c r="H474" s="93">
        <f t="shared" si="195"/>
        <v>123126.69548558989</v>
      </c>
      <c r="I474" s="93">
        <f t="shared" si="195"/>
        <v>4403.6713647209344</v>
      </c>
      <c r="J474" s="93">
        <f t="shared" si="195"/>
        <v>39455.641700375716</v>
      </c>
      <c r="K474" s="93">
        <f t="shared" si="195"/>
        <v>50275.84217762015</v>
      </c>
      <c r="L474" s="93">
        <f t="shared" si="195"/>
        <v>7762.0969634525227</v>
      </c>
      <c r="M474" s="93">
        <f t="shared" si="195"/>
        <v>6865.1381232680487</v>
      </c>
      <c r="N474" s="93">
        <f t="shared" si="195"/>
        <v>5930.9927327667165</v>
      </c>
      <c r="O474" s="93">
        <f t="shared" si="195"/>
        <v>0</v>
      </c>
      <c r="P474" s="93">
        <f t="shared" si="195"/>
        <v>0</v>
      </c>
      <c r="Q474" s="93">
        <f t="shared" si="195"/>
        <v>0</v>
      </c>
      <c r="R474" s="93">
        <f t="shared" si="195"/>
        <v>0</v>
      </c>
      <c r="S474" s="93">
        <f t="shared" si="195"/>
        <v>0</v>
      </c>
      <c r="T474" s="93">
        <f t="shared" si="195"/>
        <v>0</v>
      </c>
      <c r="U474" s="93">
        <f t="shared" si="195"/>
        <v>0</v>
      </c>
      <c r="V474" s="93">
        <f t="shared" si="195"/>
        <v>0</v>
      </c>
      <c r="W474" s="93">
        <f t="shared" si="195"/>
        <v>0</v>
      </c>
      <c r="X474" s="93">
        <f t="shared" si="195"/>
        <v>0</v>
      </c>
      <c r="Y474" s="93">
        <f t="shared" si="195"/>
        <v>0</v>
      </c>
      <c r="Z474" s="93">
        <f t="shared" si="195"/>
        <v>0</v>
      </c>
      <c r="AA474" s="93">
        <f t="shared" si="195"/>
        <v>0</v>
      </c>
      <c r="AB474" s="93">
        <f t="shared" si="195"/>
        <v>0</v>
      </c>
      <c r="AC474" s="93">
        <f t="shared" si="195"/>
        <v>0</v>
      </c>
      <c r="AD474" s="93">
        <f t="shared" si="195"/>
        <v>0</v>
      </c>
      <c r="AE474" s="93">
        <f t="shared" si="195"/>
        <v>0</v>
      </c>
      <c r="AF474" s="93">
        <f t="shared" si="195"/>
        <v>0</v>
      </c>
      <c r="AG474" s="93">
        <f>SUM(F474:AF474)</f>
        <v>1014232.7799999999</v>
      </c>
      <c r="AH474" s="30" t="str">
        <f t="shared" si="194"/>
        <v>ok</v>
      </c>
    </row>
    <row r="475" spans="1:34" x14ac:dyDescent="0.2">
      <c r="A475" s="14" t="s">
        <v>634</v>
      </c>
      <c r="C475" s="14" t="s">
        <v>613</v>
      </c>
      <c r="D475" s="14" t="s">
        <v>612</v>
      </c>
      <c r="E475" s="248">
        <v>1</v>
      </c>
      <c r="F475" s="101">
        <f>IF(VLOOKUP($D475,$C$5:$AU$521,3,)=0,0,(VLOOKUP($D475,$C$5:$AU$521,4,)/VLOOKUP($D475,$C$5:$AU$521,3,))*$E475)</f>
        <v>0.76551726266647191</v>
      </c>
      <c r="G475" s="101">
        <f>IF(VLOOKUP($D475,$C$5:$AU$521,3,)=0,0,(VLOOKUP($D475,$C$5:$AU$521,5,)/VLOOKUP($D475,$C$5:$AU$521,3,))*$E475)</f>
        <v>0</v>
      </c>
      <c r="H475" s="101">
        <f>IF(VLOOKUP($D475,$C$5:$AU$521,3,)=0,0,(VLOOKUP($D475,$C$5:$AU$521,6,)/VLOOKUP($D475,$C$5:$AU$521,3,))*$E475)</f>
        <v>0.12139885232815083</v>
      </c>
      <c r="I475" s="101">
        <f>IF(VLOOKUP($D475,$C$5:$AU$521,3,)=0,0,(VLOOKUP($D475,$C$5:$AU$521,7,)/VLOOKUP($D475,$C$5:$AU$521,3,))*$E475)</f>
        <v>4.3418744212950153E-3</v>
      </c>
      <c r="J475" s="101">
        <f>IF(VLOOKUP($D475,$C$5:$AU$521,3,)=0,0,(VLOOKUP($D475,$C$5:$AU$521,8,)/VLOOKUP($D475,$C$5:$AU$521,3,))*$E475)</f>
        <v>3.8901958680901357E-2</v>
      </c>
      <c r="K475" s="101">
        <f>IF(VLOOKUP($D475,$C$5:$AU$521,3,)=0,0,(VLOOKUP($D475,$C$5:$AU$521,9,)/VLOOKUP($D475,$C$5:$AU$521,3,))*$E475)</f>
        <v>4.9570318736513477E-2</v>
      </c>
      <c r="L475" s="101">
        <f>IF(VLOOKUP($D475,$C$5:$AU$521,3,)=0,0,(VLOOKUP($D475,$C$5:$AU$521,10,)/VLOOKUP($D475,$C$5:$AU$521,3,))*$E475)</f>
        <v>7.6531710634047167E-3</v>
      </c>
      <c r="M475" s="101">
        <f>IF(VLOOKUP($D475,$C$5:$AU$521,3,)=0,0,(VLOOKUP($D475,$C$5:$AU$521,11,)/VLOOKUP($D475,$C$5:$AU$521,3,))*$E475)</f>
        <v>6.7687992920797222E-3</v>
      </c>
      <c r="N475" s="101">
        <f>IF(VLOOKUP($D475,$C$5:$AU$521,3,)=0,0,(VLOOKUP($D475,$C$5:$AU$521,12,)/VLOOKUP($D475,$C$5:$AU$521,3,))*$E475)</f>
        <v>5.8477628111829674E-3</v>
      </c>
      <c r="O475" s="101">
        <f>IF(VLOOKUP($D475,$C$5:$AU$521,3,)=0,0,(VLOOKUP($D475,$C$5:$AU$521,13,)/VLOOKUP($D475,$C$5:$AU$521,3,))*$E475)</f>
        <v>0</v>
      </c>
      <c r="P475" s="101">
        <f>IF(VLOOKUP($D475,$C$5:$AU$521,3,)=0,0,(VLOOKUP($D475,$C$5:$AU$521,14,)/VLOOKUP($D475,$C$5:$AU$521,3,))*$E475)</f>
        <v>0</v>
      </c>
      <c r="Q475" s="101">
        <f>IF(VLOOKUP($D475,$C$5:$AU$521,3,)=0,0,(VLOOKUP($D475,$C$5:$AU$521,15,)/VLOOKUP($D475,$C$5:$AU$521,3,))*$E475)</f>
        <v>0</v>
      </c>
      <c r="R475" s="101">
        <f>IF(VLOOKUP($D475,$C$5:$AU$521,3,)=0,0,(VLOOKUP($D475,$C$5:$AU$521,16,)/VLOOKUP($D475,$C$5:$AU$521,3,))*$E475)</f>
        <v>0</v>
      </c>
      <c r="S475" s="101">
        <f>IF(VLOOKUP($D475,$C$5:$AU$521,3,)=0,0,(VLOOKUP($D475,$C$5:$AU$521,17,)/VLOOKUP($D475,$C$5:$AU$521,3,))*$E475)</f>
        <v>0</v>
      </c>
      <c r="T475" s="101">
        <f>IF(VLOOKUP($D475,$C$5:$AU$521,3,)=0,0,(VLOOKUP($D475,$C$5:$AU$521,18,)/VLOOKUP($D475,$C$5:$AU$521,3,))*$E475)</f>
        <v>0</v>
      </c>
      <c r="U475" s="101">
        <f>IF(VLOOKUP($D475,$C$5:$AU$521,3,)=0,0,(VLOOKUP($D475,$C$5:$AU$521,19,)/VLOOKUP($D475,$C$5:$AU$521,3,))*$E475)</f>
        <v>0</v>
      </c>
      <c r="V475" s="101">
        <f>IF(VLOOKUP($D475,$C$5:$AU$521,3,)=0,0,(VLOOKUP($D475,$C$5:$AU$521,20,)/VLOOKUP($D475,$C$5:$AU$521,3,))*$E475)</f>
        <v>0</v>
      </c>
      <c r="W475" s="101">
        <f>IF(VLOOKUP($D475,$C$5:$AU$521,3,)=0,0,(VLOOKUP($D475,$C$5:$AU$521,21,)/VLOOKUP($D475,$C$5:$AU$521,3,))*$E475)</f>
        <v>0</v>
      </c>
      <c r="X475" s="101">
        <f>IF(VLOOKUP($D475,$C$5:$AU$521,3,)=0,0,(VLOOKUP($D475,$C$5:$AU$521,22,)/VLOOKUP($D475,$C$5:$AU$521,3,))*$E475)</f>
        <v>0</v>
      </c>
      <c r="Y475" s="101">
        <f>IF(VLOOKUP($D475,$C$5:$AU$521,3,)=0,0,(VLOOKUP($D475,$C$5:$AU$521,23,)/VLOOKUP($D475,$C$5:$AU$521,3,))*$E475)</f>
        <v>0</v>
      </c>
      <c r="Z475" s="101">
        <f>IF(VLOOKUP($D475,$C$5:$AU$521,3,)=0,0,(VLOOKUP($D475,$C$5:$AU$521,24,)/VLOOKUP($D475,$C$5:$AU$521,3,))*$E475)</f>
        <v>0</v>
      </c>
      <c r="AA475" s="101">
        <f>IF(VLOOKUP($D475,$C$5:$AU$521,3,)=0,0,(VLOOKUP($D475,$C$5:$AU$521,25,)/VLOOKUP($D475,$C$5:$AU$521,3,))*$E475)</f>
        <v>0</v>
      </c>
      <c r="AB475" s="101">
        <f>IF(VLOOKUP($D475,$C$5:$AU$521,3,)=0,0,(VLOOKUP($D475,$C$5:$AU$521,26,)/VLOOKUP($D475,$C$5:$AU$521,3,))*$E475)</f>
        <v>0</v>
      </c>
      <c r="AC475" s="101">
        <f>IF(VLOOKUP($D475,$C$5:$AU$521,3,)=0,0,(VLOOKUP($D475,$C$5:$AU$521,27,)/VLOOKUP($D475,$C$5:$AU$521,3,))*$E475)</f>
        <v>0</v>
      </c>
      <c r="AD475" s="101">
        <f>IF(VLOOKUP($D475,$C$5:$AU$521,3,)=0,0,(VLOOKUP($D475,$C$5:$AU$521,28,)/VLOOKUP($D475,$C$5:$AU$521,3,))*$E475)</f>
        <v>0</v>
      </c>
      <c r="AE475" s="101">
        <f>IF(VLOOKUP($D475,$C$5:$AU$521,3,)=0,0,(VLOOKUP($D475,$C$5:$AU$521,29,)/VLOOKUP($D475,$C$5:$AU$521,3,))*$E475)</f>
        <v>0</v>
      </c>
      <c r="AF475" s="101">
        <f>IF(VLOOKUP($D475,$C$5:$AU$521,3,)=0,0,(VLOOKUP($D475,$C$5:$AU$521,30,)/VLOOKUP($D475,$C$5:$AU$521,3,))*$E475)</f>
        <v>0</v>
      </c>
      <c r="AG475" s="101">
        <f>SUM(F475:AF475)</f>
        <v>1</v>
      </c>
      <c r="AH475" s="30" t="str">
        <f t="shared" si="194"/>
        <v>ok</v>
      </c>
    </row>
    <row r="477" spans="1:34" x14ac:dyDescent="0.2">
      <c r="A477" s="14" t="s">
        <v>607</v>
      </c>
      <c r="C477" s="14" t="s">
        <v>628</v>
      </c>
      <c r="E477" s="233">
        <f>E470</f>
        <v>3104664.9999090945</v>
      </c>
      <c r="F477" s="50">
        <f>F470</f>
        <v>2376674.6522268122</v>
      </c>
      <c r="G477" s="50">
        <f t="shared" ref="G477:AF477" si="196">G470</f>
        <v>0</v>
      </c>
      <c r="H477" s="50">
        <f t="shared" si="196"/>
        <v>376902.76785234257</v>
      </c>
      <c r="I477" s="50">
        <f t="shared" si="196"/>
        <v>13480.065549795188</v>
      </c>
      <c r="J477" s="50">
        <f t="shared" si="196"/>
        <v>120777.5495445042</v>
      </c>
      <c r="K477" s="50">
        <f t="shared" si="196"/>
        <v>153899.23361559139</v>
      </c>
      <c r="L477" s="50">
        <f t="shared" si="196"/>
        <v>23760.532338869689</v>
      </c>
      <c r="M477" s="50">
        <f t="shared" si="196"/>
        <v>21014.854253529371</v>
      </c>
      <c r="N477" s="50">
        <f t="shared" si="196"/>
        <v>18155.344527649773</v>
      </c>
      <c r="O477" s="50">
        <f t="shared" si="196"/>
        <v>0</v>
      </c>
      <c r="P477" s="50">
        <f t="shared" si="196"/>
        <v>0</v>
      </c>
      <c r="Q477" s="50">
        <f t="shared" si="196"/>
        <v>0</v>
      </c>
      <c r="R477" s="50">
        <f t="shared" si="196"/>
        <v>0</v>
      </c>
      <c r="S477" s="50">
        <f t="shared" si="196"/>
        <v>0</v>
      </c>
      <c r="T477" s="50">
        <f t="shared" si="196"/>
        <v>0</v>
      </c>
      <c r="U477" s="50">
        <f t="shared" si="196"/>
        <v>0</v>
      </c>
      <c r="V477" s="50">
        <f t="shared" si="196"/>
        <v>0</v>
      </c>
      <c r="W477" s="50">
        <f t="shared" si="196"/>
        <v>0</v>
      </c>
      <c r="X477" s="50">
        <f t="shared" si="196"/>
        <v>0</v>
      </c>
      <c r="Y477" s="50">
        <f t="shared" si="196"/>
        <v>0</v>
      </c>
      <c r="Z477" s="50">
        <f t="shared" si="196"/>
        <v>0</v>
      </c>
      <c r="AA477" s="50">
        <f t="shared" si="196"/>
        <v>0</v>
      </c>
      <c r="AB477" s="50">
        <f t="shared" si="196"/>
        <v>0</v>
      </c>
      <c r="AC477" s="50">
        <f t="shared" si="196"/>
        <v>0</v>
      </c>
      <c r="AD477" s="50">
        <f t="shared" si="196"/>
        <v>0</v>
      </c>
      <c r="AE477" s="50">
        <f t="shared" si="196"/>
        <v>0</v>
      </c>
      <c r="AF477" s="50">
        <f t="shared" si="196"/>
        <v>0</v>
      </c>
      <c r="AG477" s="93">
        <f>SUM(F477:AF477)</f>
        <v>3104664.9999090945</v>
      </c>
      <c r="AH477" s="30" t="str">
        <f t="shared" ref="AH477:AH482" si="197">IF(ABS(E477-AG477)&lt;0.01,"ok","err")</f>
        <v>ok</v>
      </c>
    </row>
    <row r="478" spans="1:34" x14ac:dyDescent="0.2">
      <c r="A478" s="14" t="s">
        <v>608</v>
      </c>
      <c r="E478" s="226">
        <f>E471</f>
        <v>1014232.78</v>
      </c>
      <c r="AG478" s="93">
        <f>E478</f>
        <v>1014232.78</v>
      </c>
      <c r="AH478" s="30" t="str">
        <f t="shared" si="197"/>
        <v>ok</v>
      </c>
    </row>
    <row r="479" spans="1:34" x14ac:dyDescent="0.2">
      <c r="A479" s="14" t="s">
        <v>592</v>
      </c>
      <c r="E479" s="234"/>
      <c r="M479" s="50">
        <v>0</v>
      </c>
      <c r="N479" s="50">
        <v>0</v>
      </c>
      <c r="O479" s="50"/>
      <c r="P479" s="50"/>
      <c r="Q479" s="14">
        <v>0</v>
      </c>
      <c r="R479" s="14">
        <v>0</v>
      </c>
      <c r="S479" s="14">
        <v>0</v>
      </c>
      <c r="AD479" s="66">
        <v>0</v>
      </c>
      <c r="AE479" s="66"/>
      <c r="AG479" s="93">
        <f>SUM(F479:AF479)</f>
        <v>0</v>
      </c>
      <c r="AH479" s="30" t="str">
        <f t="shared" si="197"/>
        <v>ok</v>
      </c>
    </row>
    <row r="480" spans="1:34" x14ac:dyDescent="0.2">
      <c r="A480" s="14" t="s">
        <v>609</v>
      </c>
      <c r="D480" s="14" t="s">
        <v>628</v>
      </c>
      <c r="E480" s="226">
        <f>E478-E479</f>
        <v>1014232.78</v>
      </c>
      <c r="F480" s="66">
        <f>IF(VLOOKUP($D480,$C$5:$AU$521,3,)=0,0,(VLOOKUP($D480,$C$5:$AU$521,4,)/VLOOKUP($D480,$C$5:$AU$521,3,))*$E480)</f>
        <v>776412.70145220601</v>
      </c>
      <c r="G480" s="66">
        <f>IF(VLOOKUP($D480,$C$5:$AU$521,3,)=0,0,(VLOOKUP($D480,$C$5:$AU$521,5,)/VLOOKUP($D480,$C$5:$AU$521,3,))*$E480)</f>
        <v>0</v>
      </c>
      <c r="H480" s="66">
        <f>IF(VLOOKUP($D480,$C$5:$AU$521,3,)=0,0,(VLOOKUP($D480,$C$5:$AU$521,6,)/VLOOKUP($D480,$C$5:$AU$521,3,))*$E480)</f>
        <v>123126.69548558989</v>
      </c>
      <c r="I480" s="66">
        <f>IF(VLOOKUP($D480,$C$5:$AU$521,3,)=0,0,(VLOOKUP($D480,$C$5:$AU$521,7,)/VLOOKUP($D480,$C$5:$AU$521,3,))*$E480)</f>
        <v>4403.6713647209344</v>
      </c>
      <c r="J480" s="66">
        <f>IF(VLOOKUP($D480,$C$5:$AU$521,3,)=0,0,(VLOOKUP($D480,$C$5:$AU$521,8,)/VLOOKUP($D480,$C$5:$AU$521,3,))*$E480)</f>
        <v>39455.641700375716</v>
      </c>
      <c r="K480" s="66">
        <f>IF(VLOOKUP($D480,$C$5:$AU$521,3,)=0,0,(VLOOKUP($D480,$C$5:$AU$521,9,)/VLOOKUP($D480,$C$5:$AU$521,3,))*$E480)</f>
        <v>50275.84217762015</v>
      </c>
      <c r="L480" s="66">
        <f>IF(VLOOKUP($D480,$C$5:$AU$521,3,)=0,0,(VLOOKUP($D480,$C$5:$AU$521,10,)/VLOOKUP($D480,$C$5:$AU$521,3,))*$E480)</f>
        <v>7762.0969634525227</v>
      </c>
      <c r="M480" s="66">
        <f>IF(VLOOKUP($D480,$C$5:$AU$521,3,)=0,0,(VLOOKUP($D480,$C$5:$AU$521,11,)/VLOOKUP($D480,$C$5:$AU$521,3,))*$E480)</f>
        <v>6865.1381232680487</v>
      </c>
      <c r="N480" s="66">
        <f>IF(VLOOKUP($D480,$C$5:$AU$521,3,)=0,0,(VLOOKUP($D480,$C$5:$AU$521,12,)/VLOOKUP($D480,$C$5:$AU$521,3,))*$E480)</f>
        <v>5930.9927327667165</v>
      </c>
      <c r="O480" s="66">
        <f>IF(VLOOKUP($D480,$C$5:$AU$521,3,)=0,0,(VLOOKUP($D480,$C$5:$AU$521,13,)/VLOOKUP($D480,$C$5:$AU$521,3,))*$E480)</f>
        <v>0</v>
      </c>
      <c r="P480" s="66">
        <f>IF(VLOOKUP($D480,$C$5:$AU$521,3,)=0,0,(VLOOKUP($D480,$C$5:$AU$521,14,)/VLOOKUP($D480,$C$5:$AU$521,3,))*$E480)</f>
        <v>0</v>
      </c>
      <c r="Q480" s="66">
        <f>IF(VLOOKUP($D480,$C$5:$AU$521,3,)=0,0,(VLOOKUP($D480,$C$5:$AU$521,15,)/VLOOKUP($D480,$C$5:$AU$521,3,))*$E480)</f>
        <v>0</v>
      </c>
      <c r="R480" s="66">
        <f>IF(VLOOKUP($D480,$C$5:$AU$521,3,)=0,0,(VLOOKUP($D480,$C$5:$AU$521,16,)/VLOOKUP($D480,$C$5:$AU$521,3,))*$E480)</f>
        <v>0</v>
      </c>
      <c r="S480" s="66">
        <f>IF(VLOOKUP($D480,$C$5:$AU$521,3,)=0,0,(VLOOKUP($D480,$C$5:$AU$521,17,)/VLOOKUP($D480,$C$5:$AU$521,3,))*$E480)</f>
        <v>0</v>
      </c>
      <c r="T480" s="66">
        <f>IF(VLOOKUP($D480,$C$5:$AU$521,3,)=0,0,(VLOOKUP($D480,$C$5:$AU$521,18,)/VLOOKUP($D480,$C$5:$AU$521,3,))*$E480)</f>
        <v>0</v>
      </c>
      <c r="U480" s="66">
        <f>IF(VLOOKUP($D480,$C$5:$AU$521,3,)=0,0,(VLOOKUP($D480,$C$5:$AU$521,19,)/VLOOKUP($D480,$C$5:$AU$521,3,))*$E480)</f>
        <v>0</v>
      </c>
      <c r="V480" s="66">
        <f>IF(VLOOKUP($D480,$C$5:$AU$521,3,)=0,0,(VLOOKUP($D480,$C$5:$AU$521,20,)/VLOOKUP($D480,$C$5:$AU$521,3,))*$E480)</f>
        <v>0</v>
      </c>
      <c r="W480" s="66">
        <f>IF(VLOOKUP($D480,$C$5:$AU$521,3,)=0,0,(VLOOKUP($D480,$C$5:$AU$521,21,)/VLOOKUP($D480,$C$5:$AU$521,3,))*$E480)</f>
        <v>0</v>
      </c>
      <c r="X480" s="66">
        <f>IF(VLOOKUP($D480,$C$5:$AU$521,3,)=0,0,(VLOOKUP($D480,$C$5:$AU$521,22,)/VLOOKUP($D480,$C$5:$AU$521,3,))*$E480)</f>
        <v>0</v>
      </c>
      <c r="Y480" s="66">
        <f>IF(VLOOKUP($D480,$C$5:$AU$521,3,)=0,0,(VLOOKUP($D480,$C$5:$AU$521,23,)/VLOOKUP($D480,$C$5:$AU$521,3,))*$E480)</f>
        <v>0</v>
      </c>
      <c r="Z480" s="66">
        <f>IF(VLOOKUP($D480,$C$5:$AU$521,3,)=0,0,(VLOOKUP($D480,$C$5:$AU$521,24,)/VLOOKUP($D480,$C$5:$AU$521,3,))*$E480)</f>
        <v>0</v>
      </c>
      <c r="AA480" s="66">
        <f>IF(VLOOKUP($D480,$C$5:$AU$521,3,)=0,0,(VLOOKUP($D480,$C$5:$AU$521,25,)/VLOOKUP($D480,$C$5:$AU$521,3,))*$E480)</f>
        <v>0</v>
      </c>
      <c r="AB480" s="66">
        <f>IF(VLOOKUP($D480,$C$5:$AU$521,3,)=0,0,(VLOOKUP($D480,$C$5:$AU$521,26,)/VLOOKUP($D480,$C$5:$AU$521,3,))*$E480)</f>
        <v>0</v>
      </c>
      <c r="AC480" s="66">
        <f>IF(VLOOKUP($D480,$C$5:$AU$521,3,)=0,0,(VLOOKUP($D480,$C$5:$AU$521,27,)/VLOOKUP($D480,$C$5:$AU$521,3,))*$E480)</f>
        <v>0</v>
      </c>
      <c r="AD480" s="66">
        <f>IF(VLOOKUP($D480,$C$5:$AU$521,3,)=0,0,(VLOOKUP($D480,$C$5:$AU$521,28,)/VLOOKUP($D480,$C$5:$AU$521,3,))*$E480)</f>
        <v>0</v>
      </c>
      <c r="AE480" s="66">
        <f>IF(VLOOKUP($D480,$C$5:$AU$521,3,)=0,0,(VLOOKUP($D480,$C$5:$AU$521,29,)/VLOOKUP($D480,$C$5:$AU$521,3,))*$E480)</f>
        <v>0</v>
      </c>
      <c r="AF480" s="66">
        <f>IF(VLOOKUP($D480,$C$5:$AU$521,3,)=0,0,(VLOOKUP($D480,$C$5:$AU$521,30,)/VLOOKUP($D480,$C$5:$AU$521,3,))*$E480)</f>
        <v>0</v>
      </c>
      <c r="AG480" s="93">
        <f>SUM(F480:AF480)</f>
        <v>1014232.7799999999</v>
      </c>
      <c r="AH480" s="30" t="str">
        <f t="shared" si="197"/>
        <v>ok</v>
      </c>
    </row>
    <row r="481" spans="1:34" x14ac:dyDescent="0.2">
      <c r="A481" s="14" t="s">
        <v>610</v>
      </c>
      <c r="C481" s="14" t="s">
        <v>629</v>
      </c>
      <c r="E481" s="226">
        <f t="shared" ref="E481:AF481" si="198">E479+E480</f>
        <v>1014232.78</v>
      </c>
      <c r="F481" s="93">
        <f t="shared" si="198"/>
        <v>776412.70145220601</v>
      </c>
      <c r="G481" s="93">
        <f t="shared" si="198"/>
        <v>0</v>
      </c>
      <c r="H481" s="93">
        <f t="shared" si="198"/>
        <v>123126.69548558989</v>
      </c>
      <c r="I481" s="93">
        <f t="shared" si="198"/>
        <v>4403.6713647209344</v>
      </c>
      <c r="J481" s="93">
        <f t="shared" si="198"/>
        <v>39455.641700375716</v>
      </c>
      <c r="K481" s="93">
        <f t="shared" si="198"/>
        <v>50275.84217762015</v>
      </c>
      <c r="L481" s="93">
        <f t="shared" si="198"/>
        <v>7762.0969634525227</v>
      </c>
      <c r="M481" s="93">
        <f t="shared" si="198"/>
        <v>6865.1381232680487</v>
      </c>
      <c r="N481" s="93">
        <f t="shared" si="198"/>
        <v>5930.9927327667165</v>
      </c>
      <c r="O481" s="93">
        <f t="shared" si="198"/>
        <v>0</v>
      </c>
      <c r="P481" s="93">
        <f t="shared" si="198"/>
        <v>0</v>
      </c>
      <c r="Q481" s="93">
        <f t="shared" si="198"/>
        <v>0</v>
      </c>
      <c r="R481" s="93">
        <f t="shared" si="198"/>
        <v>0</v>
      </c>
      <c r="S481" s="93">
        <f t="shared" si="198"/>
        <v>0</v>
      </c>
      <c r="T481" s="93">
        <f t="shared" si="198"/>
        <v>0</v>
      </c>
      <c r="U481" s="93">
        <f t="shared" si="198"/>
        <v>0</v>
      </c>
      <c r="V481" s="93">
        <f t="shared" si="198"/>
        <v>0</v>
      </c>
      <c r="W481" s="93">
        <f t="shared" si="198"/>
        <v>0</v>
      </c>
      <c r="X481" s="93">
        <f t="shared" si="198"/>
        <v>0</v>
      </c>
      <c r="Y481" s="93">
        <f t="shared" si="198"/>
        <v>0</v>
      </c>
      <c r="Z481" s="93">
        <f t="shared" si="198"/>
        <v>0</v>
      </c>
      <c r="AA481" s="93">
        <f t="shared" si="198"/>
        <v>0</v>
      </c>
      <c r="AB481" s="93">
        <f t="shared" si="198"/>
        <v>0</v>
      </c>
      <c r="AC481" s="93">
        <f t="shared" si="198"/>
        <v>0</v>
      </c>
      <c r="AD481" s="93">
        <f t="shared" si="198"/>
        <v>0</v>
      </c>
      <c r="AE481" s="93">
        <f t="shared" si="198"/>
        <v>0</v>
      </c>
      <c r="AF481" s="93">
        <f t="shared" si="198"/>
        <v>0</v>
      </c>
      <c r="AG481" s="93">
        <f>SUM(F481:AF481)</f>
        <v>1014232.7799999999</v>
      </c>
      <c r="AH481" s="30" t="str">
        <f t="shared" si="197"/>
        <v>ok</v>
      </c>
    </row>
    <row r="482" spans="1:34" x14ac:dyDescent="0.2">
      <c r="A482" s="14" t="s">
        <v>635</v>
      </c>
      <c r="C482" s="14" t="s">
        <v>630</v>
      </c>
      <c r="D482" s="14" t="s">
        <v>629</v>
      </c>
      <c r="E482" s="248">
        <v>1</v>
      </c>
      <c r="F482" s="101">
        <f>IF(VLOOKUP($D482,$C$5:$AU$521,3,)=0,0,(VLOOKUP($D482,$C$5:$AU$521,4,)/VLOOKUP($D482,$C$5:$AU$521,3,))*$E482)</f>
        <v>0.76551726266647191</v>
      </c>
      <c r="G482" s="101">
        <f>IF(VLOOKUP($D482,$C$5:$AU$521,3,)=0,0,(VLOOKUP($D482,$C$5:$AU$521,5,)/VLOOKUP($D482,$C$5:$AU$521,3,))*$E482)</f>
        <v>0</v>
      </c>
      <c r="H482" s="101">
        <f>IF(VLOOKUP($D482,$C$5:$AU$521,3,)=0,0,(VLOOKUP($D482,$C$5:$AU$521,6,)/VLOOKUP($D482,$C$5:$AU$521,3,))*$E482)</f>
        <v>0.12139885232815083</v>
      </c>
      <c r="I482" s="101">
        <f>IF(VLOOKUP($D482,$C$5:$AU$521,3,)=0,0,(VLOOKUP($D482,$C$5:$AU$521,7,)/VLOOKUP($D482,$C$5:$AU$521,3,))*$E482)</f>
        <v>4.3418744212950153E-3</v>
      </c>
      <c r="J482" s="101">
        <f>IF(VLOOKUP($D482,$C$5:$AU$521,3,)=0,0,(VLOOKUP($D482,$C$5:$AU$521,8,)/VLOOKUP($D482,$C$5:$AU$521,3,))*$E482)</f>
        <v>3.8901958680901357E-2</v>
      </c>
      <c r="K482" s="101">
        <f>IF(VLOOKUP($D482,$C$5:$AU$521,3,)=0,0,(VLOOKUP($D482,$C$5:$AU$521,9,)/VLOOKUP($D482,$C$5:$AU$521,3,))*$E482)</f>
        <v>4.9570318736513477E-2</v>
      </c>
      <c r="L482" s="101">
        <f>IF(VLOOKUP($D482,$C$5:$AU$521,3,)=0,0,(VLOOKUP($D482,$C$5:$AU$521,10,)/VLOOKUP($D482,$C$5:$AU$521,3,))*$E482)</f>
        <v>7.6531710634047167E-3</v>
      </c>
      <c r="M482" s="101">
        <f>IF(VLOOKUP($D482,$C$5:$AU$521,3,)=0,0,(VLOOKUP($D482,$C$5:$AU$521,11,)/VLOOKUP($D482,$C$5:$AU$521,3,))*$E482)</f>
        <v>6.7687992920797222E-3</v>
      </c>
      <c r="N482" s="101">
        <f>IF(VLOOKUP($D482,$C$5:$AU$521,3,)=0,0,(VLOOKUP($D482,$C$5:$AU$521,12,)/VLOOKUP($D482,$C$5:$AU$521,3,))*$E482)</f>
        <v>5.8477628111829674E-3</v>
      </c>
      <c r="O482" s="101">
        <f>IF(VLOOKUP($D482,$C$5:$AU$521,3,)=0,0,(VLOOKUP($D482,$C$5:$AU$521,13,)/VLOOKUP($D482,$C$5:$AU$521,3,))*$E482)</f>
        <v>0</v>
      </c>
      <c r="P482" s="101">
        <f>IF(VLOOKUP($D482,$C$5:$AU$521,3,)=0,0,(VLOOKUP($D482,$C$5:$AU$521,14,)/VLOOKUP($D482,$C$5:$AU$521,3,))*$E482)</f>
        <v>0</v>
      </c>
      <c r="Q482" s="101">
        <f>IF(VLOOKUP($D482,$C$5:$AU$521,3,)=0,0,(VLOOKUP($D482,$C$5:$AU$521,15,)/VLOOKUP($D482,$C$5:$AU$521,3,))*$E482)</f>
        <v>0</v>
      </c>
      <c r="R482" s="101">
        <f>IF(VLOOKUP($D482,$C$5:$AU$521,3,)=0,0,(VLOOKUP($D482,$C$5:$AU$521,16,)/VLOOKUP($D482,$C$5:$AU$521,3,))*$E482)</f>
        <v>0</v>
      </c>
      <c r="S482" s="101">
        <f>IF(VLOOKUP($D482,$C$5:$AU$521,3,)=0,0,(VLOOKUP($D482,$C$5:$AU$521,17,)/VLOOKUP($D482,$C$5:$AU$521,3,))*$E482)</f>
        <v>0</v>
      </c>
      <c r="T482" s="101">
        <f>IF(VLOOKUP($D482,$C$5:$AU$521,3,)=0,0,(VLOOKUP($D482,$C$5:$AU$521,18,)/VLOOKUP($D482,$C$5:$AU$521,3,))*$E482)</f>
        <v>0</v>
      </c>
      <c r="U482" s="101">
        <f>IF(VLOOKUP($D482,$C$5:$AU$521,3,)=0,0,(VLOOKUP($D482,$C$5:$AU$521,19,)/VLOOKUP($D482,$C$5:$AU$521,3,))*$E482)</f>
        <v>0</v>
      </c>
      <c r="V482" s="101">
        <f>IF(VLOOKUP($D482,$C$5:$AU$521,3,)=0,0,(VLOOKUP($D482,$C$5:$AU$521,20,)/VLOOKUP($D482,$C$5:$AU$521,3,))*$E482)</f>
        <v>0</v>
      </c>
      <c r="W482" s="101">
        <f>IF(VLOOKUP($D482,$C$5:$AU$521,3,)=0,0,(VLOOKUP($D482,$C$5:$AU$521,21,)/VLOOKUP($D482,$C$5:$AU$521,3,))*$E482)</f>
        <v>0</v>
      </c>
      <c r="X482" s="101">
        <f>IF(VLOOKUP($D482,$C$5:$AU$521,3,)=0,0,(VLOOKUP($D482,$C$5:$AU$521,22,)/VLOOKUP($D482,$C$5:$AU$521,3,))*$E482)</f>
        <v>0</v>
      </c>
      <c r="Y482" s="101">
        <f>IF(VLOOKUP($D482,$C$5:$AU$521,3,)=0,0,(VLOOKUP($D482,$C$5:$AU$521,23,)/VLOOKUP($D482,$C$5:$AU$521,3,))*$E482)</f>
        <v>0</v>
      </c>
      <c r="Z482" s="101">
        <f>IF(VLOOKUP($D482,$C$5:$AU$521,3,)=0,0,(VLOOKUP($D482,$C$5:$AU$521,24,)/VLOOKUP($D482,$C$5:$AU$521,3,))*$E482)</f>
        <v>0</v>
      </c>
      <c r="AA482" s="101">
        <f>IF(VLOOKUP($D482,$C$5:$AU$521,3,)=0,0,(VLOOKUP($D482,$C$5:$AU$521,25,)/VLOOKUP($D482,$C$5:$AU$521,3,))*$E482)</f>
        <v>0</v>
      </c>
      <c r="AB482" s="101">
        <f>IF(VLOOKUP($D482,$C$5:$AU$521,3,)=0,0,(VLOOKUP($D482,$C$5:$AU$521,26,)/VLOOKUP($D482,$C$5:$AU$521,3,))*$E482)</f>
        <v>0</v>
      </c>
      <c r="AC482" s="101">
        <f>IF(VLOOKUP($D482,$C$5:$AU$521,3,)=0,0,(VLOOKUP($D482,$C$5:$AU$521,27,)/VLOOKUP($D482,$C$5:$AU$521,3,))*$E482)</f>
        <v>0</v>
      </c>
      <c r="AD482" s="101">
        <f>IF(VLOOKUP($D482,$C$5:$AU$521,3,)=0,0,(VLOOKUP($D482,$C$5:$AU$521,28,)/VLOOKUP($D482,$C$5:$AU$521,3,))*$E482)</f>
        <v>0</v>
      </c>
      <c r="AE482" s="101">
        <f>IF(VLOOKUP($D482,$C$5:$AU$521,3,)=0,0,(VLOOKUP($D482,$C$5:$AU$521,29,)/VLOOKUP($D482,$C$5:$AU$521,3,))*$E482)</f>
        <v>0</v>
      </c>
      <c r="AF482" s="101">
        <f>IF(VLOOKUP($D482,$C$5:$AU$521,3,)=0,0,(VLOOKUP($D482,$C$5:$AU$521,30,)/VLOOKUP($D482,$C$5:$AU$521,3,))*$E482)</f>
        <v>0</v>
      </c>
      <c r="AG482" s="101">
        <f>SUM(F482:AF482)</f>
        <v>1</v>
      </c>
      <c r="AH482" s="30" t="str">
        <f t="shared" si="197"/>
        <v>ok</v>
      </c>
    </row>
    <row r="484" spans="1:34" x14ac:dyDescent="0.2">
      <c r="A484" s="28" t="s">
        <v>902</v>
      </c>
    </row>
    <row r="486" spans="1:34" x14ac:dyDescent="0.2">
      <c r="A486" s="14" t="s">
        <v>619</v>
      </c>
      <c r="C486" s="14" t="s">
        <v>620</v>
      </c>
      <c r="E486" s="234">
        <f>E456</f>
        <v>7399616.3547002124</v>
      </c>
      <c r="F486" s="50">
        <f t="shared" ref="F486:AF486" si="199">F456</f>
        <v>5856627.3154726354</v>
      </c>
      <c r="G486" s="50">
        <f t="shared" si="199"/>
        <v>417502.61032358243</v>
      </c>
      <c r="H486" s="50">
        <f t="shared" si="199"/>
        <v>607687.66299999983</v>
      </c>
      <c r="I486" s="50">
        <f t="shared" si="199"/>
        <v>20871.838</v>
      </c>
      <c r="J486" s="50">
        <f t="shared" si="199"/>
        <v>165995.31100000002</v>
      </c>
      <c r="K486" s="50">
        <f t="shared" si="199"/>
        <v>179775.05000000002</v>
      </c>
      <c r="L486" s="50">
        <f t="shared" si="199"/>
        <v>67432.462</v>
      </c>
      <c r="M486" s="50">
        <f t="shared" si="199"/>
        <v>47446.58</v>
      </c>
      <c r="N486" s="50">
        <f t="shared" si="199"/>
        <v>36277.524903993857</v>
      </c>
      <c r="O486" s="50">
        <f t="shared" si="199"/>
        <v>0</v>
      </c>
      <c r="P486" s="50">
        <f t="shared" si="199"/>
        <v>0</v>
      </c>
      <c r="Q486" s="50">
        <f t="shared" si="199"/>
        <v>0</v>
      </c>
      <c r="R486" s="50">
        <f t="shared" si="199"/>
        <v>0</v>
      </c>
      <c r="S486" s="50">
        <f t="shared" si="199"/>
        <v>0</v>
      </c>
      <c r="T486" s="50">
        <f t="shared" si="199"/>
        <v>0</v>
      </c>
      <c r="U486" s="50">
        <f t="shared" si="199"/>
        <v>0</v>
      </c>
      <c r="V486" s="50">
        <f t="shared" si="199"/>
        <v>0</v>
      </c>
      <c r="W486" s="50">
        <f t="shared" si="199"/>
        <v>0</v>
      </c>
      <c r="X486" s="50">
        <f t="shared" si="199"/>
        <v>0</v>
      </c>
      <c r="Y486" s="50">
        <f t="shared" si="199"/>
        <v>0</v>
      </c>
      <c r="Z486" s="50">
        <f t="shared" si="199"/>
        <v>0</v>
      </c>
      <c r="AA486" s="50">
        <f t="shared" si="199"/>
        <v>0</v>
      </c>
      <c r="AB486" s="50">
        <f t="shared" si="199"/>
        <v>0</v>
      </c>
      <c r="AC486" s="50">
        <f t="shared" si="199"/>
        <v>0</v>
      </c>
      <c r="AD486" s="50">
        <f t="shared" si="199"/>
        <v>0</v>
      </c>
      <c r="AE486" s="50">
        <f t="shared" si="199"/>
        <v>0</v>
      </c>
      <c r="AF486" s="50">
        <f t="shared" si="199"/>
        <v>0</v>
      </c>
      <c r="AG486" s="93">
        <f>SUM(F486:AF486)</f>
        <v>7399616.3547002124</v>
      </c>
      <c r="AH486" s="30" t="str">
        <f>IF(ABS(E486-AG486)&lt;0.01,"ok","err")</f>
        <v>ok</v>
      </c>
    </row>
    <row r="487" spans="1:34" x14ac:dyDescent="0.2">
      <c r="A487" s="14" t="s">
        <v>618</v>
      </c>
      <c r="C487" s="14" t="s">
        <v>617</v>
      </c>
      <c r="D487" s="14" t="s">
        <v>620</v>
      </c>
      <c r="E487" s="248">
        <v>1</v>
      </c>
      <c r="F487" s="101">
        <f>IF(VLOOKUP($D487,$C$5:$AU$521,3,)=0,0,(VLOOKUP($D487,$C$5:$AU$521,4,)/VLOOKUP($D487,$C$5:$AU$521,3,))*$E487)</f>
        <v>0.79147715702213728</v>
      </c>
      <c r="G487" s="101">
        <f>IF(VLOOKUP($D487,$C$5:$AU$521,3,)=0,0,(VLOOKUP($D487,$C$5:$AU$521,5,)/VLOOKUP($D487,$C$5:$AU$521,3,))*$E487)</f>
        <v>5.6422196815431667E-2</v>
      </c>
      <c r="H487" s="101">
        <f>IF(VLOOKUP($D487,$C$5:$AU$521,3,)=0,0,(VLOOKUP($D487,$C$5:$AU$521,6,)/VLOOKUP($D487,$C$5:$AU$521,3,))*$E487)</f>
        <v>8.2124212103780028E-2</v>
      </c>
      <c r="I487" s="101">
        <f>IF(VLOOKUP($D487,$C$5:$AU$521,3,)=0,0,(VLOOKUP($D487,$C$5:$AU$521,7,)/VLOOKUP($D487,$C$5:$AU$521,3,))*$E487)</f>
        <v>2.8206648830844151E-3</v>
      </c>
      <c r="J487" s="101">
        <f>IF(VLOOKUP($D487,$C$5:$AU$521,3,)=0,0,(VLOOKUP($D487,$C$5:$AU$521,8,)/VLOOKUP($D487,$C$5:$AU$521,3,))*$E487)</f>
        <v>2.2432961797345118E-2</v>
      </c>
      <c r="K487" s="101">
        <f>IF(VLOOKUP($D487,$C$5:$AU$521,3,)=0,0,(VLOOKUP($D487,$C$5:$AU$521,9,)/VLOOKUP($D487,$C$5:$AU$521,3,))*$E487)</f>
        <v>2.4295185234273327E-2</v>
      </c>
      <c r="L487" s="101">
        <f>IF(VLOOKUP($D487,$C$5:$AU$521,3,)=0,0,(VLOOKUP($D487,$C$5:$AU$521,10,)/VLOOKUP($D487,$C$5:$AU$521,3,))*$E487)</f>
        <v>9.1129673171727495E-3</v>
      </c>
      <c r="M487" s="101">
        <f>IF(VLOOKUP($D487,$C$5:$AU$521,3,)=0,0,(VLOOKUP($D487,$C$5:$AU$521,11,)/VLOOKUP($D487,$C$5:$AU$521,3,))*$E487)</f>
        <v>6.4120324251489185E-3</v>
      </c>
      <c r="N487" s="101">
        <f>IF(VLOOKUP($D487,$C$5:$AU$521,3,)=0,0,(VLOOKUP($D487,$C$5:$AU$521,12,)/VLOOKUP($D487,$C$5:$AU$521,3,))*$E487)</f>
        <v>4.9026224016263343E-3</v>
      </c>
      <c r="O487" s="101">
        <f>IF(VLOOKUP($D487,$C$5:$AU$521,3,)=0,0,(VLOOKUP($D487,$C$5:$AU$521,13,)/VLOOKUP($D487,$C$5:$AU$521,3,))*$E487)</f>
        <v>0</v>
      </c>
      <c r="P487" s="101">
        <f>IF(VLOOKUP($D487,$C$5:$AU$521,3,)=0,0,(VLOOKUP($D487,$C$5:$AU$521,14,)/VLOOKUP($D487,$C$5:$AU$521,3,))*$E487)</f>
        <v>0</v>
      </c>
      <c r="Q487" s="101">
        <f>IF(VLOOKUP($D487,$C$5:$AU$521,3,)=0,0,(VLOOKUP($D487,$C$5:$AU$521,15,)/VLOOKUP($D487,$C$5:$AU$521,3,))*$E487)</f>
        <v>0</v>
      </c>
      <c r="R487" s="101">
        <f>IF(VLOOKUP($D487,$C$5:$AU$521,3,)=0,0,(VLOOKUP($D487,$C$5:$AU$521,16,)/VLOOKUP($D487,$C$5:$AU$521,3,))*$E487)</f>
        <v>0</v>
      </c>
      <c r="S487" s="101">
        <f>IF(VLOOKUP($D487,$C$5:$AU$521,3,)=0,0,(VLOOKUP($D487,$C$5:$AU$521,17,)/VLOOKUP($D487,$C$5:$AU$521,3,))*$E487)</f>
        <v>0</v>
      </c>
      <c r="T487" s="101">
        <f>IF(VLOOKUP($D487,$C$5:$AU$521,3,)=0,0,(VLOOKUP($D487,$C$5:$AU$521,18,)/VLOOKUP($D487,$C$5:$AU$521,3,))*$E487)</f>
        <v>0</v>
      </c>
      <c r="U487" s="101">
        <f>IF(VLOOKUP($D487,$C$5:$AU$521,3,)=0,0,(VLOOKUP($D487,$C$5:$AU$521,19,)/VLOOKUP($D487,$C$5:$AU$521,3,))*$E487)</f>
        <v>0</v>
      </c>
      <c r="V487" s="101">
        <f>IF(VLOOKUP($D487,$C$5:$AU$521,3,)=0,0,(VLOOKUP($D487,$C$5:$AU$521,20,)/VLOOKUP($D487,$C$5:$AU$521,3,))*$E487)</f>
        <v>0</v>
      </c>
      <c r="W487" s="101">
        <f>IF(VLOOKUP($D487,$C$5:$AU$521,3,)=0,0,(VLOOKUP($D487,$C$5:$AU$521,21,)/VLOOKUP($D487,$C$5:$AU$521,3,))*$E487)</f>
        <v>0</v>
      </c>
      <c r="X487" s="101">
        <f>IF(VLOOKUP($D487,$C$5:$AU$521,3,)=0,0,(VLOOKUP($D487,$C$5:$AU$521,22,)/VLOOKUP($D487,$C$5:$AU$521,3,))*$E487)</f>
        <v>0</v>
      </c>
      <c r="Y487" s="101">
        <f>IF(VLOOKUP($D487,$C$5:$AU$521,3,)=0,0,(VLOOKUP($D487,$C$5:$AU$521,23,)/VLOOKUP($D487,$C$5:$AU$521,3,))*$E487)</f>
        <v>0</v>
      </c>
      <c r="Z487" s="101">
        <f>IF(VLOOKUP($D487,$C$5:$AU$521,3,)=0,0,(VLOOKUP($D487,$C$5:$AU$521,24,)/VLOOKUP($D487,$C$5:$AU$521,3,))*$E487)</f>
        <v>0</v>
      </c>
      <c r="AA487" s="101">
        <f>IF(VLOOKUP($D487,$C$5:$AU$521,3,)=0,0,(VLOOKUP($D487,$C$5:$AU$521,25,)/VLOOKUP($D487,$C$5:$AU$521,3,))*$E487)</f>
        <v>0</v>
      </c>
      <c r="AB487" s="101">
        <f>IF(VLOOKUP($D487,$C$5:$AU$521,3,)=0,0,(VLOOKUP($D487,$C$5:$AU$521,26,)/VLOOKUP($D487,$C$5:$AU$521,3,))*$E487)</f>
        <v>0</v>
      </c>
      <c r="AC487" s="101">
        <f>IF(VLOOKUP($D487,$C$5:$AU$521,3,)=0,0,(VLOOKUP($D487,$C$5:$AU$521,27,)/VLOOKUP($D487,$C$5:$AU$521,3,))*$E487)</f>
        <v>0</v>
      </c>
      <c r="AD487" s="101">
        <f>IF(VLOOKUP($D487,$C$5:$AU$521,3,)=0,0,(VLOOKUP($D487,$C$5:$AU$521,28,)/VLOOKUP($D487,$C$5:$AU$521,3,))*$E487)</f>
        <v>0</v>
      </c>
      <c r="AE487" s="101">
        <f>IF(VLOOKUP($D487,$C$5:$AU$521,3,)=0,0,(VLOOKUP($D487,$C$5:$AU$521,29,)/VLOOKUP($D487,$C$5:$AU$521,3,))*$E487)</f>
        <v>0</v>
      </c>
      <c r="AF487" s="101">
        <f>IF(VLOOKUP($D487,$C$5:$AU$521,3,)=0,0,(VLOOKUP($D487,$C$5:$AU$521,30,)/VLOOKUP($D487,$C$5:$AU$521,3,))*$E487)</f>
        <v>0</v>
      </c>
      <c r="AG487" s="101">
        <f>SUM(F487:AF487)</f>
        <v>0.99999999999999978</v>
      </c>
      <c r="AH487" s="30" t="str">
        <f>IF(ABS(E487-AG487)&lt;0.01,"ok","err")</f>
        <v>ok</v>
      </c>
    </row>
    <row r="489" spans="1:34" x14ac:dyDescent="0.2">
      <c r="A489" s="14" t="s">
        <v>649</v>
      </c>
      <c r="C489" s="14" t="s">
        <v>656</v>
      </c>
      <c r="E489" s="234">
        <v>2816508.1511992039</v>
      </c>
      <c r="F489" s="50">
        <f>F436</f>
        <v>2376674.6522268122</v>
      </c>
      <c r="G489" s="50">
        <f t="shared" ref="G489:P489" si="200">G436</f>
        <v>0</v>
      </c>
      <c r="H489" s="50">
        <f t="shared" si="200"/>
        <v>376902.76785234257</v>
      </c>
      <c r="I489" s="234">
        <v>0</v>
      </c>
      <c r="J489" s="234">
        <v>0</v>
      </c>
      <c r="K489" s="234">
        <v>0</v>
      </c>
      <c r="L489" s="50">
        <f t="shared" si="200"/>
        <v>23760.532338869689</v>
      </c>
      <c r="M489" s="50">
        <f t="shared" si="200"/>
        <v>21014.854253529371</v>
      </c>
      <c r="N489" s="50">
        <f t="shared" si="200"/>
        <v>18155.344527649773</v>
      </c>
      <c r="O489" s="50">
        <f t="shared" si="200"/>
        <v>0</v>
      </c>
      <c r="P489" s="50">
        <f t="shared" si="200"/>
        <v>0</v>
      </c>
      <c r="Q489" s="50">
        <f t="shared" ref="Q489:AF489" si="201">Q436</f>
        <v>0</v>
      </c>
      <c r="R489" s="50">
        <f t="shared" si="201"/>
        <v>0</v>
      </c>
      <c r="S489" s="50">
        <f t="shared" si="201"/>
        <v>0</v>
      </c>
      <c r="T489" s="50">
        <f t="shared" si="201"/>
        <v>0</v>
      </c>
      <c r="U489" s="50">
        <f t="shared" si="201"/>
        <v>0</v>
      </c>
      <c r="V489" s="50">
        <f t="shared" si="201"/>
        <v>0</v>
      </c>
      <c r="W489" s="50">
        <f t="shared" si="201"/>
        <v>0</v>
      </c>
      <c r="X489" s="50">
        <f t="shared" si="201"/>
        <v>0</v>
      </c>
      <c r="Y489" s="50">
        <f t="shared" si="201"/>
        <v>0</v>
      </c>
      <c r="Z489" s="50">
        <f t="shared" si="201"/>
        <v>0</v>
      </c>
      <c r="AA489" s="50">
        <f t="shared" si="201"/>
        <v>0</v>
      </c>
      <c r="AB489" s="50">
        <f t="shared" si="201"/>
        <v>0</v>
      </c>
      <c r="AC489" s="50">
        <f t="shared" si="201"/>
        <v>0</v>
      </c>
      <c r="AD489" s="50">
        <f t="shared" si="201"/>
        <v>0</v>
      </c>
      <c r="AE489" s="50">
        <f t="shared" si="201"/>
        <v>0</v>
      </c>
      <c r="AF489" s="50">
        <f t="shared" si="201"/>
        <v>0</v>
      </c>
      <c r="AG489" s="93">
        <f>SUM(F489:AF489)</f>
        <v>2816508.1511992039</v>
      </c>
      <c r="AH489" s="30" t="str">
        <f t="shared" ref="AH489:AH494" si="202">IF(ABS(E489-AG489)&lt;0.01,"ok","err")</f>
        <v>ok</v>
      </c>
    </row>
    <row r="490" spans="1:34" x14ac:dyDescent="0.2">
      <c r="A490" s="14" t="s">
        <v>650</v>
      </c>
      <c r="E490" s="226">
        <f>E123</f>
        <v>32193190.155008759</v>
      </c>
      <c r="I490" s="232"/>
      <c r="J490" s="232"/>
      <c r="K490" s="232"/>
      <c r="AG490" s="93">
        <f>E490</f>
        <v>32193190.155008759</v>
      </c>
      <c r="AH490" s="30" t="str">
        <f t="shared" si="202"/>
        <v>ok</v>
      </c>
    </row>
    <row r="491" spans="1:34" x14ac:dyDescent="0.2">
      <c r="A491" s="14" t="s">
        <v>592</v>
      </c>
      <c r="E491" s="233">
        <v>3569205.6</v>
      </c>
      <c r="F491" s="66">
        <v>0</v>
      </c>
      <c r="G491" s="66">
        <v>0</v>
      </c>
      <c r="H491" s="66">
        <v>0</v>
      </c>
      <c r="I491" s="233">
        <f>'Purchased Power'!O245</f>
        <v>206344.4</v>
      </c>
      <c r="J491" s="233">
        <f>'Purchased Power'!O251</f>
        <v>1664142.8</v>
      </c>
      <c r="K491" s="233">
        <f>'Purchased Power'!O257</f>
        <v>1698718.4000000001</v>
      </c>
      <c r="L491" s="66">
        <v>0</v>
      </c>
      <c r="M491" s="66">
        <v>0</v>
      </c>
      <c r="N491" s="66">
        <v>0</v>
      </c>
      <c r="O491" s="66">
        <v>0</v>
      </c>
      <c r="P491" s="66">
        <v>0</v>
      </c>
      <c r="Q491" s="66">
        <v>0</v>
      </c>
      <c r="R491" s="66">
        <v>0</v>
      </c>
      <c r="S491" s="66">
        <v>0</v>
      </c>
      <c r="T491" s="66">
        <v>0</v>
      </c>
      <c r="U491" s="66">
        <v>0</v>
      </c>
      <c r="V491" s="66">
        <v>0</v>
      </c>
      <c r="W491" s="66">
        <v>0</v>
      </c>
      <c r="X491" s="66">
        <v>0</v>
      </c>
      <c r="Y491" s="66">
        <v>0</v>
      </c>
      <c r="Z491" s="66">
        <v>0</v>
      </c>
      <c r="AA491" s="66">
        <v>0</v>
      </c>
      <c r="AB491" s="66">
        <v>0</v>
      </c>
      <c r="AC491" s="66">
        <v>0</v>
      </c>
      <c r="AD491" s="66">
        <v>0</v>
      </c>
      <c r="AE491" s="66">
        <v>0</v>
      </c>
      <c r="AF491" s="66">
        <v>0</v>
      </c>
      <c r="AG491" s="93">
        <f>SUM(F491:AF491)</f>
        <v>3569205.6</v>
      </c>
      <c r="AH491" s="30" t="str">
        <f t="shared" si="202"/>
        <v>ok</v>
      </c>
    </row>
    <row r="492" spans="1:34" x14ac:dyDescent="0.2">
      <c r="A492" s="14" t="s">
        <v>651</v>
      </c>
      <c r="D492" s="14" t="s">
        <v>656</v>
      </c>
      <c r="E492" s="250">
        <f>E490-E491</f>
        <v>28623984.555008758</v>
      </c>
      <c r="F492" s="66">
        <f>IF(VLOOKUP($D492,$C$5:$AU$521,3,)=0,0,(VLOOKUP($D492,$C$5:$AU$521,4,)/VLOOKUP($D492,$C$5:$AU$521,3,))*$E492)</f>
        <v>24153986.030061916</v>
      </c>
      <c r="G492" s="66">
        <f>IF(VLOOKUP($D492,$C$5:$AU$521,3,)=0,0,(VLOOKUP($D492,$C$5:$AU$521,5,)/VLOOKUP($D492,$C$5:$AU$521,3,))*$E492)</f>
        <v>0</v>
      </c>
      <c r="H492" s="66">
        <f>IF(VLOOKUP($D492,$C$5:$AU$521,3,)=0,0,(VLOOKUP($D492,$C$5:$AU$521,6,)/VLOOKUP($D492,$C$5:$AU$521,3,))*$E492)</f>
        <v>3830437.7003673962</v>
      </c>
      <c r="I492" s="233">
        <f>IF(VLOOKUP($D492,$C$5:$AU$521,3,)=0,0,(VLOOKUP($D492,$C$5:$AU$521,7,)/VLOOKUP($D492,$C$5:$AU$521,3,))*$E492)</f>
        <v>0</v>
      </c>
      <c r="J492" s="233">
        <f>IF(VLOOKUP($D492,$C$5:$AU$521,3,)=0,0,(VLOOKUP($D492,$C$5:$AU$521,8,)/VLOOKUP($D492,$C$5:$AU$521,3,))*$E492)</f>
        <v>0</v>
      </c>
      <c r="K492" s="233">
        <f>IF(VLOOKUP($D492,$C$5:$AU$521,3,)=0,0,(VLOOKUP($D492,$C$5:$AU$521,9,)/VLOOKUP($D492,$C$5:$AU$521,3,))*$E492)</f>
        <v>0</v>
      </c>
      <c r="L492" s="66">
        <f>IF(VLOOKUP($D492,$C$5:$AU$521,3,)=0,0,(VLOOKUP($D492,$C$5:$AU$521,10,)/VLOOKUP($D492,$C$5:$AU$521,3,))*$E492)</f>
        <v>241476.70596906042</v>
      </c>
      <c r="M492" s="66">
        <f>IF(VLOOKUP($D492,$C$5:$AU$521,3,)=0,0,(VLOOKUP($D492,$C$5:$AU$521,11,)/VLOOKUP($D492,$C$5:$AU$521,3,))*$E492)</f>
        <v>213572.5626509079</v>
      </c>
      <c r="N492" s="66">
        <f>IF(VLOOKUP($D492,$C$5:$AU$521,3,)=0,0,(VLOOKUP($D492,$C$5:$AU$521,12,)/VLOOKUP($D492,$C$5:$AU$521,3,))*$E492)</f>
        <v>184511.55595947517</v>
      </c>
      <c r="O492" s="66">
        <f>IF(VLOOKUP($D492,$C$5:$AU$521,3,)=0,0,(VLOOKUP($D492,$C$5:$AU$521,13,)/VLOOKUP($D492,$C$5:$AU$521,3,))*$E492)</f>
        <v>0</v>
      </c>
      <c r="P492" s="66">
        <f>IF(VLOOKUP($D492,$C$5:$AU$521,3,)=0,0,(VLOOKUP($D492,$C$5:$AU$521,14,)/VLOOKUP($D492,$C$5:$AU$521,3,))*$E492)</f>
        <v>0</v>
      </c>
      <c r="Q492" s="66">
        <f>IF(VLOOKUP($D492,$C$5:$AU$521,3,)=0,0,(VLOOKUP($D492,$C$5:$AU$521,15,)/VLOOKUP($D492,$C$5:$AU$521,3,))*$E492)</f>
        <v>0</v>
      </c>
      <c r="R492" s="66">
        <f>IF(VLOOKUP($D492,$C$5:$AU$521,3,)=0,0,(VLOOKUP($D492,$C$5:$AU$521,16,)/VLOOKUP($D492,$C$5:$AU$521,3,))*$E492)</f>
        <v>0</v>
      </c>
      <c r="S492" s="66">
        <f>IF(VLOOKUP($D492,$C$5:$AU$521,3,)=0,0,(VLOOKUP($D492,$C$5:$AU$521,17,)/VLOOKUP($D492,$C$5:$AU$521,3,))*$E492)</f>
        <v>0</v>
      </c>
      <c r="T492" s="66">
        <f>IF(VLOOKUP($D492,$C$5:$AU$521,3,)=0,0,(VLOOKUP($D492,$C$5:$AU$521,18,)/VLOOKUP($D492,$C$5:$AU$521,3,))*$E492)</f>
        <v>0</v>
      </c>
      <c r="U492" s="66">
        <f>IF(VLOOKUP($D492,$C$5:$AU$521,3,)=0,0,(VLOOKUP($D492,$C$5:$AU$521,19,)/VLOOKUP($D492,$C$5:$AU$521,3,))*$E492)</f>
        <v>0</v>
      </c>
      <c r="V492" s="66">
        <f>IF(VLOOKUP($D492,$C$5:$AU$521,3,)=0,0,(VLOOKUP($D492,$C$5:$AU$521,20,)/VLOOKUP($D492,$C$5:$AU$521,3,))*$E492)</f>
        <v>0</v>
      </c>
      <c r="W492" s="66">
        <f>IF(VLOOKUP($D492,$C$5:$AU$521,3,)=0,0,(VLOOKUP($D492,$C$5:$AU$521,21,)/VLOOKUP($D492,$C$5:$AU$521,3,))*$E492)</f>
        <v>0</v>
      </c>
      <c r="X492" s="66">
        <f>IF(VLOOKUP($D492,$C$5:$AU$521,3,)=0,0,(VLOOKUP($D492,$C$5:$AU$521,22,)/VLOOKUP($D492,$C$5:$AU$521,3,))*$E492)</f>
        <v>0</v>
      </c>
      <c r="Y492" s="66">
        <f>IF(VLOOKUP($D492,$C$5:$AU$521,3,)=0,0,(VLOOKUP($D492,$C$5:$AU$521,23,)/VLOOKUP($D492,$C$5:$AU$521,3,))*$E492)</f>
        <v>0</v>
      </c>
      <c r="Z492" s="66">
        <f>IF(VLOOKUP($D492,$C$5:$AU$521,3,)=0,0,(VLOOKUP($D492,$C$5:$AU$521,24,)/VLOOKUP($D492,$C$5:$AU$521,3,))*$E492)</f>
        <v>0</v>
      </c>
      <c r="AA492" s="66">
        <f>IF(VLOOKUP($D492,$C$5:$AU$521,3,)=0,0,(VLOOKUP($D492,$C$5:$AU$521,25,)/VLOOKUP($D492,$C$5:$AU$521,3,))*$E492)</f>
        <v>0</v>
      </c>
      <c r="AB492" s="66">
        <f>IF(VLOOKUP($D492,$C$5:$AU$521,3,)=0,0,(VLOOKUP($D492,$C$5:$AU$521,26,)/VLOOKUP($D492,$C$5:$AU$521,3,))*$E492)</f>
        <v>0</v>
      </c>
      <c r="AC492" s="66">
        <f>IF(VLOOKUP($D492,$C$5:$AU$521,3,)=0,0,(VLOOKUP($D492,$C$5:$AU$521,27,)/VLOOKUP($D492,$C$5:$AU$521,3,))*$E492)</f>
        <v>0</v>
      </c>
      <c r="AD492" s="66">
        <f>IF(VLOOKUP($D492,$C$5:$AU$521,3,)=0,0,(VLOOKUP($D492,$C$5:$AU$521,28,)/VLOOKUP($D492,$C$5:$AU$521,3,))*$E492)</f>
        <v>0</v>
      </c>
      <c r="AE492" s="66">
        <f>IF(VLOOKUP($D492,$C$5:$AU$521,3,)=0,0,(VLOOKUP($D492,$C$5:$AU$521,29,)/VLOOKUP($D492,$C$5:$AU$521,3,))*$E492)</f>
        <v>0</v>
      </c>
      <c r="AF492" s="66">
        <f>IF(VLOOKUP($D492,$C$5:$AU$521,3,)=0,0,(VLOOKUP($D492,$C$5:$AU$521,30,)/VLOOKUP($D492,$C$5:$AU$521,3,))*$E492)</f>
        <v>0</v>
      </c>
      <c r="AG492" s="93">
        <f>SUM(F492:AF492)</f>
        <v>28623984.555008754</v>
      </c>
      <c r="AH492" s="30" t="str">
        <f>IF(ABS(E492-AG492)&lt;0.01,"ok","err")</f>
        <v>ok</v>
      </c>
    </row>
    <row r="493" spans="1:34" x14ac:dyDescent="0.2">
      <c r="A493" s="14" t="s">
        <v>652</v>
      </c>
      <c r="C493" s="14" t="s">
        <v>654</v>
      </c>
      <c r="E493" s="226">
        <f t="shared" ref="E493:AF493" si="203">E491+E492</f>
        <v>32193190.155008759</v>
      </c>
      <c r="F493" s="93">
        <f t="shared" si="203"/>
        <v>24153986.030061916</v>
      </c>
      <c r="G493" s="93">
        <f t="shared" si="203"/>
        <v>0</v>
      </c>
      <c r="H493" s="93">
        <f t="shared" si="203"/>
        <v>3830437.7003673962</v>
      </c>
      <c r="I493" s="226">
        <f t="shared" si="203"/>
        <v>206344.4</v>
      </c>
      <c r="J493" s="226">
        <f t="shared" si="203"/>
        <v>1664142.8</v>
      </c>
      <c r="K493" s="226">
        <f t="shared" si="203"/>
        <v>1698718.4000000001</v>
      </c>
      <c r="L493" s="93">
        <f t="shared" si="203"/>
        <v>241476.70596906042</v>
      </c>
      <c r="M493" s="93">
        <f t="shared" si="203"/>
        <v>213572.5626509079</v>
      </c>
      <c r="N493" s="93">
        <f t="shared" si="203"/>
        <v>184511.55595947517</v>
      </c>
      <c r="O493" s="93">
        <f t="shared" si="203"/>
        <v>0</v>
      </c>
      <c r="P493" s="93">
        <f t="shared" si="203"/>
        <v>0</v>
      </c>
      <c r="Q493" s="93">
        <f t="shared" si="203"/>
        <v>0</v>
      </c>
      <c r="R493" s="93">
        <f t="shared" si="203"/>
        <v>0</v>
      </c>
      <c r="S493" s="93">
        <f t="shared" si="203"/>
        <v>0</v>
      </c>
      <c r="T493" s="93">
        <f t="shared" si="203"/>
        <v>0</v>
      </c>
      <c r="U493" s="93">
        <f t="shared" si="203"/>
        <v>0</v>
      </c>
      <c r="V493" s="93">
        <f t="shared" si="203"/>
        <v>0</v>
      </c>
      <c r="W493" s="93">
        <f t="shared" si="203"/>
        <v>0</v>
      </c>
      <c r="X493" s="93">
        <f t="shared" si="203"/>
        <v>0</v>
      </c>
      <c r="Y493" s="93">
        <f t="shared" si="203"/>
        <v>0</v>
      </c>
      <c r="Z493" s="93">
        <f t="shared" si="203"/>
        <v>0</v>
      </c>
      <c r="AA493" s="93">
        <f t="shared" si="203"/>
        <v>0</v>
      </c>
      <c r="AB493" s="93">
        <f t="shared" si="203"/>
        <v>0</v>
      </c>
      <c r="AC493" s="93">
        <f t="shared" si="203"/>
        <v>0</v>
      </c>
      <c r="AD493" s="93">
        <f t="shared" si="203"/>
        <v>0</v>
      </c>
      <c r="AE493" s="93">
        <f t="shared" si="203"/>
        <v>0</v>
      </c>
      <c r="AF493" s="93">
        <f t="shared" si="203"/>
        <v>0</v>
      </c>
      <c r="AG493" s="93">
        <f>SUM(F493:AF493)</f>
        <v>32193190.155008752</v>
      </c>
      <c r="AH493" s="30" t="str">
        <f>IF(ABS(E493-AG493)&lt;0.01,"ok","err")</f>
        <v>ok</v>
      </c>
    </row>
    <row r="494" spans="1:34" x14ac:dyDescent="0.2">
      <c r="A494" s="14" t="s">
        <v>653</v>
      </c>
      <c r="C494" s="14" t="s">
        <v>655</v>
      </c>
      <c r="D494" s="14" t="s">
        <v>654</v>
      </c>
      <c r="E494" s="248">
        <v>1</v>
      </c>
      <c r="F494" s="101">
        <f>IF(VLOOKUP($D494,$C$5:$AU$521,3,)=0,0,(VLOOKUP($D494,$C$5:$AU$521,4,)/VLOOKUP($D494,$C$5:$AU$521,3,))*$E494)</f>
        <v>0.75028246389256736</v>
      </c>
      <c r="G494" s="101">
        <f>IF(VLOOKUP($D494,$C$5:$AU$521,3,)=0,0,(VLOOKUP($D494,$C$5:$AU$521,5,)/VLOOKUP($D494,$C$5:$AU$521,3,))*$E494)</f>
        <v>0</v>
      </c>
      <c r="H494" s="101">
        <f>IF(VLOOKUP($D494,$C$5:$AU$521,3,)=0,0,(VLOOKUP($D494,$C$5:$AU$521,6,)/VLOOKUP($D494,$C$5:$AU$521,3,))*$E494)</f>
        <v>0.11898285575067309</v>
      </c>
      <c r="I494" s="237">
        <f>IF(VLOOKUP($D494,$C$5:$AU$521,3,)=0,0,(VLOOKUP($D494,$C$5:$AU$521,7,)/VLOOKUP($D494,$C$5:$AU$521,3,))*$E494)</f>
        <v>6.4095667129122963E-3</v>
      </c>
      <c r="J494" s="237">
        <f>IF(VLOOKUP($D494,$C$5:$AU$521,3,)=0,0,(VLOOKUP($D494,$C$5:$AU$521,8,)/VLOOKUP($D494,$C$5:$AU$521,3,))*$E494)</f>
        <v>5.1692385625258866E-2</v>
      </c>
      <c r="K494" s="237">
        <f>IF(VLOOKUP($D494,$C$5:$AU$521,3,)=0,0,(VLOOKUP($D494,$C$5:$AU$521,9,)/VLOOKUP($D494,$C$5:$AU$521,3,))*$E494)</f>
        <v>5.276638915934543E-2</v>
      </c>
      <c r="L494" s="101">
        <f>IF(VLOOKUP($D494,$C$5:$AU$521,3,)=0,0,(VLOOKUP($D494,$C$5:$AU$521,10,)/VLOOKUP($D494,$C$5:$AU$521,3,))*$E494)</f>
        <v>7.5008629094029189E-3</v>
      </c>
      <c r="M494" s="101">
        <f>IF(VLOOKUP($D494,$C$5:$AU$521,3,)=0,0,(VLOOKUP($D494,$C$5:$AU$521,11,)/VLOOKUP($D494,$C$5:$AU$521,3,))*$E494)</f>
        <v>6.6340912976491501E-3</v>
      </c>
      <c r="N494" s="101">
        <f>IF(VLOOKUP($D494,$C$5:$AU$521,3,)=0,0,(VLOOKUP($D494,$C$5:$AU$521,12,)/VLOOKUP($D494,$C$5:$AU$521,3,))*$E494)</f>
        <v>5.731384652190738E-3</v>
      </c>
      <c r="O494" s="101">
        <f>IF(VLOOKUP($D494,$C$5:$AU$521,3,)=0,0,(VLOOKUP($D494,$C$5:$AU$521,13,)/VLOOKUP($D494,$C$5:$AU$521,3,))*$E494)</f>
        <v>0</v>
      </c>
      <c r="P494" s="101">
        <f>IF(VLOOKUP($D494,$C$5:$AU$521,3,)=0,0,(VLOOKUP($D494,$C$5:$AU$521,14,)/VLOOKUP($D494,$C$5:$AU$521,3,))*$E494)</f>
        <v>0</v>
      </c>
      <c r="Q494" s="101">
        <f>IF(VLOOKUP($D494,$C$5:$AU$521,3,)=0,0,(VLOOKUP($D494,$C$5:$AU$521,15,)/VLOOKUP($D494,$C$5:$AU$521,3,))*$E494)</f>
        <v>0</v>
      </c>
      <c r="R494" s="101">
        <f>IF(VLOOKUP($D494,$C$5:$AU$521,3,)=0,0,(VLOOKUP($D494,$C$5:$AU$521,16,)/VLOOKUP($D494,$C$5:$AU$521,3,))*$E494)</f>
        <v>0</v>
      </c>
      <c r="S494" s="101">
        <f>IF(VLOOKUP($D494,$C$5:$AU$521,3,)=0,0,(VLOOKUP($D494,$C$5:$AU$521,17,)/VLOOKUP($D494,$C$5:$AU$521,3,))*$E494)</f>
        <v>0</v>
      </c>
      <c r="T494" s="101">
        <f>IF(VLOOKUP($D494,$C$5:$AU$521,3,)=0,0,(VLOOKUP($D494,$C$5:$AU$521,18,)/VLOOKUP($D494,$C$5:$AU$521,3,))*$E494)</f>
        <v>0</v>
      </c>
      <c r="U494" s="101">
        <f>IF(VLOOKUP($D494,$C$5:$AU$521,3,)=0,0,(VLOOKUP($D494,$C$5:$AU$521,19,)/VLOOKUP($D494,$C$5:$AU$521,3,))*$E494)</f>
        <v>0</v>
      </c>
      <c r="V494" s="101">
        <f>IF(VLOOKUP($D494,$C$5:$AU$521,3,)=0,0,(VLOOKUP($D494,$C$5:$AU$521,20,)/VLOOKUP($D494,$C$5:$AU$521,3,))*$E494)</f>
        <v>0</v>
      </c>
      <c r="W494" s="101">
        <f>IF(VLOOKUP($D494,$C$5:$AU$521,3,)=0,0,(VLOOKUP($D494,$C$5:$AU$521,21,)/VLOOKUP($D494,$C$5:$AU$521,3,))*$E494)</f>
        <v>0</v>
      </c>
      <c r="X494" s="101">
        <f>IF(VLOOKUP($D494,$C$5:$AU$521,3,)=0,0,(VLOOKUP($D494,$C$5:$AU$521,22,)/VLOOKUP($D494,$C$5:$AU$521,3,))*$E494)</f>
        <v>0</v>
      </c>
      <c r="Y494" s="101">
        <f>IF(VLOOKUP($D494,$C$5:$AU$521,3,)=0,0,(VLOOKUP($D494,$C$5:$AU$521,23,)/VLOOKUP($D494,$C$5:$AU$521,3,))*$E494)</f>
        <v>0</v>
      </c>
      <c r="Z494" s="101">
        <f>IF(VLOOKUP($D494,$C$5:$AU$521,3,)=0,0,(VLOOKUP($D494,$C$5:$AU$521,24,)/VLOOKUP($D494,$C$5:$AU$521,3,))*$E494)</f>
        <v>0</v>
      </c>
      <c r="AA494" s="101">
        <f>IF(VLOOKUP($D494,$C$5:$AU$521,3,)=0,0,(VLOOKUP($D494,$C$5:$AU$521,25,)/VLOOKUP($D494,$C$5:$AU$521,3,))*$E494)</f>
        <v>0</v>
      </c>
      <c r="AB494" s="101">
        <f>IF(VLOOKUP($D494,$C$5:$AU$521,3,)=0,0,(VLOOKUP($D494,$C$5:$AU$521,26,)/VLOOKUP($D494,$C$5:$AU$521,3,))*$E494)</f>
        <v>0</v>
      </c>
      <c r="AC494" s="101">
        <f>IF(VLOOKUP($D494,$C$5:$AU$521,3,)=0,0,(VLOOKUP($D494,$C$5:$AU$521,27,)/VLOOKUP($D494,$C$5:$AU$521,3,))*$E494)</f>
        <v>0</v>
      </c>
      <c r="AD494" s="101">
        <f>IF(VLOOKUP($D494,$C$5:$AU$521,3,)=0,0,(VLOOKUP($D494,$C$5:$AU$521,28,)/VLOOKUP($D494,$C$5:$AU$521,3,))*$E494)</f>
        <v>0</v>
      </c>
      <c r="AE494" s="101">
        <f>IF(VLOOKUP($D494,$C$5:$AU$521,3,)=0,0,(VLOOKUP($D494,$C$5:$AU$521,29,)/VLOOKUP($D494,$C$5:$AU$521,3,))*$E494)</f>
        <v>0</v>
      </c>
      <c r="AF494" s="101">
        <f>IF(VLOOKUP($D494,$C$5:$AU$521,3,)=0,0,(VLOOKUP($D494,$C$5:$AU$521,30,)/VLOOKUP($D494,$C$5:$AU$521,3,))*$E494)</f>
        <v>0</v>
      </c>
      <c r="AG494" s="101">
        <f>SUM(F494:AF494)</f>
        <v>0.99999999999999978</v>
      </c>
      <c r="AH494" s="30" t="str">
        <f t="shared" si="202"/>
        <v>ok</v>
      </c>
    </row>
    <row r="495" spans="1:34" x14ac:dyDescent="0.2">
      <c r="E495" s="248"/>
      <c r="F495" s="101"/>
      <c r="G495" s="101"/>
      <c r="H495" s="101"/>
      <c r="I495" s="237"/>
      <c r="J495" s="237"/>
      <c r="K495" s="237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30"/>
    </row>
    <row r="496" spans="1:34" x14ac:dyDescent="0.2">
      <c r="A496" s="14" t="s">
        <v>657</v>
      </c>
      <c r="C496" s="14" t="s">
        <v>662</v>
      </c>
      <c r="E496" s="234">
        <v>1055221937</v>
      </c>
      <c r="F496" s="50">
        <f>F423</f>
        <v>766561470</v>
      </c>
      <c r="G496" s="50">
        <f t="shared" ref="G496:P496" si="204">G423</f>
        <v>69966370</v>
      </c>
      <c r="H496" s="50">
        <f t="shared" si="204"/>
        <v>183071000</v>
      </c>
      <c r="I496" s="234">
        <v>0</v>
      </c>
      <c r="J496" s="234">
        <v>0</v>
      </c>
      <c r="K496" s="234">
        <v>0</v>
      </c>
      <c r="L496" s="50">
        <f t="shared" si="204"/>
        <v>11928714</v>
      </c>
      <c r="M496" s="50">
        <f t="shared" si="204"/>
        <v>10463040</v>
      </c>
      <c r="N496" s="50">
        <f t="shared" si="204"/>
        <v>13231343</v>
      </c>
      <c r="O496" s="50">
        <f t="shared" si="204"/>
        <v>0</v>
      </c>
      <c r="P496" s="50">
        <f t="shared" si="204"/>
        <v>0</v>
      </c>
      <c r="Q496" s="50">
        <f t="shared" ref="Q496:Z496" si="205">Q423</f>
        <v>0</v>
      </c>
      <c r="R496" s="50">
        <f t="shared" si="205"/>
        <v>0</v>
      </c>
      <c r="S496" s="50">
        <f t="shared" si="205"/>
        <v>0</v>
      </c>
      <c r="T496" s="50">
        <f t="shared" si="205"/>
        <v>0</v>
      </c>
      <c r="U496" s="50">
        <f t="shared" si="205"/>
        <v>0</v>
      </c>
      <c r="V496" s="50">
        <f t="shared" si="205"/>
        <v>0</v>
      </c>
      <c r="W496" s="50">
        <f t="shared" si="205"/>
        <v>0</v>
      </c>
      <c r="X496" s="50">
        <f t="shared" si="205"/>
        <v>0</v>
      </c>
      <c r="Y496" s="50">
        <f t="shared" si="205"/>
        <v>0</v>
      </c>
      <c r="Z496" s="50">
        <f t="shared" si="205"/>
        <v>0</v>
      </c>
      <c r="AA496" s="50">
        <v>0</v>
      </c>
      <c r="AB496" s="50">
        <v>0</v>
      </c>
      <c r="AC496" s="50">
        <v>0</v>
      </c>
      <c r="AD496" s="50">
        <v>0</v>
      </c>
      <c r="AE496" s="50">
        <v>0</v>
      </c>
      <c r="AF496" s="50">
        <f>AF423</f>
        <v>0</v>
      </c>
      <c r="AG496" s="93">
        <f>SUM(F496:AF496)</f>
        <v>1055221937</v>
      </c>
      <c r="AH496" s="30" t="str">
        <f t="shared" ref="AH496:AH501" si="206">IF(ABS(E496-AG496)&lt;0.01,"ok","err")</f>
        <v>ok</v>
      </c>
    </row>
    <row r="497" spans="1:41" x14ac:dyDescent="0.2">
      <c r="A497" s="14" t="s">
        <v>658</v>
      </c>
      <c r="E497" s="226">
        <f>E124</f>
        <v>76848014.844991267</v>
      </c>
      <c r="I497" s="232"/>
      <c r="J497" s="232"/>
      <c r="K497" s="232"/>
      <c r="AG497" s="93">
        <f>E497</f>
        <v>76848014.844991267</v>
      </c>
      <c r="AH497" s="30" t="str">
        <f t="shared" si="206"/>
        <v>ok</v>
      </c>
    </row>
    <row r="498" spans="1:41" x14ac:dyDescent="0.2">
      <c r="A498" s="14" t="s">
        <v>592</v>
      </c>
      <c r="E498" s="233">
        <v>8732767.3999999985</v>
      </c>
      <c r="F498" s="50">
        <v>0</v>
      </c>
      <c r="G498" s="50">
        <v>0</v>
      </c>
      <c r="H498" s="50">
        <v>0</v>
      </c>
      <c r="I498" s="234">
        <f>'Purchased Power'!O246</f>
        <v>518844.6</v>
      </c>
      <c r="J498" s="234">
        <f>'Purchased Power'!O252</f>
        <v>3945992.2</v>
      </c>
      <c r="K498" s="234">
        <f>'Purchased Power'!O258</f>
        <v>4267930.5999999987</v>
      </c>
      <c r="L498" s="50">
        <v>0</v>
      </c>
      <c r="M498" s="50">
        <v>0</v>
      </c>
      <c r="N498" s="50">
        <v>0</v>
      </c>
      <c r="O498" s="50">
        <v>0</v>
      </c>
      <c r="P498" s="50">
        <v>0</v>
      </c>
      <c r="Q498" s="50">
        <v>0</v>
      </c>
      <c r="R498" s="50">
        <v>0</v>
      </c>
      <c r="S498" s="50">
        <v>0</v>
      </c>
      <c r="T498" s="50">
        <v>0</v>
      </c>
      <c r="U498" s="50">
        <v>0</v>
      </c>
      <c r="V498" s="50">
        <v>0</v>
      </c>
      <c r="W498" s="50">
        <v>0</v>
      </c>
      <c r="X498" s="50">
        <v>0</v>
      </c>
      <c r="Y498" s="50">
        <v>0</v>
      </c>
      <c r="Z498" s="50">
        <v>0</v>
      </c>
      <c r="AA498" s="50">
        <v>0</v>
      </c>
      <c r="AB498" s="50">
        <v>0</v>
      </c>
      <c r="AC498" s="50">
        <v>0</v>
      </c>
      <c r="AD498" s="50">
        <v>0</v>
      </c>
      <c r="AE498" s="50">
        <v>0</v>
      </c>
      <c r="AF498" s="50">
        <v>0</v>
      </c>
      <c r="AG498" s="93">
        <f>SUM(F498:AF498)</f>
        <v>8732767.3999999985</v>
      </c>
      <c r="AH498" s="30" t="str">
        <f t="shared" si="206"/>
        <v>ok</v>
      </c>
    </row>
    <row r="499" spans="1:41" x14ac:dyDescent="0.2">
      <c r="A499" s="14" t="s">
        <v>659</v>
      </c>
      <c r="D499" s="14" t="s">
        <v>662</v>
      </c>
      <c r="E499" s="226">
        <f>E497-E498</f>
        <v>68115247.444991261</v>
      </c>
      <c r="F499" s="66">
        <f>IF(VLOOKUP($D499,$C$5:$AU$521,3,)=0,0,(VLOOKUP($D499,$C$5:$AU$521,4,)/VLOOKUP($D499,$C$5:$AU$521,3,))*$E499)</f>
        <v>49482030.632619657</v>
      </c>
      <c r="G499" s="66">
        <f>IF(VLOOKUP($D499,$C$5:$AU$521,3,)=0,0,(VLOOKUP($D499,$C$5:$AU$521,5,)/VLOOKUP($D499,$C$5:$AU$521,3,))*$E499)</f>
        <v>4516373.701372182</v>
      </c>
      <c r="H499" s="66">
        <f>IF(VLOOKUP($D499,$C$5:$AU$521,3,)=0,0,(VLOOKUP($D499,$C$5:$AU$521,6,)/VLOOKUP($D499,$C$5:$AU$521,3,))*$E499)</f>
        <v>11817349.533553144</v>
      </c>
      <c r="I499" s="66">
        <f>IF(VLOOKUP($D499,$C$5:$AU$521,3,)=0,0,(VLOOKUP($D499,$C$5:$AU$521,7,)/VLOOKUP($D499,$C$5:$AU$521,3,))*$E499)</f>
        <v>0</v>
      </c>
      <c r="J499" s="66">
        <f>IF(VLOOKUP($D499,$C$5:$AU$521,3,)=0,0,(VLOOKUP($D499,$C$5:$AU$521,8,)/VLOOKUP($D499,$C$5:$AU$521,3,))*$E499)</f>
        <v>0</v>
      </c>
      <c r="K499" s="66">
        <f>IF(VLOOKUP($D499,$C$5:$AU$521,3,)=0,0,(VLOOKUP($D499,$C$5:$AU$521,9,)/VLOOKUP($D499,$C$5:$AU$521,3,))*$E499)</f>
        <v>0</v>
      </c>
      <c r="L499" s="66">
        <f>IF(VLOOKUP($D499,$C$5:$AU$521,3,)=0,0,(VLOOKUP($D499,$C$5:$AU$521,10,)/VLOOKUP($D499,$C$5:$AU$521,3,))*$E499)</f>
        <v>770006.078645929</v>
      </c>
      <c r="M499" s="66">
        <f>IF(VLOOKUP($D499,$C$5:$AU$521,3,)=0,0,(VLOOKUP($D499,$C$5:$AU$521,11,)/VLOOKUP($D499,$C$5:$AU$521,3,))*$E499)</f>
        <v>675395.88937378337</v>
      </c>
      <c r="N499" s="66">
        <f>IF(VLOOKUP($D499,$C$5:$AU$521,3,)=0,0,(VLOOKUP($D499,$C$5:$AU$521,12,)/VLOOKUP($D499,$C$5:$AU$521,3,))*$E499)</f>
        <v>854091.60942657036</v>
      </c>
      <c r="O499" s="66">
        <f>IF(VLOOKUP($D499,$C$5:$AU$521,3,)=0,0,(VLOOKUP($D499,$C$5:$AU$521,13,)/VLOOKUP($D499,$C$5:$AU$521,3,))*$E499)</f>
        <v>0</v>
      </c>
      <c r="P499" s="66">
        <f>IF(VLOOKUP($D499,$C$5:$AU$521,3,)=0,0,(VLOOKUP($D499,$C$5:$AU$521,14,)/VLOOKUP($D499,$C$5:$AU$521,3,))*$E499)</f>
        <v>0</v>
      </c>
      <c r="Q499" s="66">
        <f>IF(VLOOKUP($D499,$C$5:$AU$521,3,)=0,0,(VLOOKUP($D499,$C$5:$AU$521,15,)/VLOOKUP($D499,$C$5:$AU$521,3,))*$E499)</f>
        <v>0</v>
      </c>
      <c r="R499" s="66">
        <f>IF(VLOOKUP($D499,$C$5:$AU$521,3,)=0,0,(VLOOKUP($D499,$C$5:$AU$521,16,)/VLOOKUP($D499,$C$5:$AU$521,3,))*$E499)</f>
        <v>0</v>
      </c>
      <c r="S499" s="66">
        <f>IF(VLOOKUP($D499,$C$5:$AU$521,3,)=0,0,(VLOOKUP($D499,$C$5:$AU$521,17,)/VLOOKUP($D499,$C$5:$AU$521,3,))*$E499)</f>
        <v>0</v>
      </c>
      <c r="T499" s="66">
        <f>IF(VLOOKUP($D499,$C$5:$AU$521,3,)=0,0,(VLOOKUP($D499,$C$5:$AU$521,18,)/VLOOKUP($D499,$C$5:$AU$521,3,))*$E499)</f>
        <v>0</v>
      </c>
      <c r="U499" s="66">
        <f>IF(VLOOKUP($D499,$C$5:$AU$521,3,)=0,0,(VLOOKUP($D499,$C$5:$AU$521,19,)/VLOOKUP($D499,$C$5:$AU$521,3,))*$E499)</f>
        <v>0</v>
      </c>
      <c r="V499" s="66">
        <f>IF(VLOOKUP($D499,$C$5:$AU$521,3,)=0,0,(VLOOKUP($D499,$C$5:$AU$521,20,)/VLOOKUP($D499,$C$5:$AU$521,3,))*$E499)</f>
        <v>0</v>
      </c>
      <c r="W499" s="66">
        <f>IF(VLOOKUP($D499,$C$5:$AU$521,3,)=0,0,(VLOOKUP($D499,$C$5:$AU$521,21,)/VLOOKUP($D499,$C$5:$AU$521,3,))*$E499)</f>
        <v>0</v>
      </c>
      <c r="X499" s="66">
        <f>IF(VLOOKUP($D499,$C$5:$AU$521,3,)=0,0,(VLOOKUP($D499,$C$5:$AU$521,22,)/VLOOKUP($D499,$C$5:$AU$521,3,))*$E499)</f>
        <v>0</v>
      </c>
      <c r="Y499" s="66">
        <f>IF(VLOOKUP($D499,$C$5:$AU$521,3,)=0,0,(VLOOKUP($D499,$C$5:$AU$521,23,)/VLOOKUP($D499,$C$5:$AU$521,3,))*$E499)</f>
        <v>0</v>
      </c>
      <c r="Z499" s="66">
        <f>IF(VLOOKUP($D499,$C$5:$AU$521,3,)=0,0,(VLOOKUP($D499,$C$5:$AU$521,24,)/VLOOKUP($D499,$C$5:$AU$521,3,))*$E499)</f>
        <v>0</v>
      </c>
      <c r="AA499" s="66">
        <f>IF(VLOOKUP($D499,$C$5:$AU$521,3,)=0,0,(VLOOKUP($D499,$C$5:$AU$521,25,)/VLOOKUP($D499,$C$5:$AU$521,3,))*$E499)</f>
        <v>0</v>
      </c>
      <c r="AB499" s="66">
        <f>IF(VLOOKUP($D499,$C$5:$AU$521,3,)=0,0,(VLOOKUP($D499,$C$5:$AU$521,26,)/VLOOKUP($D499,$C$5:$AU$521,3,))*$E499)</f>
        <v>0</v>
      </c>
      <c r="AC499" s="66">
        <f>IF(VLOOKUP($D499,$C$5:$AU$521,3,)=0,0,(VLOOKUP($D499,$C$5:$AU$521,27,)/VLOOKUP($D499,$C$5:$AU$521,3,))*$E499)</f>
        <v>0</v>
      </c>
      <c r="AD499" s="66">
        <f>IF(VLOOKUP($D499,$C$5:$AU$521,3,)=0,0,(VLOOKUP($D499,$C$5:$AU$521,28,)/VLOOKUP($D499,$C$5:$AU$521,3,))*$E499)</f>
        <v>0</v>
      </c>
      <c r="AE499" s="66">
        <f>IF(VLOOKUP($D499,$C$5:$AU$521,3,)=0,0,(VLOOKUP($D499,$C$5:$AU$521,29,)/VLOOKUP($D499,$C$5:$AU$521,3,))*$E499)</f>
        <v>0</v>
      </c>
      <c r="AF499" s="66">
        <f>IF(VLOOKUP($D499,$C$5:$AU$521,3,)=0,0,(VLOOKUP($D499,$C$5:$AU$521,30,)/VLOOKUP($D499,$C$5:$AU$521,3,))*$E499)</f>
        <v>0</v>
      </c>
      <c r="AG499" s="93">
        <f>SUM(F499:AF499)</f>
        <v>68115247.444991276</v>
      </c>
      <c r="AH499" s="30" t="str">
        <f t="shared" si="206"/>
        <v>ok</v>
      </c>
    </row>
    <row r="500" spans="1:41" x14ac:dyDescent="0.2">
      <c r="A500" s="14" t="s">
        <v>660</v>
      </c>
      <c r="C500" s="14" t="s">
        <v>663</v>
      </c>
      <c r="E500" s="226">
        <f t="shared" ref="E500:AF500" si="207">E498+E499</f>
        <v>76848014.844991267</v>
      </c>
      <c r="F500" s="93">
        <f t="shared" si="207"/>
        <v>49482030.632619657</v>
      </c>
      <c r="G500" s="93">
        <f t="shared" si="207"/>
        <v>4516373.701372182</v>
      </c>
      <c r="H500" s="93">
        <f t="shared" si="207"/>
        <v>11817349.533553144</v>
      </c>
      <c r="I500" s="93">
        <f t="shared" si="207"/>
        <v>518844.6</v>
      </c>
      <c r="J500" s="93">
        <f t="shared" si="207"/>
        <v>3945992.2</v>
      </c>
      <c r="K500" s="93">
        <f t="shared" si="207"/>
        <v>4267930.5999999987</v>
      </c>
      <c r="L500" s="93">
        <f t="shared" si="207"/>
        <v>770006.078645929</v>
      </c>
      <c r="M500" s="93">
        <f t="shared" si="207"/>
        <v>675395.88937378337</v>
      </c>
      <c r="N500" s="93">
        <f t="shared" si="207"/>
        <v>854091.60942657036</v>
      </c>
      <c r="O500" s="93">
        <f t="shared" si="207"/>
        <v>0</v>
      </c>
      <c r="P500" s="93">
        <f t="shared" si="207"/>
        <v>0</v>
      </c>
      <c r="Q500" s="93">
        <f t="shared" si="207"/>
        <v>0</v>
      </c>
      <c r="R500" s="93">
        <f t="shared" si="207"/>
        <v>0</v>
      </c>
      <c r="S500" s="93">
        <f t="shared" si="207"/>
        <v>0</v>
      </c>
      <c r="T500" s="93">
        <f t="shared" si="207"/>
        <v>0</v>
      </c>
      <c r="U500" s="93">
        <f t="shared" si="207"/>
        <v>0</v>
      </c>
      <c r="V500" s="93">
        <f t="shared" si="207"/>
        <v>0</v>
      </c>
      <c r="W500" s="93">
        <f t="shared" si="207"/>
        <v>0</v>
      </c>
      <c r="X500" s="93">
        <f t="shared" si="207"/>
        <v>0</v>
      </c>
      <c r="Y500" s="93">
        <f t="shared" si="207"/>
        <v>0</v>
      </c>
      <c r="Z500" s="93">
        <f t="shared" si="207"/>
        <v>0</v>
      </c>
      <c r="AA500" s="93">
        <f t="shared" si="207"/>
        <v>0</v>
      </c>
      <c r="AB500" s="93">
        <f t="shared" si="207"/>
        <v>0</v>
      </c>
      <c r="AC500" s="93">
        <f t="shared" si="207"/>
        <v>0</v>
      </c>
      <c r="AD500" s="93">
        <f t="shared" si="207"/>
        <v>0</v>
      </c>
      <c r="AE500" s="93">
        <f t="shared" si="207"/>
        <v>0</v>
      </c>
      <c r="AF500" s="93">
        <f t="shared" si="207"/>
        <v>0</v>
      </c>
      <c r="AG500" s="93">
        <f>SUM(F500:AF500)</f>
        <v>76848014.844991267</v>
      </c>
      <c r="AH500" s="30" t="str">
        <f t="shared" si="206"/>
        <v>ok</v>
      </c>
    </row>
    <row r="501" spans="1:41" x14ac:dyDescent="0.2">
      <c r="A501" s="14" t="s">
        <v>661</v>
      </c>
      <c r="C501" s="14" t="s">
        <v>664</v>
      </c>
      <c r="D501" s="14" t="s">
        <v>663</v>
      </c>
      <c r="E501" s="248">
        <v>1</v>
      </c>
      <c r="F501" s="101">
        <f>IF(VLOOKUP($D501,$C$5:$AU$521,3,)=0,0,(VLOOKUP($D501,$C$5:$AU$521,4,)/VLOOKUP($D501,$C$5:$AU$521,3,))*$E501)</f>
        <v>0.64389471520414632</v>
      </c>
      <c r="G501" s="101">
        <f>IF(VLOOKUP($D501,$C$5:$AU$521,3,)=0,0,(VLOOKUP($D501,$C$5:$AU$521,5,)/VLOOKUP($D501,$C$5:$AU$521,3,))*$E501)</f>
        <v>5.877020649761841E-2</v>
      </c>
      <c r="H501" s="101">
        <f>IF(VLOOKUP($D501,$C$5:$AU$521,3,)=0,0,(VLOOKUP($D501,$C$5:$AU$521,6,)/VLOOKUP($D501,$C$5:$AU$521,3,))*$E501)</f>
        <v>0.15377559924468712</v>
      </c>
      <c r="I501" s="101">
        <f>IF(VLOOKUP($D501,$C$5:$AU$521,3,)=0,0,(VLOOKUP($D501,$C$5:$AU$521,7,)/VLOOKUP($D501,$C$5:$AU$521,3,))*$E501)</f>
        <v>6.7515680274441957E-3</v>
      </c>
      <c r="J501" s="101">
        <f>IF(VLOOKUP($D501,$C$5:$AU$521,3,)=0,0,(VLOOKUP($D501,$C$5:$AU$521,8,)/VLOOKUP($D501,$C$5:$AU$521,3,))*$E501)</f>
        <v>5.1348004342849835E-2</v>
      </c>
      <c r="K501" s="101">
        <f>IF(VLOOKUP($D501,$C$5:$AU$521,3,)=0,0,(VLOOKUP($D501,$C$5:$AU$521,9,)/VLOOKUP($D501,$C$5:$AU$521,3,))*$E501)</f>
        <v>5.5537291478625232E-2</v>
      </c>
      <c r="L501" s="101">
        <f>IF(VLOOKUP($D501,$C$5:$AU$521,3,)=0,0,(VLOOKUP($D501,$C$5:$AU$521,10,)/VLOOKUP($D501,$C$5:$AU$521,3,))*$E501)</f>
        <v>1.0019856468629596E-2</v>
      </c>
      <c r="M501" s="101">
        <f>IF(VLOOKUP($D501,$C$5:$AU$521,3,)=0,0,(VLOOKUP($D501,$C$5:$AU$521,11,)/VLOOKUP($D501,$C$5:$AU$521,3,))*$E501)</f>
        <v>8.7887226590838054E-3</v>
      </c>
      <c r="N501" s="101">
        <f>IF(VLOOKUP($D501,$C$5:$AU$521,3,)=0,0,(VLOOKUP($D501,$C$5:$AU$521,12,)/VLOOKUP($D501,$C$5:$AU$521,3,))*$E501)</f>
        <v>1.1114036076915494E-2</v>
      </c>
      <c r="O501" s="101">
        <f>IF(VLOOKUP($D501,$C$5:$AU$521,3,)=0,0,(VLOOKUP($D501,$C$5:$AU$521,13,)/VLOOKUP($D501,$C$5:$AU$521,3,))*$E501)</f>
        <v>0</v>
      </c>
      <c r="P501" s="101">
        <f>IF(VLOOKUP($D501,$C$5:$AU$521,3,)=0,0,(VLOOKUP($D501,$C$5:$AU$521,14,)/VLOOKUP($D501,$C$5:$AU$521,3,))*$E501)</f>
        <v>0</v>
      </c>
      <c r="Q501" s="101">
        <f>IF(VLOOKUP($D501,$C$5:$AU$521,3,)=0,0,(VLOOKUP($D501,$C$5:$AU$521,15,)/VLOOKUP($D501,$C$5:$AU$521,3,))*$E501)</f>
        <v>0</v>
      </c>
      <c r="R501" s="101">
        <f>IF(VLOOKUP($D501,$C$5:$AU$521,3,)=0,0,(VLOOKUP($D501,$C$5:$AU$521,16,)/VLOOKUP($D501,$C$5:$AU$521,3,))*$E501)</f>
        <v>0</v>
      </c>
      <c r="S501" s="101">
        <f>IF(VLOOKUP($D501,$C$5:$AU$521,3,)=0,0,(VLOOKUP($D501,$C$5:$AU$521,17,)/VLOOKUP($D501,$C$5:$AU$521,3,))*$E501)</f>
        <v>0</v>
      </c>
      <c r="T501" s="101">
        <f>IF(VLOOKUP($D501,$C$5:$AU$521,3,)=0,0,(VLOOKUP($D501,$C$5:$AU$521,18,)/VLOOKUP($D501,$C$5:$AU$521,3,))*$E501)</f>
        <v>0</v>
      </c>
      <c r="U501" s="101">
        <f>IF(VLOOKUP($D501,$C$5:$AU$521,3,)=0,0,(VLOOKUP($D501,$C$5:$AU$521,19,)/VLOOKUP($D501,$C$5:$AU$521,3,))*$E501)</f>
        <v>0</v>
      </c>
      <c r="V501" s="101">
        <f>IF(VLOOKUP($D501,$C$5:$AU$521,3,)=0,0,(VLOOKUP($D501,$C$5:$AU$521,20,)/VLOOKUP($D501,$C$5:$AU$521,3,))*$E501)</f>
        <v>0</v>
      </c>
      <c r="W501" s="101">
        <f>IF(VLOOKUP($D501,$C$5:$AU$521,3,)=0,0,(VLOOKUP($D501,$C$5:$AU$521,21,)/VLOOKUP($D501,$C$5:$AU$521,3,))*$E501)</f>
        <v>0</v>
      </c>
      <c r="X501" s="101">
        <f>IF(VLOOKUP($D501,$C$5:$AU$521,3,)=0,0,(VLOOKUP($D501,$C$5:$AU$521,22,)/VLOOKUP($D501,$C$5:$AU$521,3,))*$E501)</f>
        <v>0</v>
      </c>
      <c r="Y501" s="101">
        <f>IF(VLOOKUP($D501,$C$5:$AU$521,3,)=0,0,(VLOOKUP($D501,$C$5:$AU$521,23,)/VLOOKUP($D501,$C$5:$AU$521,3,))*$E501)</f>
        <v>0</v>
      </c>
      <c r="Z501" s="101">
        <f>IF(VLOOKUP($D501,$C$5:$AU$521,3,)=0,0,(VLOOKUP($D501,$C$5:$AU$521,24,)/VLOOKUP($D501,$C$5:$AU$521,3,))*$E501)</f>
        <v>0</v>
      </c>
      <c r="AA501" s="101">
        <f>IF(VLOOKUP($D501,$C$5:$AU$521,3,)=0,0,(VLOOKUP($D501,$C$5:$AU$521,25,)/VLOOKUP($D501,$C$5:$AU$521,3,))*$E501)</f>
        <v>0</v>
      </c>
      <c r="AB501" s="101">
        <f>IF(VLOOKUP($D501,$C$5:$AU$521,3,)=0,0,(VLOOKUP($D501,$C$5:$AU$521,26,)/VLOOKUP($D501,$C$5:$AU$521,3,))*$E501)</f>
        <v>0</v>
      </c>
      <c r="AC501" s="101">
        <f>IF(VLOOKUP($D501,$C$5:$AU$521,3,)=0,0,(VLOOKUP($D501,$C$5:$AU$521,27,)/VLOOKUP($D501,$C$5:$AU$521,3,))*$E501)</f>
        <v>0</v>
      </c>
      <c r="AD501" s="101">
        <f>IF(VLOOKUP($D501,$C$5:$AU$521,3,)=0,0,(VLOOKUP($D501,$C$5:$AU$521,28,)/VLOOKUP($D501,$C$5:$AU$521,3,))*$E501)</f>
        <v>0</v>
      </c>
      <c r="AE501" s="101">
        <f>IF(VLOOKUP($D501,$C$5:$AU$521,3,)=0,0,(VLOOKUP($D501,$C$5:$AU$521,29,)/VLOOKUP($D501,$C$5:$AU$521,3,))*$E501)</f>
        <v>0</v>
      </c>
      <c r="AF501" s="101">
        <f>IF(VLOOKUP($D501,$C$5:$AU$521,3,)=0,0,(VLOOKUP($D501,$C$5:$AU$521,30,)/VLOOKUP($D501,$C$5:$AU$521,3,))*$E501)</f>
        <v>0</v>
      </c>
      <c r="AG501" s="101">
        <f>SUM(F501:AF501)</f>
        <v>0.99999999999999989</v>
      </c>
      <c r="AH501" s="30" t="str">
        <f t="shared" si="206"/>
        <v>ok</v>
      </c>
    </row>
    <row r="502" spans="1:41" x14ac:dyDescent="0.2">
      <c r="E502" s="248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  <c r="AD502" s="101"/>
      <c r="AE502" s="101"/>
      <c r="AF502" s="101"/>
      <c r="AG502" s="101"/>
      <c r="AH502" s="30"/>
    </row>
    <row r="503" spans="1:41" x14ac:dyDescent="0.2">
      <c r="A503" s="13" t="s">
        <v>327</v>
      </c>
    </row>
    <row r="504" spans="1:41" x14ac:dyDescent="0.2">
      <c r="AJ504" s="90"/>
      <c r="AK504" s="176"/>
      <c r="AL504" s="90"/>
      <c r="AM504" s="90"/>
      <c r="AN504" s="90"/>
      <c r="AO504" s="90"/>
    </row>
    <row r="505" spans="1:41" x14ac:dyDescent="0.2">
      <c r="A505" s="14" t="s">
        <v>643</v>
      </c>
      <c r="C505" s="126"/>
      <c r="D505" s="26"/>
      <c r="E505" s="226">
        <f>E123+E199+E237+E275</f>
        <v>32193190.155008759</v>
      </c>
      <c r="F505" s="93">
        <f t="shared" ref="F505:P505" si="208">F123+F199+F237+F275</f>
        <v>24153986.030061916</v>
      </c>
      <c r="G505" s="93">
        <f t="shared" si="208"/>
        <v>0</v>
      </c>
      <c r="H505" s="93">
        <f t="shared" si="208"/>
        <v>3830437.7003673962</v>
      </c>
      <c r="I505" s="93">
        <f t="shared" si="208"/>
        <v>206344.4</v>
      </c>
      <c r="J505" s="93">
        <f t="shared" si="208"/>
        <v>1664142.8</v>
      </c>
      <c r="K505" s="93">
        <f t="shared" si="208"/>
        <v>1698718.4000000001</v>
      </c>
      <c r="L505" s="93">
        <f t="shared" si="208"/>
        <v>241476.70596906042</v>
      </c>
      <c r="M505" s="93">
        <f t="shared" si="208"/>
        <v>213572.5626509079</v>
      </c>
      <c r="N505" s="93">
        <f t="shared" si="208"/>
        <v>184511.55595947517</v>
      </c>
      <c r="O505" s="93">
        <f t="shared" si="208"/>
        <v>0</v>
      </c>
      <c r="P505" s="93">
        <f t="shared" si="208"/>
        <v>0</v>
      </c>
      <c r="Q505" s="93">
        <f t="shared" ref="Q505:R505" si="209">Q123+Q199+Q237+Q275</f>
        <v>0</v>
      </c>
      <c r="R505" s="93">
        <f t="shared" si="209"/>
        <v>0</v>
      </c>
      <c r="S505" s="93">
        <f t="shared" ref="S505:AF505" si="210">S123</f>
        <v>0</v>
      </c>
      <c r="T505" s="93">
        <f t="shared" si="210"/>
        <v>0</v>
      </c>
      <c r="U505" s="93">
        <f t="shared" si="210"/>
        <v>0</v>
      </c>
      <c r="V505" s="93">
        <f t="shared" si="210"/>
        <v>0</v>
      </c>
      <c r="W505" s="93">
        <f t="shared" si="210"/>
        <v>0</v>
      </c>
      <c r="X505" s="93">
        <f t="shared" si="210"/>
        <v>0</v>
      </c>
      <c r="Y505" s="93">
        <f t="shared" si="210"/>
        <v>0</v>
      </c>
      <c r="Z505" s="93">
        <f t="shared" si="210"/>
        <v>0</v>
      </c>
      <c r="AA505" s="93">
        <f t="shared" si="210"/>
        <v>0</v>
      </c>
      <c r="AB505" s="93">
        <f t="shared" si="210"/>
        <v>0</v>
      </c>
      <c r="AC505" s="93">
        <f t="shared" si="210"/>
        <v>0</v>
      </c>
      <c r="AD505" s="93">
        <f t="shared" si="210"/>
        <v>0</v>
      </c>
      <c r="AE505" s="93">
        <f t="shared" si="210"/>
        <v>0</v>
      </c>
      <c r="AF505" s="93">
        <f t="shared" si="210"/>
        <v>0</v>
      </c>
      <c r="AG505" s="93">
        <f>SUM(F505:AF505)</f>
        <v>32193190.155008752</v>
      </c>
      <c r="AH505" s="30" t="str">
        <f t="shared" ref="AH505:AH510" si="211">IF(ABS(E505-AG505)&lt;0.01,"ok","err")</f>
        <v>ok</v>
      </c>
      <c r="AJ505" s="79"/>
      <c r="AK505" s="79"/>
      <c r="AL505" s="79"/>
      <c r="AM505" s="79"/>
      <c r="AN505" s="79"/>
      <c r="AO505" s="79"/>
    </row>
    <row r="506" spans="1:41" x14ac:dyDescent="0.2">
      <c r="A506" s="14" t="s">
        <v>644</v>
      </c>
      <c r="C506" s="126"/>
      <c r="D506" s="26"/>
      <c r="E506" s="226">
        <f>E124+E200+E238+E276</f>
        <v>76848014.844991267</v>
      </c>
      <c r="F506" s="93">
        <f t="shared" ref="F506:P506" si="212">F124+F200+F238+F276</f>
        <v>49482030.632619657</v>
      </c>
      <c r="G506" s="93">
        <f t="shared" si="212"/>
        <v>4516373.701372182</v>
      </c>
      <c r="H506" s="93">
        <f t="shared" si="212"/>
        <v>11817349.533553144</v>
      </c>
      <c r="I506" s="93">
        <f t="shared" si="212"/>
        <v>518844.6</v>
      </c>
      <c r="J506" s="93">
        <f t="shared" si="212"/>
        <v>3945992.2</v>
      </c>
      <c r="K506" s="93">
        <f t="shared" si="212"/>
        <v>4267930.5999999987</v>
      </c>
      <c r="L506" s="93">
        <f t="shared" si="212"/>
        <v>770006.078645929</v>
      </c>
      <c r="M506" s="93">
        <f t="shared" si="212"/>
        <v>675395.88937378337</v>
      </c>
      <c r="N506" s="93">
        <f t="shared" si="212"/>
        <v>854091.60942657036</v>
      </c>
      <c r="O506" s="93">
        <f t="shared" si="212"/>
        <v>0</v>
      </c>
      <c r="P506" s="93">
        <f t="shared" si="212"/>
        <v>0</v>
      </c>
      <c r="Q506" s="93">
        <f>Q124+Q200+Q238+Q276</f>
        <v>0</v>
      </c>
      <c r="R506" s="93">
        <f>R124+R200+R238+R276</f>
        <v>0</v>
      </c>
      <c r="S506" s="93">
        <f t="shared" ref="S506:AF506" si="213">S124</f>
        <v>0</v>
      </c>
      <c r="T506" s="93">
        <f t="shared" si="213"/>
        <v>0</v>
      </c>
      <c r="U506" s="93">
        <f t="shared" si="213"/>
        <v>0</v>
      </c>
      <c r="V506" s="93">
        <f t="shared" si="213"/>
        <v>0</v>
      </c>
      <c r="W506" s="93">
        <f t="shared" si="213"/>
        <v>0</v>
      </c>
      <c r="X506" s="93">
        <f t="shared" si="213"/>
        <v>0</v>
      </c>
      <c r="Y506" s="93">
        <f t="shared" si="213"/>
        <v>0</v>
      </c>
      <c r="Z506" s="93">
        <f t="shared" si="213"/>
        <v>0</v>
      </c>
      <c r="AA506" s="93">
        <f t="shared" si="213"/>
        <v>0</v>
      </c>
      <c r="AB506" s="93">
        <f t="shared" si="213"/>
        <v>0</v>
      </c>
      <c r="AC506" s="93">
        <f t="shared" si="213"/>
        <v>0</v>
      </c>
      <c r="AD506" s="93">
        <f t="shared" si="213"/>
        <v>0</v>
      </c>
      <c r="AE506" s="93">
        <f t="shared" si="213"/>
        <v>0</v>
      </c>
      <c r="AF506" s="93">
        <f t="shared" si="213"/>
        <v>0</v>
      </c>
      <c r="AG506" s="93">
        <f t="shared" ref="AG506:AG509" si="214">SUM(F506:AF506)</f>
        <v>76848014.844991267</v>
      </c>
      <c r="AH506" s="30" t="str">
        <f t="shared" si="211"/>
        <v>ok</v>
      </c>
      <c r="AJ506" s="79"/>
      <c r="AK506" s="79"/>
      <c r="AL506" s="79"/>
      <c r="AM506" s="79"/>
      <c r="AN506" s="79"/>
      <c r="AO506" s="79"/>
    </row>
    <row r="507" spans="1:41" x14ac:dyDescent="0.2">
      <c r="A507" s="14" t="s">
        <v>892</v>
      </c>
      <c r="C507" s="126"/>
      <c r="E507" s="226">
        <f t="shared" ref="E507:R507" si="215">E128+E204+E242+E280</f>
        <v>0</v>
      </c>
      <c r="F507" s="93">
        <f t="shared" ref="F507:P507" si="216">F128+F204+F242+F280</f>
        <v>0</v>
      </c>
      <c r="G507" s="93">
        <f t="shared" si="216"/>
        <v>0</v>
      </c>
      <c r="H507" s="93">
        <f t="shared" si="216"/>
        <v>0</v>
      </c>
      <c r="I507" s="93">
        <f t="shared" si="216"/>
        <v>0</v>
      </c>
      <c r="J507" s="93">
        <f t="shared" si="216"/>
        <v>0</v>
      </c>
      <c r="K507" s="93">
        <f t="shared" si="216"/>
        <v>0</v>
      </c>
      <c r="L507" s="93">
        <f t="shared" si="216"/>
        <v>0</v>
      </c>
      <c r="M507" s="93">
        <f t="shared" si="216"/>
        <v>0</v>
      </c>
      <c r="N507" s="93">
        <f t="shared" si="216"/>
        <v>0</v>
      </c>
      <c r="O507" s="93">
        <f t="shared" si="216"/>
        <v>0</v>
      </c>
      <c r="P507" s="93">
        <f t="shared" si="216"/>
        <v>0</v>
      </c>
      <c r="Q507" s="93">
        <f t="shared" si="215"/>
        <v>0</v>
      </c>
      <c r="R507" s="93">
        <f t="shared" si="215"/>
        <v>0</v>
      </c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  <c r="AF507" s="93"/>
      <c r="AG507" s="93">
        <f t="shared" si="214"/>
        <v>0</v>
      </c>
      <c r="AH507" s="30" t="str">
        <f t="shared" si="211"/>
        <v>ok</v>
      </c>
      <c r="AJ507" s="79"/>
      <c r="AK507" s="79"/>
      <c r="AL507" s="79"/>
      <c r="AM507" s="79"/>
      <c r="AN507" s="79"/>
      <c r="AO507" s="79"/>
    </row>
    <row r="508" spans="1:41" x14ac:dyDescent="0.2">
      <c r="A508" s="14" t="s">
        <v>645</v>
      </c>
      <c r="C508" s="126"/>
      <c r="D508" s="26">
        <f>E508/(E508+E509)</f>
        <v>0.50340903075027998</v>
      </c>
      <c r="E508" s="226">
        <f t="shared" ref="E508:AF508" si="217">E131+E134+E139+E207+E210+E215+E245+E248+E253+E283+E286+E291</f>
        <v>21516688.880487662</v>
      </c>
      <c r="F508" s="93">
        <f t="shared" ref="F508:P508" si="218">F131+F134+F139+F207+F210+F215+F245+F248+F253+F283+F286+F291</f>
        <v>17023102.350284223</v>
      </c>
      <c r="G508" s="93">
        <f t="shared" si="218"/>
        <v>1199097.3543484502</v>
      </c>
      <c r="H508" s="93">
        <f t="shared" si="218"/>
        <v>1777427.7528271463</v>
      </c>
      <c r="I508" s="93">
        <f t="shared" si="218"/>
        <v>61093.670127021469</v>
      </c>
      <c r="J508" s="93">
        <f t="shared" si="218"/>
        <v>487038.47577095497</v>
      </c>
      <c r="K508" s="93">
        <f t="shared" si="218"/>
        <v>529436.24245083879</v>
      </c>
      <c r="L508" s="93">
        <f t="shared" si="218"/>
        <v>195694.8225912333</v>
      </c>
      <c r="M508" s="93">
        <f t="shared" si="218"/>
        <v>138060.05789492809</v>
      </c>
      <c r="N508" s="93">
        <f t="shared" si="218"/>
        <v>105738.15419286254</v>
      </c>
      <c r="O508" s="93">
        <f t="shared" si="218"/>
        <v>0</v>
      </c>
      <c r="P508" s="93">
        <f t="shared" si="218"/>
        <v>0</v>
      </c>
      <c r="Q508" s="93">
        <f t="shared" si="217"/>
        <v>0</v>
      </c>
      <c r="R508" s="93">
        <f t="shared" si="217"/>
        <v>0</v>
      </c>
      <c r="S508" s="93">
        <f t="shared" si="217"/>
        <v>0</v>
      </c>
      <c r="T508" s="93">
        <f t="shared" si="217"/>
        <v>0</v>
      </c>
      <c r="U508" s="93">
        <f t="shared" si="217"/>
        <v>0</v>
      </c>
      <c r="V508" s="93">
        <f t="shared" si="217"/>
        <v>0</v>
      </c>
      <c r="W508" s="93">
        <f t="shared" si="217"/>
        <v>0</v>
      </c>
      <c r="X508" s="93">
        <f t="shared" si="217"/>
        <v>0</v>
      </c>
      <c r="Y508" s="93">
        <f t="shared" si="217"/>
        <v>0</v>
      </c>
      <c r="Z508" s="93">
        <f t="shared" si="217"/>
        <v>0</v>
      </c>
      <c r="AA508" s="93">
        <f t="shared" si="217"/>
        <v>0</v>
      </c>
      <c r="AB508" s="93">
        <f t="shared" si="217"/>
        <v>0</v>
      </c>
      <c r="AC508" s="93">
        <f t="shared" si="217"/>
        <v>0</v>
      </c>
      <c r="AD508" s="93">
        <f t="shared" si="217"/>
        <v>0</v>
      </c>
      <c r="AE508" s="93">
        <f t="shared" si="217"/>
        <v>0</v>
      </c>
      <c r="AF508" s="93">
        <f t="shared" si="217"/>
        <v>0</v>
      </c>
      <c r="AG508" s="93">
        <f t="shared" si="214"/>
        <v>21516688.880487654</v>
      </c>
      <c r="AH508" s="30" t="str">
        <f t="shared" si="211"/>
        <v>ok</v>
      </c>
      <c r="AJ508" s="79"/>
      <c r="AK508" s="79"/>
      <c r="AL508" s="79"/>
      <c r="AM508" s="79"/>
      <c r="AN508" s="79"/>
      <c r="AO508" s="79"/>
    </row>
    <row r="509" spans="1:41" x14ac:dyDescent="0.2">
      <c r="A509" s="14" t="s">
        <v>646</v>
      </c>
      <c r="C509" s="126"/>
      <c r="D509" s="26">
        <f>1-D508</f>
        <v>0.49659096924972002</v>
      </c>
      <c r="E509" s="233">
        <f t="shared" ref="E509:AD509" si="219">E135+E140+E144+E147+E150+E153+E211+E216+E220+E223+E226+E229+E249+E254+E258+E261+E264+E267+E287+E292+E296+E299+E302+E305</f>
        <v>21225271.565512337</v>
      </c>
      <c r="F509" s="66">
        <f t="shared" ref="F509:P509" si="220">F135+F140+F144+F147+F150+F153+F211+F216+F220+F223+F226+F229+F249+F254+F258+F261+F264+F267+F287+F292+F296+F299+F302+F305</f>
        <v>18090426.930844516</v>
      </c>
      <c r="G509" s="66">
        <f t="shared" si="220"/>
        <v>1907183.4557353663</v>
      </c>
      <c r="H509" s="66">
        <f t="shared" si="220"/>
        <v>275701.55581065139</v>
      </c>
      <c r="I509" s="66">
        <f t="shared" si="220"/>
        <v>1844.1427982386649</v>
      </c>
      <c r="J509" s="66">
        <f t="shared" si="220"/>
        <v>3717.2907895947228</v>
      </c>
      <c r="K509" s="66">
        <f t="shared" si="220"/>
        <v>16342.008296335232</v>
      </c>
      <c r="L509" s="66">
        <f t="shared" si="220"/>
        <v>49213.488101409908</v>
      </c>
      <c r="M509" s="66">
        <f t="shared" si="220"/>
        <v>10026.614019838908</v>
      </c>
      <c r="N509" s="66">
        <f t="shared" si="220"/>
        <v>870816.0791163859</v>
      </c>
      <c r="O509" s="66">
        <f t="shared" si="220"/>
        <v>0</v>
      </c>
      <c r="P509" s="66">
        <f t="shared" si="220"/>
        <v>0</v>
      </c>
      <c r="Q509" s="66">
        <f t="shared" si="219"/>
        <v>0</v>
      </c>
      <c r="R509" s="66">
        <f t="shared" si="219"/>
        <v>0</v>
      </c>
      <c r="S509" s="66">
        <f t="shared" si="219"/>
        <v>0</v>
      </c>
      <c r="T509" s="66">
        <f t="shared" si="219"/>
        <v>0</v>
      </c>
      <c r="U509" s="66">
        <f t="shared" si="219"/>
        <v>0</v>
      </c>
      <c r="V509" s="66">
        <f t="shared" si="219"/>
        <v>0</v>
      </c>
      <c r="W509" s="66">
        <f t="shared" si="219"/>
        <v>0</v>
      </c>
      <c r="X509" s="66">
        <f t="shared" si="219"/>
        <v>0</v>
      </c>
      <c r="Y509" s="66">
        <f t="shared" si="219"/>
        <v>0</v>
      </c>
      <c r="Z509" s="66">
        <f t="shared" si="219"/>
        <v>0</v>
      </c>
      <c r="AA509" s="66">
        <f t="shared" si="219"/>
        <v>0</v>
      </c>
      <c r="AB509" s="66">
        <f t="shared" si="219"/>
        <v>0</v>
      </c>
      <c r="AC509" s="66">
        <f t="shared" si="219"/>
        <v>0</v>
      </c>
      <c r="AD509" s="66">
        <f t="shared" si="219"/>
        <v>0</v>
      </c>
      <c r="AE509" s="66"/>
      <c r="AF509" s="66">
        <f>AF135+AF140+AF144+AF147+AF150+AF153+AF211+AF216+AF220+AF223+AF226+AF229+AF249+AF254+AF258+AF261+AF264+AF267+AF287+AF292+AF296+AF299+AF302+AF305</f>
        <v>0</v>
      </c>
      <c r="AG509" s="93">
        <f t="shared" si="214"/>
        <v>21225271.565512337</v>
      </c>
      <c r="AH509" s="30" t="str">
        <f t="shared" si="211"/>
        <v>ok</v>
      </c>
      <c r="AJ509" s="79"/>
      <c r="AK509" s="79"/>
      <c r="AL509" s="79"/>
      <c r="AM509" s="79"/>
      <c r="AN509" s="79"/>
      <c r="AO509" s="79"/>
    </row>
    <row r="510" spans="1:41" x14ac:dyDescent="0.2">
      <c r="A510" s="14" t="s">
        <v>0</v>
      </c>
      <c r="E510" s="247">
        <f>SUM(E505:E509)</f>
        <v>151783165.44600004</v>
      </c>
      <c r="F510" s="104">
        <f t="shared" ref="F510:R510" si="221">SUM(F505:F509)</f>
        <v>108749545.94381031</v>
      </c>
      <c r="G510" s="104">
        <f t="shared" si="221"/>
        <v>7622654.5114559978</v>
      </c>
      <c r="H510" s="104">
        <f t="shared" si="221"/>
        <v>17700916.542558338</v>
      </c>
      <c r="I510" s="104">
        <f t="shared" si="221"/>
        <v>788126.81292526016</v>
      </c>
      <c r="J510" s="104">
        <f t="shared" si="221"/>
        <v>6100890.7665605498</v>
      </c>
      <c r="K510" s="104">
        <f t="shared" si="221"/>
        <v>6512427.2507471731</v>
      </c>
      <c r="L510" s="104">
        <f t="shared" si="221"/>
        <v>1256391.0953076326</v>
      </c>
      <c r="M510" s="104">
        <f t="shared" si="221"/>
        <v>1037055.1239394583</v>
      </c>
      <c r="N510" s="104">
        <f t="shared" si="221"/>
        <v>2015157.398695294</v>
      </c>
      <c r="O510" s="104">
        <f t="shared" si="221"/>
        <v>0</v>
      </c>
      <c r="P510" s="104">
        <f t="shared" si="221"/>
        <v>0</v>
      </c>
      <c r="Q510" s="104">
        <f t="shared" si="221"/>
        <v>0</v>
      </c>
      <c r="R510" s="104">
        <f t="shared" si="221"/>
        <v>0</v>
      </c>
      <c r="S510" s="104">
        <f t="shared" ref="S510:AG510" si="222">SUM(S505:S509)</f>
        <v>0</v>
      </c>
      <c r="T510" s="104">
        <f t="shared" si="222"/>
        <v>0</v>
      </c>
      <c r="U510" s="104">
        <f t="shared" si="222"/>
        <v>0</v>
      </c>
      <c r="V510" s="104">
        <f t="shared" si="222"/>
        <v>0</v>
      </c>
      <c r="W510" s="104">
        <f t="shared" si="222"/>
        <v>0</v>
      </c>
      <c r="X510" s="104">
        <f t="shared" si="222"/>
        <v>0</v>
      </c>
      <c r="Y510" s="104">
        <f t="shared" si="222"/>
        <v>0</v>
      </c>
      <c r="Z510" s="104">
        <f t="shared" si="222"/>
        <v>0</v>
      </c>
      <c r="AA510" s="104">
        <f t="shared" si="222"/>
        <v>0</v>
      </c>
      <c r="AB510" s="104">
        <f t="shared" si="222"/>
        <v>0</v>
      </c>
      <c r="AC510" s="104">
        <f t="shared" si="222"/>
        <v>0</v>
      </c>
      <c r="AD510" s="104">
        <f t="shared" si="222"/>
        <v>0</v>
      </c>
      <c r="AE510" s="104">
        <f t="shared" si="222"/>
        <v>0</v>
      </c>
      <c r="AF510" s="104">
        <f t="shared" si="222"/>
        <v>0</v>
      </c>
      <c r="AG510" s="104">
        <f t="shared" si="222"/>
        <v>151783165.44600001</v>
      </c>
      <c r="AH510" s="30" t="str">
        <f t="shared" si="211"/>
        <v>ok</v>
      </c>
      <c r="AJ510" s="79"/>
      <c r="AK510" s="79"/>
      <c r="AL510" s="79"/>
      <c r="AM510" s="79"/>
      <c r="AN510" s="79"/>
      <c r="AO510" s="79"/>
    </row>
    <row r="512" spans="1:41" x14ac:dyDescent="0.2">
      <c r="A512" s="13" t="s">
        <v>695</v>
      </c>
      <c r="E512" s="226"/>
    </row>
    <row r="513" spans="1:41" x14ac:dyDescent="0.2">
      <c r="AJ513" s="90"/>
      <c r="AK513" s="176"/>
      <c r="AL513" s="90"/>
      <c r="AM513" s="90"/>
      <c r="AN513" s="90"/>
      <c r="AO513" s="90"/>
    </row>
    <row r="514" spans="1:41" x14ac:dyDescent="0.2">
      <c r="A514" s="14" t="s">
        <v>643</v>
      </c>
      <c r="C514" s="126"/>
      <c r="D514" s="93"/>
      <c r="E514" s="226">
        <f>E505+(E360*'Purchased Power'!$O$37)</f>
        <v>22887884.355008759</v>
      </c>
      <c r="F514" s="93">
        <f>F505+(F360*'Purchased Power'!$O$37)</f>
        <v>17828233.209641282</v>
      </c>
      <c r="G514" s="93">
        <f>G505+(G360*'Purchased Power'!$O$37)</f>
        <v>-669501.88767680328</v>
      </c>
      <c r="H514" s="93">
        <f>H505+(H360*'Purchased Power'!$O$37)</f>
        <v>2582936.3390593911</v>
      </c>
      <c r="I514" s="93">
        <f>I505+(I360*'Purchased Power'!$O$37)</f>
        <v>153070.87252160441</v>
      </c>
      <c r="J514" s="93">
        <f>J505+(J360*'Purchased Power'!$O$37)</f>
        <v>1271279.9954099446</v>
      </c>
      <c r="K514" s="93">
        <f>K505+(K360*'Purchased Power'!$O$37)</f>
        <v>1279352.4047535714</v>
      </c>
      <c r="L514" s="93">
        <f>L505+(L360*'Purchased Power'!$O$37)</f>
        <v>134938.92983665335</v>
      </c>
      <c r="M514" s="93">
        <f>M505+(M360*'Purchased Power'!$O$37)</f>
        <v>144282.78484553812</v>
      </c>
      <c r="N514" s="93">
        <f>N505+(N360*'Purchased Power'!$O$37)</f>
        <v>163291.70661757706</v>
      </c>
      <c r="O514" s="93">
        <f t="shared" ref="O514" si="223">O505+O360</f>
        <v>0</v>
      </c>
      <c r="P514" s="93">
        <f t="shared" ref="P514:R514" si="224">P505+(P$363+P$364)</f>
        <v>0</v>
      </c>
      <c r="Q514" s="93">
        <f t="shared" si="224"/>
        <v>0</v>
      </c>
      <c r="R514" s="93">
        <f t="shared" si="224"/>
        <v>0</v>
      </c>
      <c r="S514" s="93">
        <f t="shared" ref="S514:AF514" si="225">S505</f>
        <v>0</v>
      </c>
      <c r="T514" s="93">
        <f t="shared" si="225"/>
        <v>0</v>
      </c>
      <c r="U514" s="93">
        <f t="shared" si="225"/>
        <v>0</v>
      </c>
      <c r="V514" s="93">
        <f t="shared" si="225"/>
        <v>0</v>
      </c>
      <c r="W514" s="93">
        <f t="shared" si="225"/>
        <v>0</v>
      </c>
      <c r="X514" s="93">
        <f t="shared" si="225"/>
        <v>0</v>
      </c>
      <c r="Y514" s="93">
        <f t="shared" si="225"/>
        <v>0</v>
      </c>
      <c r="Z514" s="93">
        <f t="shared" si="225"/>
        <v>0</v>
      </c>
      <c r="AA514" s="93">
        <f t="shared" si="225"/>
        <v>0</v>
      </c>
      <c r="AB514" s="93">
        <f t="shared" si="225"/>
        <v>0</v>
      </c>
      <c r="AC514" s="93">
        <f t="shared" si="225"/>
        <v>0</v>
      </c>
      <c r="AD514" s="93">
        <f t="shared" si="225"/>
        <v>0</v>
      </c>
      <c r="AE514" s="93">
        <f t="shared" si="225"/>
        <v>0</v>
      </c>
      <c r="AF514" s="93">
        <f t="shared" si="225"/>
        <v>0</v>
      </c>
      <c r="AG514" s="93">
        <f t="shared" ref="AG514:AG519" si="226">SUM(F514:AF514)</f>
        <v>22887884.355008759</v>
      </c>
      <c r="AH514" s="30" t="str">
        <f t="shared" ref="AH514:AH519" si="227">IF(ABS(E514-AG514)&lt;0.01,"ok","err")</f>
        <v>ok</v>
      </c>
      <c r="AJ514" s="79"/>
      <c r="AK514" s="79"/>
      <c r="AL514" s="79"/>
      <c r="AM514" s="79"/>
      <c r="AN514" s="79"/>
      <c r="AO514" s="79"/>
    </row>
    <row r="515" spans="1:41" x14ac:dyDescent="0.2">
      <c r="A515" s="14" t="s">
        <v>644</v>
      </c>
      <c r="C515" s="126"/>
      <c r="D515" s="93"/>
      <c r="E515" s="226">
        <f>E506+E359+('Purchased Power'!$O$37*E360)+E362</f>
        <v>57230519.704991266</v>
      </c>
      <c r="F515" s="93">
        <f>F506+F359+('Purchased Power'!$O$37*F360)+F362</f>
        <v>36073299.748183675</v>
      </c>
      <c r="G515" s="93">
        <f>G506+G359+('Purchased Power'!$O$37*G360)+G362</f>
        <v>3120812.9973982773</v>
      </c>
      <c r="H515" s="93">
        <f>H506+H359+('Purchased Power'!$O$37*H360)+H362</f>
        <v>9762721.7223776989</v>
      </c>
      <c r="I515" s="93">
        <f>I506+I359+('Purchased Power'!$O$37*I360)+I362</f>
        <v>464770.3944608224</v>
      </c>
      <c r="J515" s="93">
        <f>J506+J359+('Purchased Power'!$O$37*J360)+J362</f>
        <v>2832997.1891395999</v>
      </c>
      <c r="K515" s="93">
        <f>K506+K359+('Purchased Power'!$O$37*K360)+K362</f>
        <v>3086686.5079447143</v>
      </c>
      <c r="L515" s="93">
        <f>L506+L359+('Purchased Power'!$O$37*L360)+L362</f>
        <v>554067.1690575782</v>
      </c>
      <c r="M515" s="93">
        <f>M506+M359+('Purchased Power'!$O$37*M360)+M362</f>
        <v>510077.12822909106</v>
      </c>
      <c r="N515" s="93">
        <f>N506+N359+('Purchased Power'!$O$37*N360)+N362</f>
        <v>825086.84681968798</v>
      </c>
      <c r="O515" s="93">
        <f t="shared" ref="O515" si="228">O506+O359+O361</f>
        <v>0</v>
      </c>
      <c r="P515" s="93">
        <f t="shared" ref="P515:R515" si="229">P506+(P$370+P$371)</f>
        <v>0</v>
      </c>
      <c r="Q515" s="93">
        <f t="shared" si="229"/>
        <v>0</v>
      </c>
      <c r="R515" s="93">
        <f t="shared" si="229"/>
        <v>0</v>
      </c>
      <c r="S515" s="93">
        <f t="shared" ref="S515:AF515" si="230">S506</f>
        <v>0</v>
      </c>
      <c r="T515" s="93">
        <f t="shared" si="230"/>
        <v>0</v>
      </c>
      <c r="U515" s="93">
        <f t="shared" si="230"/>
        <v>0</v>
      </c>
      <c r="V515" s="93">
        <f t="shared" si="230"/>
        <v>0</v>
      </c>
      <c r="W515" s="93">
        <f t="shared" si="230"/>
        <v>0</v>
      </c>
      <c r="X515" s="93">
        <f t="shared" si="230"/>
        <v>0</v>
      </c>
      <c r="Y515" s="93">
        <f t="shared" si="230"/>
        <v>0</v>
      </c>
      <c r="Z515" s="93">
        <f t="shared" si="230"/>
        <v>0</v>
      </c>
      <c r="AA515" s="93">
        <f t="shared" si="230"/>
        <v>0</v>
      </c>
      <c r="AB515" s="93">
        <f t="shared" si="230"/>
        <v>0</v>
      </c>
      <c r="AC515" s="93">
        <f t="shared" si="230"/>
        <v>0</v>
      </c>
      <c r="AD515" s="93">
        <f t="shared" si="230"/>
        <v>0</v>
      </c>
      <c r="AE515" s="93">
        <f t="shared" si="230"/>
        <v>0</v>
      </c>
      <c r="AF515" s="93">
        <f t="shared" si="230"/>
        <v>0</v>
      </c>
      <c r="AG515" s="93">
        <f t="shared" si="226"/>
        <v>57230519.70361115</v>
      </c>
      <c r="AH515" s="30" t="str">
        <f t="shared" si="227"/>
        <v>ok</v>
      </c>
      <c r="AJ515" s="79"/>
      <c r="AK515" s="79"/>
      <c r="AL515" s="79"/>
      <c r="AM515" s="79"/>
      <c r="AN515" s="79"/>
      <c r="AO515" s="79"/>
    </row>
    <row r="516" spans="1:41" x14ac:dyDescent="0.2">
      <c r="A516" s="14" t="s">
        <v>892</v>
      </c>
      <c r="C516" s="126"/>
      <c r="D516" s="93"/>
      <c r="E516" s="226">
        <f t="shared" ref="E516" si="231">E507</f>
        <v>0</v>
      </c>
      <c r="F516" s="93">
        <f t="shared" ref="F516:N516" si="232">F507</f>
        <v>0</v>
      </c>
      <c r="G516" s="93">
        <f t="shared" si="232"/>
        <v>0</v>
      </c>
      <c r="H516" s="93">
        <f t="shared" si="232"/>
        <v>0</v>
      </c>
      <c r="I516" s="93">
        <f t="shared" si="232"/>
        <v>0</v>
      </c>
      <c r="J516" s="93">
        <f t="shared" si="232"/>
        <v>0</v>
      </c>
      <c r="K516" s="93">
        <f t="shared" si="232"/>
        <v>0</v>
      </c>
      <c r="L516" s="93">
        <f t="shared" si="232"/>
        <v>0</v>
      </c>
      <c r="M516" s="93">
        <f t="shared" si="232"/>
        <v>0</v>
      </c>
      <c r="N516" s="93">
        <f t="shared" si="232"/>
        <v>0</v>
      </c>
      <c r="O516" s="93">
        <f t="shared" ref="O516" si="233">O507</f>
        <v>0</v>
      </c>
      <c r="P516" s="93">
        <f t="shared" ref="P516:R516" si="234">P507+(P$362)</f>
        <v>0</v>
      </c>
      <c r="Q516" s="93">
        <f t="shared" si="234"/>
        <v>0</v>
      </c>
      <c r="R516" s="93">
        <f t="shared" si="234"/>
        <v>0</v>
      </c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  <c r="AF516" s="93"/>
      <c r="AG516" s="93">
        <f t="shared" si="226"/>
        <v>0</v>
      </c>
      <c r="AH516" s="30" t="str">
        <f t="shared" si="227"/>
        <v>ok</v>
      </c>
      <c r="AJ516" s="79"/>
      <c r="AK516" s="79"/>
      <c r="AL516" s="79"/>
      <c r="AM516" s="79"/>
      <c r="AN516" s="79"/>
      <c r="AO516" s="79"/>
    </row>
    <row r="517" spans="1:41" x14ac:dyDescent="0.2">
      <c r="A517" s="14" t="s">
        <v>645</v>
      </c>
      <c r="C517" s="126"/>
      <c r="D517" s="93"/>
      <c r="E517" s="226">
        <f>E508+(E363+E364+E365+E366+E367+E368+E369+E370+E371+E372+E373+E374+E375+E376)*($E$508/($E$508+$E$509))</f>
        <v>22345344.640300393</v>
      </c>
      <c r="F517" s="93">
        <f t="shared" ref="F517:N517" si="235">F508+(F363+F364+F365+F366+F367+F368+F369+F370+F371+F372+F373+F374+F375+F376)*($E$508/($E$508+$E$509))</f>
        <v>17678774.680206258</v>
      </c>
      <c r="G517" s="93">
        <f t="shared" si="235"/>
        <v>1254236.5955691312</v>
      </c>
      <c r="H517" s="93">
        <f t="shared" si="235"/>
        <v>1802901.4473051003</v>
      </c>
      <c r="I517" s="93">
        <f t="shared" si="235"/>
        <v>61672.02454226886</v>
      </c>
      <c r="J517" s="93">
        <f t="shared" si="235"/>
        <v>491639.16610790993</v>
      </c>
      <c r="K517" s="93">
        <f t="shared" si="235"/>
        <v>534689.75677570002</v>
      </c>
      <c r="L517" s="93">
        <f t="shared" si="235"/>
        <v>199563.36157420592</v>
      </c>
      <c r="M517" s="93">
        <f t="shared" si="235"/>
        <v>140136.29001633191</v>
      </c>
      <c r="N517" s="93">
        <f t="shared" si="235"/>
        <v>181731.31820348039</v>
      </c>
      <c r="O517" s="93">
        <f t="shared" ref="O517" si="236">O508+O373+O377+O378+O379+O380+O381+O382+O383</f>
        <v>0</v>
      </c>
      <c r="P517" s="93">
        <f>P508+(($E359+$E360+$E365+$E366+$E372+$E373+$E374+$E383)*(P508/($E508+$E509)))</f>
        <v>0</v>
      </c>
      <c r="Q517" s="93">
        <f>Q508+(($E359+$E360+$E365+$E366+$E372+$E373+$E374+$E383)*(Q508/($E508+$E509)))</f>
        <v>0</v>
      </c>
      <c r="R517" s="93">
        <f>R508+(($E359+$E360+$E365+$E366+$E372+$E373+$E374+$E383)*(R508/($E508+$E509)))</f>
        <v>0</v>
      </c>
      <c r="S517" s="93">
        <f t="shared" ref="S517:AF517" si="237">S508+(($E$372+$E$373+$E$374+$E$383)*(S508/($E$508+$E$509)))</f>
        <v>0</v>
      </c>
      <c r="T517" s="93">
        <f t="shared" si="237"/>
        <v>0</v>
      </c>
      <c r="U517" s="93">
        <f t="shared" si="237"/>
        <v>0</v>
      </c>
      <c r="V517" s="93">
        <f t="shared" si="237"/>
        <v>0</v>
      </c>
      <c r="W517" s="93">
        <f t="shared" si="237"/>
        <v>0</v>
      </c>
      <c r="X517" s="93">
        <f t="shared" si="237"/>
        <v>0</v>
      </c>
      <c r="Y517" s="93">
        <f t="shared" si="237"/>
        <v>0</v>
      </c>
      <c r="Z517" s="93">
        <f t="shared" si="237"/>
        <v>0</v>
      </c>
      <c r="AA517" s="93">
        <f t="shared" si="237"/>
        <v>0</v>
      </c>
      <c r="AB517" s="93">
        <f t="shared" si="237"/>
        <v>0</v>
      </c>
      <c r="AC517" s="93">
        <f t="shared" si="237"/>
        <v>0</v>
      </c>
      <c r="AD517" s="93">
        <f t="shared" si="237"/>
        <v>0</v>
      </c>
      <c r="AE517" s="93">
        <f t="shared" si="237"/>
        <v>0</v>
      </c>
      <c r="AF517" s="93">
        <f t="shared" si="237"/>
        <v>0</v>
      </c>
      <c r="AG517" s="93">
        <f t="shared" si="226"/>
        <v>22345344.640300386</v>
      </c>
      <c r="AH517" s="30" t="str">
        <f t="shared" si="227"/>
        <v>ok</v>
      </c>
      <c r="AJ517" s="79"/>
      <c r="AK517" s="79"/>
      <c r="AL517" s="79"/>
      <c r="AM517" s="79"/>
      <c r="AN517" s="79"/>
      <c r="AO517" s="79"/>
    </row>
    <row r="518" spans="1:41" x14ac:dyDescent="0.2">
      <c r="A518" s="14" t="s">
        <v>646</v>
      </c>
      <c r="C518" s="126"/>
      <c r="D518" s="93"/>
      <c r="E518" s="226">
        <f>E509+(E363+E364+E365+E366+E367+E368+E369+E370+E371+E372+E373+E374+E375+E376)*($E$509/($E$508+$E$509))</f>
        <v>22042704.193461947</v>
      </c>
      <c r="F518" s="93">
        <f t="shared" ref="F518:N518" si="238">F509+(F363+F364+F365+F366+F367+F368+F369+F370+F371+F372+F373+F374+F375+F376)*($E$509/($E$508+$E$509))</f>
        <v>18737218.978537682</v>
      </c>
      <c r="G518" s="93">
        <f t="shared" si="238"/>
        <v>1961575.9031665586</v>
      </c>
      <c r="H518" s="93">
        <f t="shared" si="238"/>
        <v>300830.24015770177</v>
      </c>
      <c r="I518" s="93">
        <f t="shared" si="238"/>
        <v>2414.6641081355237</v>
      </c>
      <c r="J518" s="93">
        <f t="shared" si="238"/>
        <v>8255.6703856882523</v>
      </c>
      <c r="K518" s="93">
        <f t="shared" si="238"/>
        <v>21524.370175425727</v>
      </c>
      <c r="L518" s="93">
        <f t="shared" si="238"/>
        <v>53029.632440877795</v>
      </c>
      <c r="M518" s="93">
        <f t="shared" si="238"/>
        <v>12074.726108767221</v>
      </c>
      <c r="N518" s="93">
        <f t="shared" si="238"/>
        <v>945780.00838110677</v>
      </c>
      <c r="O518" s="93">
        <f t="shared" ref="O518" si="239">O509</f>
        <v>0</v>
      </c>
      <c r="P518" s="93">
        <f>P509+(($E359+$E360+$E365+$E366+$E372+$E373+$E374+$E383)*(P509/($E508+$E509)))</f>
        <v>0</v>
      </c>
      <c r="Q518" s="93">
        <f>Q509+(($E359+$E360+$E365+$E366+$E372+$E373+$E374+$E383)*(Q509/($E508+$E509)))</f>
        <v>0</v>
      </c>
      <c r="R518" s="93">
        <f>R509+(($E359+$E360+$E365+$E366+$E372+$E373+$E374+$E383)*(R509/($E508+$E509)))</f>
        <v>0</v>
      </c>
      <c r="S518" s="93">
        <f t="shared" ref="S518:AF518" si="240">S509+(($E$372+$E$373+$E$374+$E$383)*(S509/($E$508+$E$509)))</f>
        <v>0</v>
      </c>
      <c r="T518" s="93">
        <f t="shared" si="240"/>
        <v>0</v>
      </c>
      <c r="U518" s="93">
        <f t="shared" si="240"/>
        <v>0</v>
      </c>
      <c r="V518" s="93">
        <f t="shared" si="240"/>
        <v>0</v>
      </c>
      <c r="W518" s="93">
        <f t="shared" si="240"/>
        <v>0</v>
      </c>
      <c r="X518" s="93">
        <f t="shared" si="240"/>
        <v>0</v>
      </c>
      <c r="Y518" s="93">
        <f t="shared" si="240"/>
        <v>0</v>
      </c>
      <c r="Z518" s="93">
        <f t="shared" si="240"/>
        <v>0</v>
      </c>
      <c r="AA518" s="93">
        <f t="shared" si="240"/>
        <v>0</v>
      </c>
      <c r="AB518" s="93">
        <f t="shared" si="240"/>
        <v>0</v>
      </c>
      <c r="AC518" s="93">
        <f t="shared" si="240"/>
        <v>0</v>
      </c>
      <c r="AD518" s="93">
        <f t="shared" si="240"/>
        <v>0</v>
      </c>
      <c r="AE518" s="93">
        <f t="shared" si="240"/>
        <v>0</v>
      </c>
      <c r="AF518" s="93">
        <f t="shared" si="240"/>
        <v>0</v>
      </c>
      <c r="AG518" s="93">
        <f t="shared" si="226"/>
        <v>22042704.19346194</v>
      </c>
      <c r="AH518" s="30" t="str">
        <f t="shared" si="227"/>
        <v>ok</v>
      </c>
      <c r="AJ518" s="79"/>
      <c r="AK518" s="79"/>
      <c r="AL518" s="79"/>
      <c r="AM518" s="79"/>
      <c r="AN518" s="79"/>
      <c r="AO518" s="79"/>
    </row>
    <row r="519" spans="1:41" x14ac:dyDescent="0.2">
      <c r="A519" s="14" t="s">
        <v>0</v>
      </c>
      <c r="E519" s="247">
        <f>SUM(E514:E518)</f>
        <v>124506452.89376238</v>
      </c>
      <c r="F519" s="104">
        <f t="shared" ref="F519:AF519" si="241">SUM(F514:F518)</f>
        <v>90317526.616568893</v>
      </c>
      <c r="G519" s="104">
        <f t="shared" si="241"/>
        <v>5667123.6084571639</v>
      </c>
      <c r="H519" s="104">
        <f t="shared" si="241"/>
        <v>14449389.74889989</v>
      </c>
      <c r="I519" s="104">
        <f t="shared" si="241"/>
        <v>681927.9556328312</v>
      </c>
      <c r="J519" s="104">
        <f t="shared" si="241"/>
        <v>4604172.0210431432</v>
      </c>
      <c r="K519" s="104">
        <f t="shared" si="241"/>
        <v>4922253.0396494111</v>
      </c>
      <c r="L519" s="104">
        <f t="shared" si="241"/>
        <v>941599.09290931525</v>
      </c>
      <c r="M519" s="104">
        <f t="shared" si="241"/>
        <v>806570.9291997283</v>
      </c>
      <c r="N519" s="104">
        <f t="shared" si="241"/>
        <v>2115889.8800218524</v>
      </c>
      <c r="O519" s="104">
        <f t="shared" si="241"/>
        <v>0</v>
      </c>
      <c r="P519" s="104">
        <f t="shared" si="241"/>
        <v>0</v>
      </c>
      <c r="Q519" s="104">
        <f t="shared" si="241"/>
        <v>0</v>
      </c>
      <c r="R519" s="104">
        <f t="shared" si="241"/>
        <v>0</v>
      </c>
      <c r="S519" s="93">
        <f t="shared" si="241"/>
        <v>0</v>
      </c>
      <c r="T519" s="93">
        <f t="shared" si="241"/>
        <v>0</v>
      </c>
      <c r="U519" s="93">
        <f t="shared" si="241"/>
        <v>0</v>
      </c>
      <c r="V519" s="93">
        <f t="shared" si="241"/>
        <v>0</v>
      </c>
      <c r="W519" s="93">
        <f t="shared" si="241"/>
        <v>0</v>
      </c>
      <c r="X519" s="93">
        <f t="shared" si="241"/>
        <v>0</v>
      </c>
      <c r="Y519" s="93">
        <f t="shared" si="241"/>
        <v>0</v>
      </c>
      <c r="Z519" s="93">
        <f t="shared" si="241"/>
        <v>0</v>
      </c>
      <c r="AA519" s="93">
        <f t="shared" si="241"/>
        <v>0</v>
      </c>
      <c r="AB519" s="93">
        <f t="shared" si="241"/>
        <v>0</v>
      </c>
      <c r="AC519" s="93">
        <f t="shared" si="241"/>
        <v>0</v>
      </c>
      <c r="AD519" s="93">
        <f t="shared" si="241"/>
        <v>0</v>
      </c>
      <c r="AE519" s="93">
        <f t="shared" si="241"/>
        <v>0</v>
      </c>
      <c r="AF519" s="93">
        <f t="shared" si="241"/>
        <v>0</v>
      </c>
      <c r="AG519" s="93">
        <f t="shared" si="226"/>
        <v>124506452.89238223</v>
      </c>
      <c r="AH519" s="30" t="str">
        <f t="shared" si="227"/>
        <v>ok</v>
      </c>
      <c r="AJ519" s="79"/>
      <c r="AK519" s="79"/>
      <c r="AL519" s="79"/>
      <c r="AM519" s="79"/>
      <c r="AN519" s="79"/>
      <c r="AO519" s="79"/>
    </row>
    <row r="520" spans="1:41" x14ac:dyDescent="0.2">
      <c r="D520" s="29" t="s">
        <v>1057</v>
      </c>
      <c r="E520" s="226">
        <f>-E384</f>
        <v>24121610.62223766</v>
      </c>
    </row>
    <row r="521" spans="1:41" x14ac:dyDescent="0.2">
      <c r="A521" s="13" t="s">
        <v>76</v>
      </c>
      <c r="D521" s="29" t="s">
        <v>1049</v>
      </c>
      <c r="E521" s="226">
        <v>0</v>
      </c>
      <c r="F521" s="93"/>
      <c r="G521" s="93"/>
      <c r="H521" s="93"/>
      <c r="I521" s="93"/>
      <c r="J521" s="93"/>
      <c r="K521" s="93"/>
    </row>
    <row r="523" spans="1:41" x14ac:dyDescent="0.2">
      <c r="A523" s="14" t="s">
        <v>894</v>
      </c>
      <c r="C523" s="126"/>
      <c r="E523" s="226">
        <f t="shared" ref="E523:R523" si="242">E85</f>
        <v>0</v>
      </c>
      <c r="F523" s="93">
        <f t="shared" si="242"/>
        <v>0</v>
      </c>
      <c r="G523" s="93">
        <f t="shared" si="242"/>
        <v>0</v>
      </c>
      <c r="H523" s="93">
        <f t="shared" si="242"/>
        <v>0</v>
      </c>
      <c r="I523" s="93">
        <f t="shared" si="242"/>
        <v>0</v>
      </c>
      <c r="J523" s="93">
        <f t="shared" si="242"/>
        <v>0</v>
      </c>
      <c r="K523" s="93">
        <f t="shared" si="242"/>
        <v>0</v>
      </c>
      <c r="L523" s="93">
        <f t="shared" si="242"/>
        <v>0</v>
      </c>
      <c r="M523" s="93">
        <f t="shared" si="242"/>
        <v>0</v>
      </c>
      <c r="N523" s="93">
        <f t="shared" si="242"/>
        <v>0</v>
      </c>
      <c r="O523" s="93">
        <f t="shared" si="242"/>
        <v>0</v>
      </c>
      <c r="P523" s="93">
        <f t="shared" si="242"/>
        <v>0</v>
      </c>
      <c r="Q523" s="93">
        <f t="shared" si="242"/>
        <v>0</v>
      </c>
      <c r="R523" s="93">
        <f t="shared" si="242"/>
        <v>0</v>
      </c>
      <c r="AG523" s="93">
        <f t="shared" ref="AG523:AG528" si="243">SUM(F523:AF523)</f>
        <v>0</v>
      </c>
      <c r="AH523" s="30" t="str">
        <f t="shared" ref="AH523:AH528" si="244">IF(ABS(E523-AG523)&lt;0.01,"ok","err")</f>
        <v>ok</v>
      </c>
    </row>
    <row r="524" spans="1:41" x14ac:dyDescent="0.2">
      <c r="A524" s="14" t="s">
        <v>895</v>
      </c>
      <c r="C524" s="126"/>
      <c r="E524" s="226">
        <f t="shared" ref="E524:R524" si="245">E86</f>
        <v>0</v>
      </c>
      <c r="F524" s="93">
        <f t="shared" si="245"/>
        <v>0</v>
      </c>
      <c r="G524" s="93">
        <f t="shared" si="245"/>
        <v>0</v>
      </c>
      <c r="H524" s="93">
        <f t="shared" si="245"/>
        <v>0</v>
      </c>
      <c r="I524" s="93">
        <f t="shared" si="245"/>
        <v>0</v>
      </c>
      <c r="J524" s="93">
        <f t="shared" si="245"/>
        <v>0</v>
      </c>
      <c r="K524" s="93">
        <f t="shared" si="245"/>
        <v>0</v>
      </c>
      <c r="L524" s="93">
        <f t="shared" si="245"/>
        <v>0</v>
      </c>
      <c r="M524" s="93">
        <f t="shared" si="245"/>
        <v>0</v>
      </c>
      <c r="N524" s="93">
        <f t="shared" si="245"/>
        <v>0</v>
      </c>
      <c r="O524" s="93">
        <f t="shared" si="245"/>
        <v>0</v>
      </c>
      <c r="P524" s="93">
        <f t="shared" si="245"/>
        <v>0</v>
      </c>
      <c r="Q524" s="93">
        <f t="shared" si="245"/>
        <v>0</v>
      </c>
      <c r="R524" s="93">
        <f t="shared" si="245"/>
        <v>0</v>
      </c>
      <c r="AG524" s="93">
        <f t="shared" si="243"/>
        <v>0</v>
      </c>
      <c r="AH524" s="30" t="str">
        <f t="shared" si="244"/>
        <v>ok</v>
      </c>
    </row>
    <row r="525" spans="1:41" x14ac:dyDescent="0.2">
      <c r="A525" s="14" t="s">
        <v>892</v>
      </c>
      <c r="C525" s="126"/>
      <c r="E525" s="226">
        <f t="shared" ref="E525:R525" si="246">E90</f>
        <v>0</v>
      </c>
      <c r="F525" s="93">
        <f t="shared" si="246"/>
        <v>0</v>
      </c>
      <c r="G525" s="93">
        <f t="shared" si="246"/>
        <v>0</v>
      </c>
      <c r="H525" s="93">
        <f t="shared" si="246"/>
        <v>0</v>
      </c>
      <c r="I525" s="93">
        <f t="shared" si="246"/>
        <v>0</v>
      </c>
      <c r="J525" s="93">
        <f t="shared" si="246"/>
        <v>0</v>
      </c>
      <c r="K525" s="93">
        <f t="shared" si="246"/>
        <v>0</v>
      </c>
      <c r="L525" s="93">
        <f t="shared" si="246"/>
        <v>0</v>
      </c>
      <c r="M525" s="93">
        <f t="shared" si="246"/>
        <v>0</v>
      </c>
      <c r="N525" s="93">
        <f t="shared" si="246"/>
        <v>0</v>
      </c>
      <c r="O525" s="93">
        <f t="shared" si="246"/>
        <v>0</v>
      </c>
      <c r="P525" s="93">
        <f t="shared" si="246"/>
        <v>0</v>
      </c>
      <c r="Q525" s="93">
        <f t="shared" si="246"/>
        <v>0</v>
      </c>
      <c r="R525" s="93">
        <f t="shared" si="246"/>
        <v>0</v>
      </c>
      <c r="AG525" s="93">
        <f t="shared" si="243"/>
        <v>0</v>
      </c>
      <c r="AH525" s="30" t="str">
        <f t="shared" si="244"/>
        <v>ok</v>
      </c>
    </row>
    <row r="526" spans="1:41" x14ac:dyDescent="0.2">
      <c r="A526" s="14" t="s">
        <v>645</v>
      </c>
      <c r="C526" s="126"/>
      <c r="E526" s="226">
        <f t="shared" ref="E526:AF526" si="247">E93+E96+E101</f>
        <v>109501203.80636391</v>
      </c>
      <c r="F526" s="93">
        <f t="shared" si="247"/>
        <v>86646015.969864398</v>
      </c>
      <c r="G526" s="93">
        <f t="shared" si="247"/>
        <v>6131166.3828241555</v>
      </c>
      <c r="H526" s="93">
        <f t="shared" si="247"/>
        <v>9025508.0239059608</v>
      </c>
      <c r="I526" s="93">
        <f t="shared" si="247"/>
        <v>310136.93743668223</v>
      </c>
      <c r="J526" s="93">
        <f t="shared" si="247"/>
        <v>2470193.642184142</v>
      </c>
      <c r="K526" s="93">
        <f t="shared" si="247"/>
        <v>2681465.5265039084</v>
      </c>
      <c r="L526" s="93">
        <f t="shared" si="247"/>
        <v>996661.45565177326</v>
      </c>
      <c r="M526" s="93">
        <f t="shared" si="247"/>
        <v>702423.29338594212</v>
      </c>
      <c r="N526" s="93">
        <f t="shared" si="247"/>
        <v>537632.5746069235</v>
      </c>
      <c r="O526" s="93">
        <f t="shared" si="247"/>
        <v>0</v>
      </c>
      <c r="P526" s="93">
        <f t="shared" si="247"/>
        <v>0</v>
      </c>
      <c r="Q526" s="93">
        <f t="shared" si="247"/>
        <v>0</v>
      </c>
      <c r="R526" s="93">
        <f t="shared" si="247"/>
        <v>0</v>
      </c>
      <c r="S526" s="93">
        <f t="shared" si="247"/>
        <v>0</v>
      </c>
      <c r="T526" s="93">
        <f t="shared" si="247"/>
        <v>0</v>
      </c>
      <c r="U526" s="93">
        <f t="shared" si="247"/>
        <v>0</v>
      </c>
      <c r="V526" s="93">
        <f t="shared" si="247"/>
        <v>0</v>
      </c>
      <c r="W526" s="93">
        <f t="shared" si="247"/>
        <v>0</v>
      </c>
      <c r="X526" s="93">
        <f t="shared" si="247"/>
        <v>0</v>
      </c>
      <c r="Y526" s="93">
        <f t="shared" si="247"/>
        <v>0</v>
      </c>
      <c r="Z526" s="93">
        <f t="shared" si="247"/>
        <v>0</v>
      </c>
      <c r="AA526" s="93">
        <f t="shared" si="247"/>
        <v>0</v>
      </c>
      <c r="AB526" s="93">
        <f t="shared" si="247"/>
        <v>0</v>
      </c>
      <c r="AC526" s="93">
        <f t="shared" si="247"/>
        <v>0</v>
      </c>
      <c r="AD526" s="93">
        <f t="shared" si="247"/>
        <v>0</v>
      </c>
      <c r="AE526" s="93">
        <f t="shared" si="247"/>
        <v>0</v>
      </c>
      <c r="AF526" s="93">
        <f t="shared" si="247"/>
        <v>0</v>
      </c>
      <c r="AG526" s="93">
        <f t="shared" si="243"/>
        <v>109501203.80636388</v>
      </c>
      <c r="AH526" s="30" t="str">
        <f t="shared" si="244"/>
        <v>ok</v>
      </c>
    </row>
    <row r="527" spans="1:41" x14ac:dyDescent="0.2">
      <c r="A527" s="14" t="s">
        <v>646</v>
      </c>
      <c r="C527" s="126"/>
      <c r="E527" s="233">
        <f t="shared" ref="E527:AD527" si="248">E97+E102+E106+E109+E112+E115</f>
        <v>113514983.80765532</v>
      </c>
      <c r="F527" s="66">
        <f t="shared" si="248"/>
        <v>90280903.19434768</v>
      </c>
      <c r="G527" s="66">
        <f t="shared" si="248"/>
        <v>9438602.6470639836</v>
      </c>
      <c r="H527" s="66">
        <f t="shared" si="248"/>
        <v>1419868.3118656965</v>
      </c>
      <c r="I527" s="66">
        <f t="shared" si="248"/>
        <v>9126.1527986295623</v>
      </c>
      <c r="J527" s="66">
        <f t="shared" si="248"/>
        <v>18646.183684149521</v>
      </c>
      <c r="K527" s="66">
        <f t="shared" si="248"/>
        <v>78668.82449820597</v>
      </c>
      <c r="L527" s="66">
        <f t="shared" si="248"/>
        <v>229956.63523150556</v>
      </c>
      <c r="M527" s="66">
        <f t="shared" si="248"/>
        <v>47572.611955148241</v>
      </c>
      <c r="N527" s="66">
        <f t="shared" si="248"/>
        <v>11991639.246210348</v>
      </c>
      <c r="O527" s="66">
        <f t="shared" si="248"/>
        <v>0</v>
      </c>
      <c r="P527" s="66">
        <f t="shared" si="248"/>
        <v>0</v>
      </c>
      <c r="Q527" s="66">
        <f t="shared" si="248"/>
        <v>0</v>
      </c>
      <c r="R527" s="66">
        <f t="shared" si="248"/>
        <v>0</v>
      </c>
      <c r="S527" s="66">
        <f t="shared" si="248"/>
        <v>0</v>
      </c>
      <c r="T527" s="66">
        <f t="shared" si="248"/>
        <v>0</v>
      </c>
      <c r="U527" s="66">
        <f t="shared" si="248"/>
        <v>0</v>
      </c>
      <c r="V527" s="66">
        <f t="shared" si="248"/>
        <v>0</v>
      </c>
      <c r="W527" s="66">
        <f t="shared" si="248"/>
        <v>0</v>
      </c>
      <c r="X527" s="66">
        <f t="shared" si="248"/>
        <v>0</v>
      </c>
      <c r="Y527" s="66">
        <f t="shared" si="248"/>
        <v>0</v>
      </c>
      <c r="Z527" s="66">
        <f t="shared" si="248"/>
        <v>0</v>
      </c>
      <c r="AA527" s="66">
        <f t="shared" si="248"/>
        <v>0</v>
      </c>
      <c r="AB527" s="66">
        <f t="shared" si="248"/>
        <v>0</v>
      </c>
      <c r="AC527" s="66">
        <f t="shared" si="248"/>
        <v>0</v>
      </c>
      <c r="AD527" s="66">
        <f t="shared" si="248"/>
        <v>0</v>
      </c>
      <c r="AE527" s="66"/>
      <c r="AF527" s="66">
        <f>AF97+AF102+AF106+AF109+AF112+AF115</f>
        <v>0</v>
      </c>
      <c r="AG527" s="93">
        <f t="shared" si="243"/>
        <v>113514983.80765536</v>
      </c>
      <c r="AH527" s="30" t="str">
        <f t="shared" si="244"/>
        <v>ok</v>
      </c>
    </row>
    <row r="528" spans="1:41" x14ac:dyDescent="0.2">
      <c r="A528" s="14" t="s">
        <v>0</v>
      </c>
      <c r="E528" s="247">
        <f>SUM(E523:E527)</f>
        <v>223016187.61401922</v>
      </c>
      <c r="F528" s="104">
        <f t="shared" ref="F528:R528" si="249">SUM(F523:F527)</f>
        <v>176926919.16421208</v>
      </c>
      <c r="G528" s="104">
        <f t="shared" si="249"/>
        <v>15569769.029888138</v>
      </c>
      <c r="H528" s="104">
        <f t="shared" si="249"/>
        <v>10445376.335771658</v>
      </c>
      <c r="I528" s="104">
        <f t="shared" si="249"/>
        <v>319263.09023531177</v>
      </c>
      <c r="J528" s="104">
        <f t="shared" si="249"/>
        <v>2488839.8258682913</v>
      </c>
      <c r="K528" s="104">
        <f t="shared" si="249"/>
        <v>2760134.3510021144</v>
      </c>
      <c r="L528" s="104">
        <f t="shared" si="249"/>
        <v>1226618.0908832788</v>
      </c>
      <c r="M528" s="104">
        <f t="shared" si="249"/>
        <v>749995.9053410904</v>
      </c>
      <c r="N528" s="104">
        <f t="shared" si="249"/>
        <v>12529271.820817271</v>
      </c>
      <c r="O528" s="104">
        <f t="shared" si="249"/>
        <v>0</v>
      </c>
      <c r="P528" s="104">
        <f t="shared" si="249"/>
        <v>0</v>
      </c>
      <c r="Q528" s="104">
        <f t="shared" si="249"/>
        <v>0</v>
      </c>
      <c r="R528" s="104">
        <f t="shared" si="249"/>
        <v>0</v>
      </c>
      <c r="S528" s="182"/>
      <c r="T528" s="182"/>
      <c r="U528" s="182"/>
      <c r="V528" s="182"/>
      <c r="W528" s="182"/>
      <c r="X528" s="182"/>
      <c r="Y528" s="182"/>
      <c r="Z528" s="182"/>
      <c r="AA528" s="182"/>
      <c r="AB528" s="182"/>
      <c r="AC528" s="182"/>
      <c r="AD528" s="182"/>
      <c r="AE528" s="182"/>
      <c r="AF528" s="182"/>
      <c r="AG528" s="104">
        <f t="shared" si="243"/>
        <v>223016187.61401922</v>
      </c>
      <c r="AH528" s="30" t="str">
        <f t="shared" si="244"/>
        <v>ok</v>
      </c>
    </row>
    <row r="531" spans="1:32" x14ac:dyDescent="0.2">
      <c r="A531" s="13" t="s">
        <v>760</v>
      </c>
      <c r="C531" s="202">
        <v>6.0002937715713967E-2</v>
      </c>
      <c r="R531" s="80"/>
    </row>
    <row r="532" spans="1:32" x14ac:dyDescent="0.2">
      <c r="A532" s="14" t="s">
        <v>894</v>
      </c>
      <c r="E532" s="226">
        <f>E514+(E523*$C$531)</f>
        <v>22887884.355008759</v>
      </c>
      <c r="F532" s="93">
        <f t="shared" ref="F532:R532" si="250">F514+(F523*$C$531)</f>
        <v>17828233.209641282</v>
      </c>
      <c r="G532" s="93">
        <f t="shared" si="250"/>
        <v>-669501.88767680328</v>
      </c>
      <c r="H532" s="93">
        <f t="shared" si="250"/>
        <v>2582936.3390593911</v>
      </c>
      <c r="I532" s="93">
        <f t="shared" si="250"/>
        <v>153070.87252160441</v>
      </c>
      <c r="J532" s="93">
        <f t="shared" si="250"/>
        <v>1271279.9954099446</v>
      </c>
      <c r="K532" s="93">
        <f t="shared" si="250"/>
        <v>1279352.4047535714</v>
      </c>
      <c r="L532" s="93">
        <f t="shared" si="250"/>
        <v>134938.92983665335</v>
      </c>
      <c r="M532" s="93">
        <f t="shared" si="250"/>
        <v>144282.78484553812</v>
      </c>
      <c r="N532" s="93">
        <f t="shared" si="250"/>
        <v>163291.70661757706</v>
      </c>
      <c r="O532" s="93">
        <f t="shared" si="250"/>
        <v>0</v>
      </c>
      <c r="P532" s="93">
        <f t="shared" si="250"/>
        <v>0</v>
      </c>
      <c r="Q532" s="93">
        <f t="shared" si="250"/>
        <v>0</v>
      </c>
      <c r="R532" s="93">
        <f t="shared" si="250"/>
        <v>0</v>
      </c>
      <c r="S532" s="14">
        <f>S514</f>
        <v>0</v>
      </c>
    </row>
    <row r="533" spans="1:32" x14ac:dyDescent="0.2">
      <c r="A533" s="14" t="s">
        <v>895</v>
      </c>
      <c r="E533" s="226">
        <f>E515+(E524*$C$531)</f>
        <v>57230519.704991266</v>
      </c>
      <c r="F533" s="93">
        <f t="shared" ref="F533:R533" si="251">F515+(F524*$C$531)</f>
        <v>36073299.748183675</v>
      </c>
      <c r="G533" s="93">
        <f t="shared" si="251"/>
        <v>3120812.9973982773</v>
      </c>
      <c r="H533" s="93">
        <f t="shared" si="251"/>
        <v>9762721.7223776989</v>
      </c>
      <c r="I533" s="93">
        <f t="shared" si="251"/>
        <v>464770.3944608224</v>
      </c>
      <c r="J533" s="93">
        <f t="shared" si="251"/>
        <v>2832997.1891395999</v>
      </c>
      <c r="K533" s="93">
        <f t="shared" si="251"/>
        <v>3086686.5079447143</v>
      </c>
      <c r="L533" s="93">
        <f t="shared" si="251"/>
        <v>554067.1690575782</v>
      </c>
      <c r="M533" s="93">
        <f t="shared" si="251"/>
        <v>510077.12822909106</v>
      </c>
      <c r="N533" s="93">
        <f t="shared" si="251"/>
        <v>825086.84681968798</v>
      </c>
      <c r="O533" s="93">
        <f t="shared" si="251"/>
        <v>0</v>
      </c>
      <c r="P533" s="93">
        <f t="shared" si="251"/>
        <v>0</v>
      </c>
      <c r="Q533" s="93">
        <f t="shared" si="251"/>
        <v>0</v>
      </c>
      <c r="R533" s="93">
        <f t="shared" si="251"/>
        <v>0</v>
      </c>
      <c r="S533" s="14">
        <f>S515</f>
        <v>0</v>
      </c>
    </row>
    <row r="534" spans="1:32" x14ac:dyDescent="0.2">
      <c r="A534" s="14" t="s">
        <v>892</v>
      </c>
      <c r="E534" s="226">
        <f>E516+(E525*$C$531)</f>
        <v>0</v>
      </c>
      <c r="F534" s="93">
        <f t="shared" ref="F534:R534" si="252">F516+(F525*$C$531)</f>
        <v>0</v>
      </c>
      <c r="G534" s="93">
        <f t="shared" si="252"/>
        <v>0</v>
      </c>
      <c r="H534" s="93">
        <f t="shared" si="252"/>
        <v>0</v>
      </c>
      <c r="I534" s="93">
        <f t="shared" si="252"/>
        <v>0</v>
      </c>
      <c r="J534" s="93">
        <f t="shared" si="252"/>
        <v>0</v>
      </c>
      <c r="K534" s="93">
        <f t="shared" si="252"/>
        <v>0</v>
      </c>
      <c r="L534" s="93">
        <f t="shared" si="252"/>
        <v>0</v>
      </c>
      <c r="M534" s="93">
        <f t="shared" si="252"/>
        <v>0</v>
      </c>
      <c r="N534" s="93">
        <f t="shared" si="252"/>
        <v>0</v>
      </c>
      <c r="O534" s="93">
        <f t="shared" si="252"/>
        <v>0</v>
      </c>
      <c r="P534" s="93">
        <f t="shared" si="252"/>
        <v>0</v>
      </c>
      <c r="Q534" s="93">
        <f t="shared" si="252"/>
        <v>0</v>
      </c>
      <c r="R534" s="93">
        <f t="shared" si="252"/>
        <v>0</v>
      </c>
    </row>
    <row r="535" spans="1:32" x14ac:dyDescent="0.2">
      <c r="A535" s="14" t="s">
        <v>645</v>
      </c>
      <c r="E535" s="226">
        <f>E517+(E526*$C$531)</f>
        <v>28915738.552089348</v>
      </c>
      <c r="F535" s="93">
        <f t="shared" ref="F535:R535" si="253">F517+(F526*$C$531)</f>
        <v>22877790.179760788</v>
      </c>
      <c r="G535" s="93">
        <f t="shared" si="253"/>
        <v>1622124.5901624083</v>
      </c>
      <c r="H535" s="93">
        <f t="shared" si="253"/>
        <v>2344458.4431162062</v>
      </c>
      <c r="I535" s="93">
        <f t="shared" si="253"/>
        <v>80281.151882624385</v>
      </c>
      <c r="J535" s="93">
        <f t="shared" si="253"/>
        <v>639858.04136563768</v>
      </c>
      <c r="K535" s="93">
        <f t="shared" si="253"/>
        <v>695585.56574934814</v>
      </c>
      <c r="L535" s="93">
        <f t="shared" si="253"/>
        <v>259365.97682133209</v>
      </c>
      <c r="M535" s="93">
        <f t="shared" si="253"/>
        <v>182283.75113943528</v>
      </c>
      <c r="N535" s="93">
        <f t="shared" si="253"/>
        <v>213990.85209155857</v>
      </c>
      <c r="O535" s="93">
        <f t="shared" si="253"/>
        <v>0</v>
      </c>
      <c r="P535" s="93">
        <f t="shared" si="253"/>
        <v>0</v>
      </c>
      <c r="Q535" s="93">
        <f t="shared" si="253"/>
        <v>0</v>
      </c>
      <c r="R535" s="93">
        <f t="shared" si="253"/>
        <v>0</v>
      </c>
      <c r="S535" s="14">
        <f>S517+(S527*$C$531)</f>
        <v>0</v>
      </c>
    </row>
    <row r="536" spans="1:32" x14ac:dyDescent="0.2">
      <c r="A536" s="14" t="s">
        <v>646</v>
      </c>
      <c r="E536" s="226">
        <f>E518+(E527*$C$531)</f>
        <v>28853936.696672969</v>
      </c>
      <c r="F536" s="93">
        <f t="shared" ref="F536:R536" si="254">F518+(F527*$C$531)</f>
        <v>24154338.389826529</v>
      </c>
      <c r="G536" s="93">
        <f t="shared" si="254"/>
        <v>2527919.7899217117</v>
      </c>
      <c r="H536" s="93">
        <f t="shared" si="254"/>
        <v>386026.51003909507</v>
      </c>
      <c r="I536" s="93">
        <f t="shared" si="254"/>
        <v>2962.2600860957818</v>
      </c>
      <c r="J536" s="93">
        <f t="shared" si="254"/>
        <v>9374.4961839240386</v>
      </c>
      <c r="K536" s="93">
        <f t="shared" si="254"/>
        <v>26244.730751960014</v>
      </c>
      <c r="L536" s="93">
        <f t="shared" si="254"/>
        <v>66827.706101988981</v>
      </c>
      <c r="M536" s="93">
        <f t="shared" si="254"/>
        <v>14929.222580885811</v>
      </c>
      <c r="N536" s="93">
        <f t="shared" si="254"/>
        <v>1665313.5911807774</v>
      </c>
      <c r="O536" s="93">
        <f t="shared" si="254"/>
        <v>0</v>
      </c>
      <c r="P536" s="93">
        <f t="shared" si="254"/>
        <v>0</v>
      </c>
      <c r="Q536" s="93">
        <f t="shared" si="254"/>
        <v>0</v>
      </c>
      <c r="R536" s="93">
        <f t="shared" si="254"/>
        <v>0</v>
      </c>
      <c r="S536" s="14">
        <f>S518+(S528*$C$531)</f>
        <v>0</v>
      </c>
    </row>
    <row r="537" spans="1:32" x14ac:dyDescent="0.2">
      <c r="A537" s="14" t="s">
        <v>0</v>
      </c>
      <c r="C537" s="50"/>
      <c r="E537" s="247">
        <f>SUM(E532:E536)</f>
        <v>137888079.30876234</v>
      </c>
      <c r="F537" s="104">
        <f t="shared" ref="F537:R537" si="255">SUM(F532:F536)</f>
        <v>100933661.52741227</v>
      </c>
      <c r="G537" s="104">
        <f t="shared" si="255"/>
        <v>6601355.4898055941</v>
      </c>
      <c r="H537" s="104">
        <f t="shared" si="255"/>
        <v>15076143.014592391</v>
      </c>
      <c r="I537" s="104">
        <f t="shared" si="255"/>
        <v>701084.67895114701</v>
      </c>
      <c r="J537" s="104">
        <f t="shared" si="255"/>
        <v>4753509.7220991068</v>
      </c>
      <c r="K537" s="104">
        <f t="shared" si="255"/>
        <v>5087869.2091995934</v>
      </c>
      <c r="L537" s="104">
        <f t="shared" si="255"/>
        <v>1015199.7818175526</v>
      </c>
      <c r="M537" s="104">
        <f t="shared" si="255"/>
        <v>851572.88679495023</v>
      </c>
      <c r="N537" s="104">
        <f t="shared" si="255"/>
        <v>2867682.996709601</v>
      </c>
      <c r="O537" s="104">
        <f t="shared" si="255"/>
        <v>0</v>
      </c>
      <c r="P537" s="104">
        <f t="shared" si="255"/>
        <v>0</v>
      </c>
      <c r="Q537" s="104">
        <f t="shared" si="255"/>
        <v>0</v>
      </c>
      <c r="R537" s="104">
        <f t="shared" si="255"/>
        <v>0</v>
      </c>
      <c r="S537" s="14">
        <f>SUM(S532:S536)</f>
        <v>0</v>
      </c>
    </row>
    <row r="538" spans="1:32" x14ac:dyDescent="0.2">
      <c r="D538" s="29" t="s">
        <v>1057</v>
      </c>
      <c r="E538" s="243">
        <v>137888079.30876234</v>
      </c>
    </row>
    <row r="539" spans="1:32" x14ac:dyDescent="0.2">
      <c r="D539" s="29" t="s">
        <v>1049</v>
      </c>
      <c r="E539" s="226">
        <f>E537-E538</f>
        <v>0</v>
      </c>
    </row>
    <row r="540" spans="1:32" x14ac:dyDescent="0.2">
      <c r="E540" s="226"/>
    </row>
    <row r="541" spans="1:32" x14ac:dyDescent="0.2">
      <c r="A541" s="13" t="s">
        <v>647</v>
      </c>
    </row>
    <row r="543" spans="1:32" x14ac:dyDescent="0.2">
      <c r="A543" s="14" t="s">
        <v>1013</v>
      </c>
      <c r="F543" s="101">
        <f t="shared" ref="F543:G546" si="256">F514/F$423</f>
        <v>2.3257408449763699E-2</v>
      </c>
      <c r="G543" s="101">
        <f t="shared" si="256"/>
        <v>-9.5689098587907768E-3</v>
      </c>
      <c r="H543" s="48">
        <f>H514/H$438</f>
        <v>4.2504340573710016</v>
      </c>
      <c r="I543" s="48">
        <f>I514/I$438</f>
        <v>7.3338472884661341</v>
      </c>
      <c r="J543" s="48">
        <f>J514/J$438</f>
        <v>7.6585295557532014</v>
      </c>
      <c r="K543" s="48">
        <f>K514/K$438</f>
        <v>7.1164068915768413</v>
      </c>
      <c r="L543" s="101">
        <f t="shared" ref="L543:M543" si="257">L514/L$423</f>
        <v>1.1312110411621348E-2</v>
      </c>
      <c r="M543" s="101">
        <f t="shared" si="257"/>
        <v>1.3789757550916189E-2</v>
      </c>
      <c r="N543" s="48"/>
      <c r="O543" s="48" t="e">
        <f>O514/O$438</f>
        <v>#DIV/0!</v>
      </c>
      <c r="P543" s="101" t="e">
        <f>P514/P$423</f>
        <v>#DIV/0!</v>
      </c>
      <c r="Q543" s="101" t="e">
        <f>Q514/Q$423</f>
        <v>#DIV/0!</v>
      </c>
      <c r="R543" s="48" t="e">
        <f>R514/R$438</f>
        <v>#DIV/0!</v>
      </c>
      <c r="S543" s="48" t="e">
        <f>S514/S$423</f>
        <v>#DIV/0!</v>
      </c>
      <c r="T543" s="48">
        <f>T505/1251.6</f>
        <v>0</v>
      </c>
      <c r="U543" s="48" t="e">
        <f>U505/U426</f>
        <v>#DIV/0!</v>
      </c>
      <c r="V543" s="48" t="e">
        <f>V505/V426</f>
        <v>#DIV/0!</v>
      </c>
      <c r="W543" s="48" t="e">
        <f>W505/W426</f>
        <v>#DIV/0!</v>
      </c>
      <c r="X543" s="101" t="e">
        <f>X505/X423</f>
        <v>#DIV/0!</v>
      </c>
      <c r="Y543" s="48" t="e">
        <f>Y505/Y426</f>
        <v>#DIV/0!</v>
      </c>
      <c r="Z543" s="183">
        <f>Z505/3624.9</f>
        <v>0</v>
      </c>
      <c r="AA543" s="92">
        <f>AA505/9725.8</f>
        <v>0</v>
      </c>
      <c r="AB543" s="92">
        <f>AB505/12443</f>
        <v>0</v>
      </c>
      <c r="AC543" s="92">
        <f>AC505/9726</f>
        <v>0</v>
      </c>
      <c r="AD543" s="92">
        <f>AD505/10680</f>
        <v>0</v>
      </c>
      <c r="AE543" s="92"/>
      <c r="AF543" s="92"/>
    </row>
    <row r="544" spans="1:32" x14ac:dyDescent="0.2">
      <c r="A544" s="14" t="s">
        <v>896</v>
      </c>
      <c r="F544" s="101">
        <f t="shared" si="256"/>
        <v>4.7058587158292309E-2</v>
      </c>
      <c r="G544" s="101">
        <f t="shared" si="256"/>
        <v>4.4604472082777444E-2</v>
      </c>
      <c r="H544" s="101">
        <f t="shared" ref="H544:I544" si="258">H515/H$423</f>
        <v>5.332751622254589E-2</v>
      </c>
      <c r="I544" s="101">
        <f t="shared" si="258"/>
        <v>4.7255945010913625E-2</v>
      </c>
      <c r="J544" s="101">
        <f t="shared" ref="J544:M544" si="259">J515/J$423</f>
        <v>3.7525596398148481E-2</v>
      </c>
      <c r="K544" s="101">
        <f t="shared" si="259"/>
        <v>3.7914400241850318E-2</v>
      </c>
      <c r="L544" s="101">
        <f t="shared" si="259"/>
        <v>4.6448189558202013E-2</v>
      </c>
      <c r="M544" s="101">
        <f t="shared" si="259"/>
        <v>4.8750375438600162E-2</v>
      </c>
      <c r="N544" s="101"/>
      <c r="O544" s="101" t="e">
        <f t="shared" ref="O544" si="260">O515/O$423</f>
        <v>#DIV/0!</v>
      </c>
      <c r="P544" s="101" t="e">
        <f t="shared" ref="P544:S544" si="261">P515/P$423</f>
        <v>#DIV/0!</v>
      </c>
      <c r="Q544" s="101" t="e">
        <f t="shared" si="261"/>
        <v>#DIV/0!</v>
      </c>
      <c r="R544" s="101" t="e">
        <f t="shared" si="261"/>
        <v>#DIV/0!</v>
      </c>
      <c r="S544" s="48" t="e">
        <f t="shared" si="261"/>
        <v>#DIV/0!</v>
      </c>
      <c r="T544" s="48" t="e">
        <f>T506/T$423</f>
        <v>#DIV/0!</v>
      </c>
      <c r="U544" s="48" t="e">
        <f>U506/U$426</f>
        <v>#DIV/0!</v>
      </c>
      <c r="V544" s="48" t="e">
        <f>V506/V$426</f>
        <v>#DIV/0!</v>
      </c>
      <c r="W544" s="48" t="e">
        <f>W506/W$426</f>
        <v>#DIV/0!</v>
      </c>
      <c r="X544" s="101" t="e">
        <f>X506/X$423</f>
        <v>#DIV/0!</v>
      </c>
      <c r="Y544" s="48" t="e">
        <f>Y506/Y$426</f>
        <v>#DIV/0!</v>
      </c>
      <c r="Z544" s="14" t="e">
        <f>Z506/Z$423</f>
        <v>#DIV/0!</v>
      </c>
      <c r="AA544" s="14" t="e">
        <f>AA506/AA$423</f>
        <v>#DIV/0!</v>
      </c>
      <c r="AB544" s="14" t="e">
        <f>AB506/AB$423</f>
        <v>#DIV/0!</v>
      </c>
      <c r="AC544" s="14" t="e">
        <f>AC506/AC$423</f>
        <v>#DIV/0!</v>
      </c>
      <c r="AD544" s="14" t="e">
        <f>AD506/AD$423</f>
        <v>#DIV/0!</v>
      </c>
    </row>
    <row r="545" spans="1:32" x14ac:dyDescent="0.2">
      <c r="A545" s="14" t="s">
        <v>1014</v>
      </c>
      <c r="F545" s="101">
        <f t="shared" si="256"/>
        <v>0</v>
      </c>
      <c r="G545" s="101">
        <f t="shared" si="256"/>
        <v>0</v>
      </c>
      <c r="H545" s="48">
        <f t="shared" ref="H545:I545" si="262">H516/H$438</f>
        <v>0</v>
      </c>
      <c r="I545" s="48">
        <f t="shared" si="262"/>
        <v>0</v>
      </c>
      <c r="J545" s="48">
        <f t="shared" ref="J545:K545" si="263">J516/J$438</f>
        <v>0</v>
      </c>
      <c r="K545" s="48">
        <f t="shared" si="263"/>
        <v>0</v>
      </c>
      <c r="L545" s="101">
        <f t="shared" ref="L545:M545" si="264">L516/L$423</f>
        <v>0</v>
      </c>
      <c r="M545" s="101">
        <f t="shared" si="264"/>
        <v>0</v>
      </c>
      <c r="N545" s="48"/>
      <c r="O545" s="48" t="e">
        <f t="shared" ref="O545" si="265">O516/O$438</f>
        <v>#DIV/0!</v>
      </c>
      <c r="P545" s="101" t="e">
        <f t="shared" ref="P545:Q545" si="266">P516/P$423</f>
        <v>#DIV/0!</v>
      </c>
      <c r="Q545" s="101" t="e">
        <f t="shared" si="266"/>
        <v>#DIV/0!</v>
      </c>
      <c r="R545" s="48" t="e">
        <f>R516/R$438</f>
        <v>#DIV/0!</v>
      </c>
      <c r="S545" s="48"/>
      <c r="T545" s="48"/>
      <c r="U545" s="48"/>
      <c r="V545" s="48"/>
      <c r="W545" s="48"/>
      <c r="X545" s="101"/>
      <c r="Y545" s="48"/>
    </row>
    <row r="546" spans="1:32" x14ac:dyDescent="0.2">
      <c r="A546" s="14" t="s">
        <v>1015</v>
      </c>
      <c r="F546" s="101">
        <f t="shared" si="256"/>
        <v>2.3062435789012795E-2</v>
      </c>
      <c r="G546" s="101">
        <f t="shared" si="256"/>
        <v>1.7926277947092742E-2</v>
      </c>
      <c r="H546" s="48">
        <f>H517/H$438</f>
        <v>2.9668225259085124</v>
      </c>
      <c r="I546" s="48">
        <f>I517/I$438</f>
        <v>2.9547960530485557</v>
      </c>
      <c r="J546" s="48">
        <f>J517/J$438</f>
        <v>2.9617653844927578</v>
      </c>
      <c r="K546" s="48">
        <f>K517/K$438</f>
        <v>2.9742155920729823</v>
      </c>
      <c r="L546" s="101">
        <f t="shared" ref="L546:M546" si="267">L517/L$423</f>
        <v>1.6729662692408078E-2</v>
      </c>
      <c r="M546" s="101">
        <f t="shared" si="267"/>
        <v>1.3393458308133384E-2</v>
      </c>
      <c r="N546" s="48"/>
      <c r="O546" s="48" t="e">
        <f>O517/O$438</f>
        <v>#DIV/0!</v>
      </c>
      <c r="P546" s="101" t="e">
        <f>P517/P$423</f>
        <v>#DIV/0!</v>
      </c>
      <c r="Q546" s="101" t="e">
        <f>Q517/Q$423</f>
        <v>#DIV/0!</v>
      </c>
      <c r="R546" s="48" t="e">
        <f>R517/R$438</f>
        <v>#DIV/0!</v>
      </c>
      <c r="S546" s="48" t="e">
        <f>S517/S$423</f>
        <v>#DIV/0!</v>
      </c>
      <c r="T546" s="48">
        <f>T508/1251.6</f>
        <v>0</v>
      </c>
      <c r="U546" s="48" t="e">
        <f>U508/U426</f>
        <v>#DIV/0!</v>
      </c>
      <c r="V546" s="48" t="e">
        <f>V508/V426</f>
        <v>#DIV/0!</v>
      </c>
      <c r="W546" s="48" t="e">
        <f>W508/W426</f>
        <v>#DIV/0!</v>
      </c>
      <c r="X546" s="101" t="e">
        <f>X508/X423</f>
        <v>#DIV/0!</v>
      </c>
      <c r="Y546" s="48" t="e">
        <f>Y508/Y426</f>
        <v>#DIV/0!</v>
      </c>
      <c r="Z546" s="183">
        <f>Z508/12877</f>
        <v>0</v>
      </c>
      <c r="AA546" s="92">
        <f>AA508/11922</f>
        <v>0</v>
      </c>
      <c r="AB546" s="92">
        <f>AB508/14745</f>
        <v>0</v>
      </c>
      <c r="AC546" s="92">
        <f>AC508/10526</f>
        <v>0</v>
      </c>
      <c r="AD546" s="92">
        <f>AD508/11459</f>
        <v>0</v>
      </c>
      <c r="AE546" s="92"/>
      <c r="AF546" s="92"/>
    </row>
    <row r="547" spans="1:32" s="48" customFormat="1" x14ac:dyDescent="0.2">
      <c r="A547" s="48" t="s">
        <v>897</v>
      </c>
      <c r="E547" s="235"/>
      <c r="F547" s="48">
        <f t="shared" ref="F547:S547" si="268">F518/F426</f>
        <v>23.974495460979597</v>
      </c>
      <c r="G547" s="48">
        <f t="shared" ref="G547:I547" si="269">G518/G426</f>
        <v>33.531212019941172</v>
      </c>
      <c r="H547" s="48">
        <f t="shared" ref="H547" si="270">H518/H426</f>
        <v>56.208938743965206</v>
      </c>
      <c r="I547" s="48">
        <f t="shared" si="269"/>
        <v>201.22200901129364</v>
      </c>
      <c r="J547" s="48">
        <f t="shared" ref="J547:M547" si="271">J518/J426</f>
        <v>343.98626607034385</v>
      </c>
      <c r="K547" s="48">
        <f t="shared" si="271"/>
        <v>199.2997238465345</v>
      </c>
      <c r="L547" s="48">
        <f t="shared" si="271"/>
        <v>31.120676315069129</v>
      </c>
      <c r="M547" s="48">
        <f t="shared" si="271"/>
        <v>59.189833866505985</v>
      </c>
      <c r="O547" s="48" t="e">
        <f t="shared" si="268"/>
        <v>#DIV/0!</v>
      </c>
      <c r="P547" s="48" t="e">
        <f t="shared" si="268"/>
        <v>#DIV/0!</v>
      </c>
      <c r="Q547" s="48" t="e">
        <f t="shared" si="268"/>
        <v>#DIV/0!</v>
      </c>
      <c r="R547" s="48" t="e">
        <f t="shared" si="268"/>
        <v>#DIV/0!</v>
      </c>
      <c r="S547" s="48" t="e">
        <f t="shared" si="268"/>
        <v>#DIV/0!</v>
      </c>
      <c r="T547" s="48" t="e">
        <f t="shared" ref="T547:AD547" si="272">T509/T426</f>
        <v>#DIV/0!</v>
      </c>
      <c r="U547" s="48" t="e">
        <f t="shared" si="272"/>
        <v>#DIV/0!</v>
      </c>
      <c r="V547" s="48" t="e">
        <f t="shared" si="272"/>
        <v>#DIV/0!</v>
      </c>
      <c r="W547" s="48" t="e">
        <f t="shared" si="272"/>
        <v>#DIV/0!</v>
      </c>
      <c r="X547" s="48" t="e">
        <f t="shared" si="272"/>
        <v>#DIV/0!</v>
      </c>
      <c r="Y547" s="48" t="e">
        <f t="shared" si="272"/>
        <v>#DIV/0!</v>
      </c>
      <c r="Z547" s="48" t="e">
        <f t="shared" si="272"/>
        <v>#DIV/0!</v>
      </c>
      <c r="AA547" s="48" t="e">
        <f t="shared" si="272"/>
        <v>#DIV/0!</v>
      </c>
      <c r="AB547" s="48" t="e">
        <f t="shared" si="272"/>
        <v>#DIV/0!</v>
      </c>
      <c r="AC547" s="48" t="e">
        <f t="shared" si="272"/>
        <v>#DIV/0!</v>
      </c>
      <c r="AD547" s="48" t="e">
        <f t="shared" si="272"/>
        <v>#DIV/0!</v>
      </c>
    </row>
    <row r="550" spans="1:32" x14ac:dyDescent="0.2">
      <c r="A550" s="13" t="s">
        <v>648</v>
      </c>
    </row>
    <row r="551" spans="1:32" x14ac:dyDescent="0.2">
      <c r="A551" s="13"/>
    </row>
    <row r="552" spans="1:32" x14ac:dyDescent="0.2">
      <c r="A552" s="14" t="s">
        <v>1013</v>
      </c>
      <c r="F552" s="101">
        <f t="shared" ref="F552:F555" si="273">F523/F$423</f>
        <v>0</v>
      </c>
      <c r="G552" s="101">
        <f t="shared" ref="G552" si="274">G523/G$423</f>
        <v>0</v>
      </c>
      <c r="H552" s="48">
        <f>H523/H$438</f>
        <v>0</v>
      </c>
      <c r="I552" s="48">
        <f>I523/I$438</f>
        <v>0</v>
      </c>
      <c r="J552" s="48">
        <f>J523/J$438</f>
        <v>0</v>
      </c>
      <c r="K552" s="48">
        <f>K523/K$438</f>
        <v>0</v>
      </c>
      <c r="L552" s="101">
        <f t="shared" ref="L552:M555" si="275">L523/L$423</f>
        <v>0</v>
      </c>
      <c r="M552" s="101">
        <f t="shared" si="275"/>
        <v>0</v>
      </c>
      <c r="N552" s="48"/>
      <c r="O552" s="48" t="e">
        <f>O523/O$438</f>
        <v>#DIV/0!</v>
      </c>
      <c r="P552" s="101" t="e">
        <f t="shared" ref="P552:Q552" si="276">P523/P$423</f>
        <v>#DIV/0!</v>
      </c>
      <c r="Q552" s="101" t="e">
        <f t="shared" si="276"/>
        <v>#DIV/0!</v>
      </c>
      <c r="R552" s="48" t="e">
        <f>R523/R$438</f>
        <v>#DIV/0!</v>
      </c>
    </row>
    <row r="553" spans="1:32" x14ac:dyDescent="0.2">
      <c r="A553" s="14" t="s">
        <v>896</v>
      </c>
      <c r="F553" s="101">
        <f t="shared" si="273"/>
        <v>0</v>
      </c>
      <c r="G553" s="101">
        <f t="shared" ref="G553" si="277">G524/G$423</f>
        <v>0</v>
      </c>
      <c r="H553" s="101">
        <f>H524/H$423</f>
        <v>0</v>
      </c>
      <c r="I553" s="101">
        <f>I524/I$423</f>
        <v>0</v>
      </c>
      <c r="J553" s="101">
        <f>J524/J$423</f>
        <v>0</v>
      </c>
      <c r="K553" s="101">
        <f>K524/K$423</f>
        <v>0</v>
      </c>
      <c r="L553" s="101">
        <f t="shared" si="275"/>
        <v>0</v>
      </c>
      <c r="M553" s="101">
        <f t="shared" si="275"/>
        <v>0</v>
      </c>
      <c r="N553" s="101"/>
      <c r="O553" s="101" t="e">
        <f>O524/O$423</f>
        <v>#DIV/0!</v>
      </c>
      <c r="P553" s="101" t="e">
        <f t="shared" ref="P553:Q553" si="278">P524/P$423</f>
        <v>#DIV/0!</v>
      </c>
      <c r="Q553" s="101" t="e">
        <f t="shared" si="278"/>
        <v>#DIV/0!</v>
      </c>
      <c r="R553" s="101" t="e">
        <f>R524/R$423</f>
        <v>#DIV/0!</v>
      </c>
    </row>
    <row r="554" spans="1:32" x14ac:dyDescent="0.2">
      <c r="A554" s="14" t="s">
        <v>1014</v>
      </c>
      <c r="F554" s="101">
        <f t="shared" si="273"/>
        <v>0</v>
      </c>
      <c r="G554" s="101">
        <f t="shared" ref="G554" si="279">G525/G$423</f>
        <v>0</v>
      </c>
      <c r="H554" s="48">
        <f t="shared" ref="H554:I555" si="280">H525/H$438</f>
        <v>0</v>
      </c>
      <c r="I554" s="48">
        <f t="shared" si="280"/>
        <v>0</v>
      </c>
      <c r="J554" s="48">
        <f t="shared" ref="J554:K554" si="281">J525/J$438</f>
        <v>0</v>
      </c>
      <c r="K554" s="48">
        <f t="shared" si="281"/>
        <v>0</v>
      </c>
      <c r="L554" s="101">
        <f t="shared" si="275"/>
        <v>0</v>
      </c>
      <c r="M554" s="101">
        <f t="shared" si="275"/>
        <v>0</v>
      </c>
      <c r="N554" s="48"/>
      <c r="O554" s="48" t="e">
        <f t="shared" ref="O554" si="282">O525/O$438</f>
        <v>#DIV/0!</v>
      </c>
      <c r="P554" s="101" t="e">
        <f t="shared" ref="P554:Q554" si="283">P525/P$423</f>
        <v>#DIV/0!</v>
      </c>
      <c r="Q554" s="101" t="e">
        <f t="shared" si="283"/>
        <v>#DIV/0!</v>
      </c>
      <c r="R554" s="48" t="e">
        <f>R525/R$438</f>
        <v>#DIV/0!</v>
      </c>
    </row>
    <row r="555" spans="1:32" x14ac:dyDescent="0.2">
      <c r="A555" s="14" t="s">
        <v>1015</v>
      </c>
      <c r="F555" s="101">
        <f t="shared" si="273"/>
        <v>0.11303205204125952</v>
      </c>
      <c r="G555" s="101">
        <f t="shared" ref="G555" si="284">G526/G$423</f>
        <v>8.7630191230789245E-2</v>
      </c>
      <c r="H555" s="48">
        <f t="shared" si="280"/>
        <v>14.852215329416625</v>
      </c>
      <c r="I555" s="48">
        <f t="shared" si="280"/>
        <v>14.859110033178785</v>
      </c>
      <c r="J555" s="48">
        <f t="shared" ref="J555:K555" si="285">J526/J$438</f>
        <v>14.881104937862624</v>
      </c>
      <c r="K555" s="48">
        <f t="shared" si="285"/>
        <v>14.915671148493121</v>
      </c>
      <c r="L555" s="101">
        <f t="shared" si="275"/>
        <v>8.3551458744989052E-2</v>
      </c>
      <c r="M555" s="101">
        <f t="shared" si="275"/>
        <v>6.7133767374103717E-2</v>
      </c>
      <c r="N555" s="48"/>
      <c r="O555" s="48" t="e">
        <f t="shared" ref="O555" si="286">O526/O$438</f>
        <v>#DIV/0!</v>
      </c>
      <c r="P555" s="101" t="e">
        <f t="shared" ref="P555:Q555" si="287">P526/P$423</f>
        <v>#DIV/0!</v>
      </c>
      <c r="Q555" s="101" t="e">
        <f t="shared" si="287"/>
        <v>#DIV/0!</v>
      </c>
      <c r="R555" s="48" t="e">
        <f>R526/R$438</f>
        <v>#DIV/0!</v>
      </c>
      <c r="S555" s="48">
        <f>S526/5037.7</f>
        <v>0</v>
      </c>
      <c r="T555" s="48">
        <f>T526/1251.6</f>
        <v>0</v>
      </c>
      <c r="U555" s="48" t="e">
        <f>U526/U426</f>
        <v>#DIV/0!</v>
      </c>
      <c r="V555" s="48" t="e">
        <f>V526/V426</f>
        <v>#DIV/0!</v>
      </c>
      <c r="W555" s="48" t="e">
        <f>W526/W426</f>
        <v>#DIV/0!</v>
      </c>
      <c r="X555" s="48" t="e">
        <f>X526/X426</f>
        <v>#DIV/0!</v>
      </c>
      <c r="Y555" s="48" t="e">
        <f>Y526/Y426</f>
        <v>#DIV/0!</v>
      </c>
      <c r="Z555" s="184">
        <f>Z526/12877</f>
        <v>0</v>
      </c>
      <c r="AA555" s="92">
        <f>AA526/11922</f>
        <v>0</v>
      </c>
      <c r="AB555" s="92">
        <f>AB526/14745</f>
        <v>0</v>
      </c>
      <c r="AC555" s="92">
        <f>AC526/10526</f>
        <v>0</v>
      </c>
      <c r="AD555" s="92">
        <f>AD526/11459</f>
        <v>0</v>
      </c>
      <c r="AE555" s="92"/>
      <c r="AF555" s="92"/>
    </row>
    <row r="556" spans="1:32" x14ac:dyDescent="0.2">
      <c r="A556" s="14" t="s">
        <v>897</v>
      </c>
      <c r="F556" s="48">
        <f t="shared" ref="F556" si="288">F527/F$426</f>
        <v>115.51549385878754</v>
      </c>
      <c r="G556" s="48">
        <f t="shared" ref="G556:I556" si="289">G527/G$426</f>
        <v>161.34363499254673</v>
      </c>
      <c r="H556" s="48">
        <f t="shared" ref="H556" si="290">H527/H$426</f>
        <v>265.29676978058603</v>
      </c>
      <c r="I556" s="48">
        <f t="shared" si="289"/>
        <v>760.51273321913015</v>
      </c>
      <c r="J556" s="48">
        <f t="shared" ref="J556:M556" si="291">J527/J$426</f>
        <v>776.92432017289673</v>
      </c>
      <c r="K556" s="48">
        <f t="shared" si="291"/>
        <v>728.41504165005529</v>
      </c>
      <c r="L556" s="48">
        <f t="shared" si="291"/>
        <v>134.95107701379433</v>
      </c>
      <c r="M556" s="48">
        <f t="shared" si="291"/>
        <v>233.19907821151099</v>
      </c>
      <c r="N556" s="48"/>
      <c r="O556" s="48" t="e">
        <f t="shared" ref="O556" si="292">O527/O$426</f>
        <v>#DIV/0!</v>
      </c>
      <c r="P556" s="48" t="e">
        <f t="shared" ref="P556:Q556" si="293">P527/P$426</f>
        <v>#DIV/0!</v>
      </c>
      <c r="Q556" s="48" t="e">
        <f t="shared" si="293"/>
        <v>#DIV/0!</v>
      </c>
      <c r="R556" s="48" t="e">
        <f>R527/R$426</f>
        <v>#DIV/0!</v>
      </c>
      <c r="S556" s="48" t="e">
        <f t="shared" ref="S556:AD556" si="294">S527/S$426</f>
        <v>#DIV/0!</v>
      </c>
      <c r="T556" s="48" t="e">
        <f t="shared" si="294"/>
        <v>#DIV/0!</v>
      </c>
      <c r="U556" s="48" t="e">
        <f t="shared" si="294"/>
        <v>#DIV/0!</v>
      </c>
      <c r="V556" s="48" t="e">
        <f t="shared" si="294"/>
        <v>#DIV/0!</v>
      </c>
      <c r="W556" s="48" t="e">
        <f t="shared" si="294"/>
        <v>#DIV/0!</v>
      </c>
      <c r="X556" s="48" t="e">
        <f t="shared" si="294"/>
        <v>#DIV/0!</v>
      </c>
      <c r="Y556" s="48" t="e">
        <f t="shared" si="294"/>
        <v>#DIV/0!</v>
      </c>
      <c r="Z556" s="185" t="e">
        <f t="shared" si="294"/>
        <v>#DIV/0!</v>
      </c>
      <c r="AA556" s="185" t="e">
        <f t="shared" si="294"/>
        <v>#DIV/0!</v>
      </c>
      <c r="AB556" s="185" t="e">
        <f t="shared" si="294"/>
        <v>#DIV/0!</v>
      </c>
      <c r="AC556" s="185" t="e">
        <f t="shared" si="294"/>
        <v>#DIV/0!</v>
      </c>
      <c r="AD556" s="185" t="e">
        <f t="shared" si="294"/>
        <v>#DIV/0!</v>
      </c>
      <c r="AE556" s="185"/>
      <c r="AF556" s="185"/>
    </row>
    <row r="559" spans="1:32" x14ac:dyDescent="0.2">
      <c r="A559" s="28" t="s">
        <v>665</v>
      </c>
      <c r="B559" s="186"/>
      <c r="C559" s="14" t="s">
        <v>903</v>
      </c>
      <c r="F559" s="47">
        <f t="shared" ref="F559:R559" si="295">F396</f>
        <v>-4.5664591157718586E-2</v>
      </c>
      <c r="G559" s="47">
        <f t="shared" si="295"/>
        <v>0.16872055591312207</v>
      </c>
      <c r="H559" s="47">
        <f t="shared" si="295"/>
        <v>0.24586817263526681</v>
      </c>
      <c r="I559" s="47">
        <f t="shared" ref="I559" si="296">I396</f>
        <v>0.45957991773899476</v>
      </c>
      <c r="J559" s="47">
        <f t="shared" ref="J559:M559" si="297">J396</f>
        <v>0.10522047353439534</v>
      </c>
      <c r="K559" s="47">
        <f t="shared" si="297"/>
        <v>9.9546441096529797E-2</v>
      </c>
      <c r="L559" s="47">
        <f t="shared" si="297"/>
        <v>0.32554284319169824</v>
      </c>
      <c r="M559" s="47">
        <f t="shared" si="297"/>
        <v>9.5284349467399665E-2</v>
      </c>
      <c r="N559" s="47"/>
      <c r="O559" s="47" t="e">
        <f t="shared" ref="O559" si="298">O396</f>
        <v>#DIV/0!</v>
      </c>
      <c r="P559" s="47"/>
      <c r="Q559" s="47" t="e">
        <f t="shared" si="295"/>
        <v>#DIV/0!</v>
      </c>
      <c r="R559" s="47" t="e">
        <f t="shared" si="295"/>
        <v>#DIV/0!</v>
      </c>
    </row>
    <row r="560" spans="1:32" x14ac:dyDescent="0.2">
      <c r="A560" s="13"/>
    </row>
    <row r="561" spans="1:37" x14ac:dyDescent="0.2">
      <c r="A561" s="13" t="s">
        <v>762</v>
      </c>
    </row>
    <row r="562" spans="1:37" x14ac:dyDescent="0.2">
      <c r="A562" s="14" t="s">
        <v>1016</v>
      </c>
      <c r="F562" s="105">
        <f t="shared" ref="F562" si="299">F543</f>
        <v>2.3257408449763699E-2</v>
      </c>
      <c r="G562" s="105">
        <f t="shared" ref="G562:H562" si="300">G543</f>
        <v>-9.5689098587907768E-3</v>
      </c>
      <c r="H562" s="105">
        <f t="shared" si="300"/>
        <v>4.2504340573710016</v>
      </c>
      <c r="I562" s="105">
        <f t="shared" ref="I562" si="301">I543</f>
        <v>7.3338472884661341</v>
      </c>
      <c r="J562" s="105">
        <f t="shared" ref="J562:M562" si="302">J543</f>
        <v>7.6585295557532014</v>
      </c>
      <c r="K562" s="105">
        <f t="shared" si="302"/>
        <v>7.1164068915768413</v>
      </c>
      <c r="L562" s="105">
        <f t="shared" si="302"/>
        <v>1.1312110411621348E-2</v>
      </c>
      <c r="M562" s="105">
        <f t="shared" si="302"/>
        <v>1.3789757550916189E-2</v>
      </c>
      <c r="N562" s="105"/>
      <c r="O562" s="105" t="e">
        <f t="shared" ref="O562" si="303">O543</f>
        <v>#DIV/0!</v>
      </c>
      <c r="P562" s="105"/>
      <c r="Q562" s="105" t="e">
        <f t="shared" ref="Q562:S562" si="304">Q543</f>
        <v>#DIV/0!</v>
      </c>
      <c r="R562" s="48" t="e">
        <f>R543</f>
        <v>#DIV/0!</v>
      </c>
      <c r="S562" s="105" t="e">
        <f t="shared" si="304"/>
        <v>#DIV/0!</v>
      </c>
      <c r="T562" s="105" t="e">
        <f>#REF!</f>
        <v>#REF!</v>
      </c>
      <c r="U562" s="105" t="e">
        <f>#REF!</f>
        <v>#REF!</v>
      </c>
      <c r="V562" s="105" t="e">
        <f>#REF!</f>
        <v>#REF!</v>
      </c>
      <c r="W562" s="105" t="e">
        <f>#REF!</f>
        <v>#REF!</v>
      </c>
      <c r="X562" s="105" t="e">
        <f>#REF!</f>
        <v>#REF!</v>
      </c>
      <c r="Y562" s="105" t="e">
        <f>#REF!</f>
        <v>#REF!</v>
      </c>
      <c r="Z562" s="105" t="e">
        <f>#REF!</f>
        <v>#REF!</v>
      </c>
      <c r="AA562" s="105" t="e">
        <f>#REF!</f>
        <v>#REF!</v>
      </c>
      <c r="AB562" s="105" t="e">
        <f>#REF!</f>
        <v>#REF!</v>
      </c>
      <c r="AC562" s="105" t="e">
        <f>#REF!</f>
        <v>#REF!</v>
      </c>
      <c r="AD562" s="105" t="e">
        <f>#REF!</f>
        <v>#REF!</v>
      </c>
      <c r="AE562" s="105" t="e">
        <f>#REF!</f>
        <v>#REF!</v>
      </c>
      <c r="AF562" s="105" t="e">
        <f>#REF!</f>
        <v>#REF!</v>
      </c>
    </row>
    <row r="563" spans="1:37" x14ac:dyDescent="0.2">
      <c r="A563" s="14" t="s">
        <v>1017</v>
      </c>
      <c r="F563" s="105">
        <f t="shared" ref="F563:G563" si="305">(F523*F396)/F$423</f>
        <v>0</v>
      </c>
      <c r="G563" s="105">
        <f t="shared" si="305"/>
        <v>0</v>
      </c>
      <c r="H563" s="105">
        <f t="shared" ref="H563:I563" si="306">(H523*H396)/H$423</f>
        <v>0</v>
      </c>
      <c r="I563" s="105">
        <f t="shared" si="306"/>
        <v>0</v>
      </c>
      <c r="J563" s="105">
        <f t="shared" ref="J563:M563" si="307">(J523*J396)/J$423</f>
        <v>0</v>
      </c>
      <c r="K563" s="105">
        <f t="shared" si="307"/>
        <v>0</v>
      </c>
      <c r="L563" s="105">
        <f t="shared" si="307"/>
        <v>0</v>
      </c>
      <c r="M563" s="105">
        <f t="shared" si="307"/>
        <v>0</v>
      </c>
      <c r="N563" s="105"/>
      <c r="O563" s="105" t="e">
        <f t="shared" ref="O563" si="308">(O523*O396)/O$423</f>
        <v>#DIV/0!</v>
      </c>
      <c r="P563" s="105"/>
      <c r="Q563" s="105" t="e">
        <f>(Q523*Q396)/Q$423</f>
        <v>#DIV/0!</v>
      </c>
      <c r="R563" s="48" t="e">
        <f>(R523*R396)/R$438</f>
        <v>#DIV/0!</v>
      </c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</row>
    <row r="564" spans="1:37" x14ac:dyDescent="0.2">
      <c r="A564" s="14" t="s">
        <v>898</v>
      </c>
      <c r="F564" s="105">
        <f t="shared" ref="F564:S564" si="309">F544</f>
        <v>4.7058587158292309E-2</v>
      </c>
      <c r="G564" s="105">
        <f t="shared" ref="G564:H564" si="310">G544</f>
        <v>4.4604472082777444E-2</v>
      </c>
      <c r="H564" s="105">
        <f t="shared" si="310"/>
        <v>5.332751622254589E-2</v>
      </c>
      <c r="I564" s="105">
        <f t="shared" ref="I564" si="311">I544</f>
        <v>4.7255945010913625E-2</v>
      </c>
      <c r="J564" s="105">
        <f t="shared" ref="J564:M564" si="312">J544</f>
        <v>3.7525596398148481E-2</v>
      </c>
      <c r="K564" s="105">
        <f t="shared" si="312"/>
        <v>3.7914400241850318E-2</v>
      </c>
      <c r="L564" s="105">
        <f t="shared" si="312"/>
        <v>4.6448189558202013E-2</v>
      </c>
      <c r="M564" s="105">
        <f t="shared" si="312"/>
        <v>4.8750375438600162E-2</v>
      </c>
      <c r="N564" s="105"/>
      <c r="O564" s="105" t="e">
        <f t="shared" ref="O564" si="313">O544</f>
        <v>#DIV/0!</v>
      </c>
      <c r="P564" s="105"/>
      <c r="Q564" s="105" t="e">
        <f t="shared" si="309"/>
        <v>#DIV/0!</v>
      </c>
      <c r="R564" s="105" t="e">
        <f t="shared" si="309"/>
        <v>#DIV/0!</v>
      </c>
      <c r="S564" s="105" t="e">
        <f t="shared" si="309"/>
        <v>#DIV/0!</v>
      </c>
      <c r="T564" s="105" t="e">
        <f>#REF!</f>
        <v>#REF!</v>
      </c>
      <c r="U564" s="105" t="e">
        <f>#REF!</f>
        <v>#REF!</v>
      </c>
      <c r="V564" s="105" t="e">
        <f>#REF!</f>
        <v>#REF!</v>
      </c>
      <c r="W564" s="105" t="e">
        <f>#REF!</f>
        <v>#REF!</v>
      </c>
      <c r="X564" s="105" t="e">
        <f>#REF!</f>
        <v>#REF!</v>
      </c>
      <c r="Y564" s="105" t="e">
        <f>#REF!</f>
        <v>#REF!</v>
      </c>
      <c r="Z564" s="105" t="e">
        <f>#REF!</f>
        <v>#REF!</v>
      </c>
      <c r="AA564" s="105" t="e">
        <f>#REF!</f>
        <v>#REF!</v>
      </c>
      <c r="AB564" s="105" t="e">
        <f>#REF!</f>
        <v>#REF!</v>
      </c>
      <c r="AC564" s="105" t="e">
        <f>#REF!</f>
        <v>#REF!</v>
      </c>
      <c r="AD564" s="105" t="e">
        <f>#REF!</f>
        <v>#REF!</v>
      </c>
      <c r="AE564" s="105" t="e">
        <f>#REF!</f>
        <v>#REF!</v>
      </c>
      <c r="AF564" s="105" t="e">
        <f>#REF!</f>
        <v>#REF!</v>
      </c>
    </row>
    <row r="565" spans="1:37" x14ac:dyDescent="0.2">
      <c r="A565" s="14" t="s">
        <v>899</v>
      </c>
      <c r="F565" s="105">
        <f t="shared" ref="F565:R565" si="314">(F524*F396)/F$423</f>
        <v>0</v>
      </c>
      <c r="G565" s="105">
        <f t="shared" ref="G565:H565" si="315">(G524*G396)/G$423</f>
        <v>0</v>
      </c>
      <c r="H565" s="105">
        <f t="shared" si="315"/>
        <v>0</v>
      </c>
      <c r="I565" s="105">
        <f t="shared" ref="I565" si="316">(I524*I396)/I$423</f>
        <v>0</v>
      </c>
      <c r="J565" s="105">
        <f t="shared" ref="J565:M565" si="317">(J524*J396)/J$423</f>
        <v>0</v>
      </c>
      <c r="K565" s="105">
        <f t="shared" si="317"/>
        <v>0</v>
      </c>
      <c r="L565" s="105">
        <f t="shared" si="317"/>
        <v>0</v>
      </c>
      <c r="M565" s="105">
        <f t="shared" si="317"/>
        <v>0</v>
      </c>
      <c r="N565" s="105"/>
      <c r="O565" s="105" t="e">
        <f t="shared" ref="O565" si="318">(O524*O396)/O$423</f>
        <v>#DIV/0!</v>
      </c>
      <c r="P565" s="105"/>
      <c r="Q565" s="105" t="e">
        <f t="shared" si="314"/>
        <v>#DIV/0!</v>
      </c>
      <c r="R565" s="105" t="e">
        <f t="shared" si="314"/>
        <v>#DIV/0!</v>
      </c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</row>
    <row r="566" spans="1:37" x14ac:dyDescent="0.2"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</row>
    <row r="567" spans="1:37" x14ac:dyDescent="0.2">
      <c r="A567" s="13" t="s">
        <v>892</v>
      </c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</row>
    <row r="568" spans="1:37" x14ac:dyDescent="0.2">
      <c r="A568" s="14" t="s">
        <v>1018</v>
      </c>
      <c r="F568" s="105">
        <f t="shared" ref="F568:R568" si="319">F545</f>
        <v>0</v>
      </c>
      <c r="G568" s="105">
        <f t="shared" ref="G568:H568" si="320">G545</f>
        <v>0</v>
      </c>
      <c r="H568" s="105">
        <f t="shared" si="320"/>
        <v>0</v>
      </c>
      <c r="I568" s="105">
        <f t="shared" ref="I568" si="321">I545</f>
        <v>0</v>
      </c>
      <c r="J568" s="105">
        <f t="shared" ref="J568:M568" si="322">J545</f>
        <v>0</v>
      </c>
      <c r="K568" s="105">
        <f t="shared" si="322"/>
        <v>0</v>
      </c>
      <c r="L568" s="105">
        <f t="shared" si="322"/>
        <v>0</v>
      </c>
      <c r="M568" s="105">
        <f t="shared" si="322"/>
        <v>0</v>
      </c>
      <c r="N568" s="105"/>
      <c r="O568" s="105" t="e">
        <f t="shared" ref="O568" si="323">O545</f>
        <v>#DIV/0!</v>
      </c>
      <c r="P568" s="105"/>
      <c r="Q568" s="105" t="e">
        <f t="shared" si="319"/>
        <v>#DIV/0!</v>
      </c>
      <c r="R568" s="48" t="e">
        <f t="shared" si="319"/>
        <v>#DIV/0!</v>
      </c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</row>
    <row r="569" spans="1:37" s="75" customFormat="1" ht="15" x14ac:dyDescent="0.25">
      <c r="A569" s="75" t="s">
        <v>1019</v>
      </c>
      <c r="E569" s="251"/>
      <c r="F569" s="109">
        <f t="shared" ref="F569:H569" si="324">(F525*F396)/F$423</f>
        <v>0</v>
      </c>
      <c r="G569" s="109">
        <f t="shared" si="324"/>
        <v>0</v>
      </c>
      <c r="H569" s="109">
        <f t="shared" si="324"/>
        <v>0</v>
      </c>
      <c r="I569" s="109">
        <f t="shared" ref="I569" si="325">(I525*I396)/I$423</f>
        <v>0</v>
      </c>
      <c r="J569" s="109">
        <f t="shared" ref="J569:M569" si="326">(J525*J396)/J$423</f>
        <v>0</v>
      </c>
      <c r="K569" s="109">
        <f t="shared" si="326"/>
        <v>0</v>
      </c>
      <c r="L569" s="109">
        <f t="shared" si="326"/>
        <v>0</v>
      </c>
      <c r="M569" s="109">
        <f t="shared" si="326"/>
        <v>0</v>
      </c>
      <c r="N569" s="109"/>
      <c r="O569" s="109" t="e">
        <f t="shared" ref="O569" si="327">(O525*O396)/O$423</f>
        <v>#DIV/0!</v>
      </c>
      <c r="P569" s="109"/>
      <c r="Q569" s="109" t="e">
        <f>(Q525*Q396)/Q$423</f>
        <v>#DIV/0!</v>
      </c>
      <c r="R569" s="164" t="e">
        <f>(R525*R396)/R$438</f>
        <v>#DIV/0!</v>
      </c>
      <c r="AK569" s="81"/>
    </row>
    <row r="570" spans="1:37" x14ac:dyDescent="0.2">
      <c r="B570" s="14" t="s">
        <v>1020</v>
      </c>
      <c r="F570" s="110">
        <f t="shared" ref="F570:H570" si="328">F569+F568</f>
        <v>0</v>
      </c>
      <c r="G570" s="110">
        <f t="shared" si="328"/>
        <v>0</v>
      </c>
      <c r="H570" s="110">
        <f t="shared" si="328"/>
        <v>0</v>
      </c>
      <c r="I570" s="110">
        <f t="shared" ref="I570" si="329">I569+I568</f>
        <v>0</v>
      </c>
      <c r="J570" s="110">
        <f t="shared" ref="J570:M570" si="330">J569+J568</f>
        <v>0</v>
      </c>
      <c r="K570" s="110">
        <f t="shared" si="330"/>
        <v>0</v>
      </c>
      <c r="L570" s="110">
        <f t="shared" si="330"/>
        <v>0</v>
      </c>
      <c r="M570" s="110">
        <f t="shared" si="330"/>
        <v>0</v>
      </c>
      <c r="N570" s="110"/>
      <c r="O570" s="110" t="e">
        <f t="shared" ref="O570" si="331">O569+O568</f>
        <v>#DIV/0!</v>
      </c>
      <c r="P570" s="110"/>
      <c r="Q570" s="110" t="e">
        <f t="shared" ref="Q570:R570" si="332">Q569+Q568</f>
        <v>#DIV/0!</v>
      </c>
      <c r="R570" s="48" t="e">
        <f t="shared" si="332"/>
        <v>#DIV/0!</v>
      </c>
    </row>
    <row r="571" spans="1:37" x14ac:dyDescent="0.2">
      <c r="P571" s="48"/>
    </row>
    <row r="572" spans="1:37" x14ac:dyDescent="0.2">
      <c r="A572" s="13" t="s">
        <v>666</v>
      </c>
      <c r="P572" s="48"/>
    </row>
    <row r="573" spans="1:37" x14ac:dyDescent="0.2">
      <c r="A573" s="14" t="s">
        <v>1021</v>
      </c>
      <c r="F573" s="105">
        <f t="shared" ref="F573:S573" si="333">F546</f>
        <v>2.3062435789012795E-2</v>
      </c>
      <c r="G573" s="105">
        <f t="shared" ref="G573:H573" si="334">G546</f>
        <v>1.7926277947092742E-2</v>
      </c>
      <c r="H573" s="105">
        <f t="shared" si="334"/>
        <v>2.9668225259085124</v>
      </c>
      <c r="I573" s="105">
        <f t="shared" ref="I573" si="335">I546</f>
        <v>2.9547960530485557</v>
      </c>
      <c r="J573" s="105">
        <f t="shared" ref="J573:M573" si="336">J546</f>
        <v>2.9617653844927578</v>
      </c>
      <c r="K573" s="105">
        <f t="shared" si="336"/>
        <v>2.9742155920729823</v>
      </c>
      <c r="L573" s="105">
        <f t="shared" si="336"/>
        <v>1.6729662692408078E-2</v>
      </c>
      <c r="M573" s="105">
        <f t="shared" si="336"/>
        <v>1.3393458308133384E-2</v>
      </c>
      <c r="N573" s="105"/>
      <c r="O573" s="105" t="e">
        <f t="shared" ref="O573" si="337">O546</f>
        <v>#DIV/0!</v>
      </c>
      <c r="P573" s="105"/>
      <c r="Q573" s="105" t="e">
        <f t="shared" si="333"/>
        <v>#DIV/0!</v>
      </c>
      <c r="R573" s="48" t="e">
        <f t="shared" si="333"/>
        <v>#DIV/0!</v>
      </c>
      <c r="S573" s="105" t="e">
        <f t="shared" si="333"/>
        <v>#DIV/0!</v>
      </c>
      <c r="T573" s="105" t="e">
        <f>#REF!</f>
        <v>#REF!</v>
      </c>
      <c r="U573" s="105" t="e">
        <f>#REF!</f>
        <v>#REF!</v>
      </c>
      <c r="V573" s="105" t="e">
        <f>#REF!</f>
        <v>#REF!</v>
      </c>
      <c r="W573" s="105" t="e">
        <f>#REF!</f>
        <v>#REF!</v>
      </c>
      <c r="X573" s="105" t="e">
        <f>#REF!</f>
        <v>#REF!</v>
      </c>
      <c r="Y573" s="105" t="e">
        <f>#REF!</f>
        <v>#REF!</v>
      </c>
      <c r="Z573" s="105" t="e">
        <f>#REF!</f>
        <v>#REF!</v>
      </c>
      <c r="AA573" s="105" t="e">
        <f>#REF!</f>
        <v>#REF!</v>
      </c>
      <c r="AB573" s="105" t="e">
        <f>#REF!</f>
        <v>#REF!</v>
      </c>
      <c r="AC573" s="105" t="e">
        <f>#REF!</f>
        <v>#REF!</v>
      </c>
      <c r="AD573" s="105" t="e">
        <f>#REF!</f>
        <v>#REF!</v>
      </c>
      <c r="AE573" s="105" t="e">
        <f>#REF!</f>
        <v>#REF!</v>
      </c>
      <c r="AF573" s="105" t="e">
        <f>#REF!</f>
        <v>#REF!</v>
      </c>
    </row>
    <row r="574" spans="1:37" ht="15" x14ac:dyDescent="0.35">
      <c r="A574" s="75" t="s">
        <v>1022</v>
      </c>
      <c r="E574" s="252"/>
      <c r="F574" s="111">
        <f t="shared" ref="F574:G574" si="338">(F526*F396)/F$423</f>
        <v>-5.1615624441820858E-3</v>
      </c>
      <c r="G574" s="111">
        <f t="shared" si="338"/>
        <v>1.4785014579231955E-2</v>
      </c>
      <c r="H574" s="111">
        <f t="shared" ref="H574:I574" si="339">(H526*H396)/H$423</f>
        <v>1.2121445586371935E-2</v>
      </c>
      <c r="I574" s="111">
        <f t="shared" si="339"/>
        <v>1.4492140422438342E-2</v>
      </c>
      <c r="J574" s="111">
        <f t="shared" ref="J574:M574" si="340">(J526*J396)/J$423</f>
        <v>3.4428072685744058E-3</v>
      </c>
      <c r="K574" s="111">
        <f t="shared" si="340"/>
        <v>3.2787599595319595E-3</v>
      </c>
      <c r="L574" s="111">
        <f t="shared" si="340"/>
        <v>2.7199579432657613E-2</v>
      </c>
      <c r="M574" s="111">
        <f t="shared" si="340"/>
        <v>6.3967973515372126E-3</v>
      </c>
      <c r="N574" s="111"/>
      <c r="O574" s="111" t="e">
        <f t="shared" ref="O574" si="341">(O526*O396)/O$423</f>
        <v>#DIV/0!</v>
      </c>
      <c r="P574" s="111"/>
      <c r="Q574" s="111" t="e">
        <f>(Q526*Q396)/Q$423</f>
        <v>#DIV/0!</v>
      </c>
      <c r="R574" s="112" t="e">
        <f>(R526*R396)/R$438</f>
        <v>#DIV/0!</v>
      </c>
      <c r="S574" s="111" t="e">
        <f>(S526*S396)/S$423</f>
        <v>#DIV/0!</v>
      </c>
      <c r="T574" s="111" t="e">
        <f>(#REF!*T330)/1026.4</f>
        <v>#REF!</v>
      </c>
      <c r="U574" s="111" t="e">
        <f>(#REF!*U330)/11504</f>
        <v>#REF!</v>
      </c>
      <c r="V574" s="111" t="e">
        <f>(#REF!*V330)/7284</f>
        <v>#REF!</v>
      </c>
      <c r="W574" s="111" t="e">
        <f>(#REF!*W330)/320.47</f>
        <v>#REF!</v>
      </c>
      <c r="X574" s="111" t="e">
        <f>(#REF!*X330)/26669</f>
        <v>#REF!</v>
      </c>
      <c r="Y574" s="111" t="e">
        <f>(#REF!*Y330)/68503</f>
        <v>#REF!</v>
      </c>
      <c r="Z574" s="111" t="e">
        <f>(#REF!*Z330)/Z$423</f>
        <v>#REF!</v>
      </c>
      <c r="AA574" s="111" t="e">
        <f>(#REF!*AA330)/17492.7</f>
        <v>#REF!</v>
      </c>
      <c r="AB574" s="111" t="e">
        <f>(#REF!*AB330)/10846</f>
        <v>#REF!</v>
      </c>
      <c r="AC574" s="111" t="e">
        <f>(#REF!*AC330)/12274</f>
        <v>#REF!</v>
      </c>
      <c r="AD574" s="111" t="e">
        <f>(#REF!*AD330)/10405</f>
        <v>#REF!</v>
      </c>
      <c r="AE574" s="111" t="e">
        <f>(#REF!*AE330)/12044</f>
        <v>#REF!</v>
      </c>
      <c r="AF574" s="111" t="e">
        <f>(#REF!*#REF!)/AF$436/12</f>
        <v>#REF!</v>
      </c>
    </row>
    <row r="575" spans="1:37" x14ac:dyDescent="0.2">
      <c r="B575" s="14" t="s">
        <v>1023</v>
      </c>
      <c r="F575" s="105">
        <f t="shared" ref="F575:H575" si="342">F573+F574</f>
        <v>1.790087334483071E-2</v>
      </c>
      <c r="G575" s="105">
        <f t="shared" si="342"/>
        <v>3.2711292526324695E-2</v>
      </c>
      <c r="H575" s="105">
        <f t="shared" si="342"/>
        <v>2.9789439714948842</v>
      </c>
      <c r="I575" s="105">
        <f t="shared" ref="I575" si="343">I573+I574</f>
        <v>2.969288193470994</v>
      </c>
      <c r="J575" s="105">
        <f t="shared" ref="J575:M575" si="344">J573+J574</f>
        <v>2.9652081917613322</v>
      </c>
      <c r="K575" s="105">
        <f t="shared" si="344"/>
        <v>2.9774943520325143</v>
      </c>
      <c r="L575" s="105">
        <f t="shared" si="344"/>
        <v>4.3929242125065687E-2</v>
      </c>
      <c r="M575" s="105">
        <f t="shared" si="344"/>
        <v>1.9790255659670596E-2</v>
      </c>
      <c r="N575" s="105"/>
      <c r="O575" s="105" t="e">
        <f t="shared" ref="O575" si="345">O573+O574</f>
        <v>#DIV/0!</v>
      </c>
      <c r="P575" s="105"/>
      <c r="Q575" s="105" t="e">
        <f t="shared" ref="Q575:AF575" si="346">Q573+Q574</f>
        <v>#DIV/0!</v>
      </c>
      <c r="R575" s="48" t="e">
        <f t="shared" si="346"/>
        <v>#DIV/0!</v>
      </c>
      <c r="S575" s="105" t="e">
        <f t="shared" si="346"/>
        <v>#DIV/0!</v>
      </c>
      <c r="T575" s="105" t="e">
        <f t="shared" si="346"/>
        <v>#REF!</v>
      </c>
      <c r="U575" s="105" t="e">
        <f t="shared" si="346"/>
        <v>#REF!</v>
      </c>
      <c r="V575" s="105" t="e">
        <f t="shared" si="346"/>
        <v>#REF!</v>
      </c>
      <c r="W575" s="105" t="e">
        <f t="shared" si="346"/>
        <v>#REF!</v>
      </c>
      <c r="X575" s="105" t="e">
        <f t="shared" si="346"/>
        <v>#REF!</v>
      </c>
      <c r="Y575" s="105" t="e">
        <f t="shared" si="346"/>
        <v>#REF!</v>
      </c>
      <c r="Z575" s="105" t="e">
        <f t="shared" si="346"/>
        <v>#REF!</v>
      </c>
      <c r="AA575" s="105" t="e">
        <f t="shared" si="346"/>
        <v>#REF!</v>
      </c>
      <c r="AB575" s="105" t="e">
        <f t="shared" si="346"/>
        <v>#REF!</v>
      </c>
      <c r="AC575" s="105" t="e">
        <f t="shared" si="346"/>
        <v>#REF!</v>
      </c>
      <c r="AD575" s="105" t="e">
        <f t="shared" si="346"/>
        <v>#REF!</v>
      </c>
      <c r="AE575" s="105" t="e">
        <f t="shared" si="346"/>
        <v>#REF!</v>
      </c>
      <c r="AF575" s="105" t="e">
        <f t="shared" si="346"/>
        <v>#REF!</v>
      </c>
    </row>
    <row r="577" spans="1:32" x14ac:dyDescent="0.2">
      <c r="A577" s="13" t="s">
        <v>667</v>
      </c>
    </row>
    <row r="578" spans="1:32" x14ac:dyDescent="0.2">
      <c r="A578" s="14" t="s">
        <v>668</v>
      </c>
      <c r="F578" s="80">
        <f t="shared" ref="F578:S578" si="347">F547</f>
        <v>23.974495460979597</v>
      </c>
      <c r="G578" s="80">
        <f t="shared" ref="G578:H578" si="348">G547</f>
        <v>33.531212019941172</v>
      </c>
      <c r="H578" s="80">
        <f t="shared" si="348"/>
        <v>56.208938743965206</v>
      </c>
      <c r="I578" s="80">
        <f t="shared" ref="I578" si="349">I547</f>
        <v>201.22200901129364</v>
      </c>
      <c r="J578" s="80">
        <f t="shared" ref="J578:M578" si="350">J547</f>
        <v>343.98626607034385</v>
      </c>
      <c r="K578" s="80">
        <f t="shared" si="350"/>
        <v>199.2997238465345</v>
      </c>
      <c r="L578" s="80">
        <f t="shared" si="350"/>
        <v>31.120676315069129</v>
      </c>
      <c r="M578" s="80">
        <f t="shared" si="350"/>
        <v>59.189833866505985</v>
      </c>
      <c r="N578" s="80"/>
      <c r="O578" s="80" t="e">
        <f t="shared" ref="O578" si="351">O547</f>
        <v>#DIV/0!</v>
      </c>
      <c r="P578" s="80"/>
      <c r="Q578" s="80" t="e">
        <f t="shared" si="347"/>
        <v>#DIV/0!</v>
      </c>
      <c r="R578" s="80" t="e">
        <f t="shared" si="347"/>
        <v>#DIV/0!</v>
      </c>
      <c r="S578" s="80" t="e">
        <f t="shared" si="347"/>
        <v>#DIV/0!</v>
      </c>
      <c r="T578" s="80" t="e">
        <f>#REF!</f>
        <v>#REF!</v>
      </c>
      <c r="U578" s="80" t="e">
        <f>#REF!</f>
        <v>#REF!</v>
      </c>
      <c r="V578" s="80" t="e">
        <f>#REF!</f>
        <v>#REF!</v>
      </c>
      <c r="W578" s="80" t="e">
        <f>#REF!</f>
        <v>#REF!</v>
      </c>
      <c r="X578" s="80" t="e">
        <f>#REF!</f>
        <v>#REF!</v>
      </c>
      <c r="Y578" s="80" t="e">
        <f>#REF!</f>
        <v>#REF!</v>
      </c>
      <c r="Z578" s="80" t="e">
        <f>#REF!</f>
        <v>#REF!</v>
      </c>
      <c r="AA578" s="80" t="e">
        <f>#REF!</f>
        <v>#REF!</v>
      </c>
      <c r="AB578" s="80" t="e">
        <f>#REF!</f>
        <v>#REF!</v>
      </c>
      <c r="AC578" s="80" t="e">
        <f>#REF!</f>
        <v>#REF!</v>
      </c>
      <c r="AD578" s="80" t="e">
        <f>#REF!</f>
        <v>#REF!</v>
      </c>
      <c r="AE578" s="80" t="e">
        <f>#REF!</f>
        <v>#REF!</v>
      </c>
      <c r="AF578" s="80" t="e">
        <f>#REF!</f>
        <v>#REF!</v>
      </c>
    </row>
    <row r="579" spans="1:32" ht="15" x14ac:dyDescent="0.35">
      <c r="A579" s="14" t="s">
        <v>669</v>
      </c>
      <c r="E579" s="253"/>
      <c r="F579" s="112">
        <f t="shared" ref="F579:S579" si="352">(F527*F396)/F426</f>
        <v>-5.2749677994434849</v>
      </c>
      <c r="G579" s="112">
        <f t="shared" ref="G579:H579" si="353">(G527*G396)/G426</f>
        <v>27.22198778898634</v>
      </c>
      <c r="H579" s="112">
        <f t="shared" si="353"/>
        <v>65.228031991991756</v>
      </c>
      <c r="I579" s="112">
        <f t="shared" ref="I579" si="354">(I527*I396)/I426</f>
        <v>349.51637937230589</v>
      </c>
      <c r="J579" s="112">
        <f t="shared" ref="J579:M579" si="355">(J527*J396)/J426</f>
        <v>81.748344868980368</v>
      </c>
      <c r="K579" s="112">
        <f t="shared" si="355"/>
        <v>72.511125037443534</v>
      </c>
      <c r="L579" s="112">
        <f t="shared" si="355"/>
        <v>43.932357302852445</v>
      </c>
      <c r="M579" s="112">
        <f t="shared" si="355"/>
        <v>22.220222463781077</v>
      </c>
      <c r="N579" s="112"/>
      <c r="O579" s="112" t="e">
        <f t="shared" ref="O579" si="356">(O527*O396)/O426</f>
        <v>#DIV/0!</v>
      </c>
      <c r="P579" s="112"/>
      <c r="Q579" s="112" t="e">
        <f t="shared" si="352"/>
        <v>#DIV/0!</v>
      </c>
      <c r="R579" s="112" t="e">
        <f t="shared" si="352"/>
        <v>#DIV/0!</v>
      </c>
      <c r="S579" s="112" t="e">
        <f t="shared" si="352"/>
        <v>#DIV/0!</v>
      </c>
      <c r="T579" s="112" t="e">
        <f>(#REF!*T330)/T426</f>
        <v>#REF!</v>
      </c>
      <c r="U579" s="112" t="e">
        <f>(#REF!*U330)/U426</f>
        <v>#REF!</v>
      </c>
      <c r="V579" s="112" t="e">
        <f>(#REF!*V330)/V426</f>
        <v>#REF!</v>
      </c>
      <c r="W579" s="112" t="e">
        <f>(#REF!*W330)/W426</f>
        <v>#REF!</v>
      </c>
      <c r="X579" s="112" t="e">
        <f>(#REF!*X330)/X426</f>
        <v>#REF!</v>
      </c>
      <c r="Y579" s="112" t="e">
        <f>(#REF!*Y330)/Y426</f>
        <v>#REF!</v>
      </c>
      <c r="Z579" s="112" t="e">
        <f>(#REF!*Z330)/Z426</f>
        <v>#REF!</v>
      </c>
      <c r="AA579" s="112" t="e">
        <f>(#REF!*AA330)/AA426</f>
        <v>#REF!</v>
      </c>
      <c r="AB579" s="112" t="e">
        <f>(#REF!*AB330)/AB426</f>
        <v>#REF!</v>
      </c>
      <c r="AC579" s="112" t="e">
        <f>(#REF!*AC330)/AC426</f>
        <v>#REF!</v>
      </c>
      <c r="AD579" s="112" t="e">
        <f>(#REF!*AD330)/AD426</f>
        <v>#REF!</v>
      </c>
      <c r="AE579" s="112" t="e">
        <f>(#REF!*AE330)/AE426</f>
        <v>#REF!</v>
      </c>
      <c r="AF579" s="112" t="e">
        <f>(#REF!*#REF!)/#REF!</f>
        <v>#REF!</v>
      </c>
    </row>
    <row r="580" spans="1:32" x14ac:dyDescent="0.2">
      <c r="B580" s="14" t="s">
        <v>670</v>
      </c>
      <c r="F580" s="80">
        <f t="shared" ref="F580" si="357">F578+F579</f>
        <v>18.699527661536113</v>
      </c>
      <c r="G580" s="80">
        <f t="shared" ref="G580:H580" si="358">G578+G579</f>
        <v>60.753199808927512</v>
      </c>
      <c r="H580" s="80">
        <f t="shared" si="358"/>
        <v>121.43697073595696</v>
      </c>
      <c r="I580" s="80">
        <f t="shared" ref="I580" si="359">I578+I579</f>
        <v>550.7383883835995</v>
      </c>
      <c r="J580" s="80">
        <f t="shared" ref="J580:M580" si="360">J578+J579</f>
        <v>425.73461093932423</v>
      </c>
      <c r="K580" s="80">
        <f t="shared" si="360"/>
        <v>271.81084888397805</v>
      </c>
      <c r="L580" s="80">
        <f t="shared" si="360"/>
        <v>75.053033617921571</v>
      </c>
      <c r="M580" s="80">
        <f t="shared" si="360"/>
        <v>81.410056330287063</v>
      </c>
      <c r="N580" s="80"/>
      <c r="O580" s="80" t="e">
        <f t="shared" ref="O580" si="361">O578+O579</f>
        <v>#DIV/0!</v>
      </c>
      <c r="P580" s="80"/>
      <c r="Q580" s="80" t="e">
        <f t="shared" ref="Q580:AF580" si="362">Q578+Q579</f>
        <v>#DIV/0!</v>
      </c>
      <c r="R580" s="80" t="e">
        <f t="shared" si="362"/>
        <v>#DIV/0!</v>
      </c>
      <c r="S580" s="80" t="e">
        <f t="shared" si="362"/>
        <v>#DIV/0!</v>
      </c>
      <c r="T580" s="80" t="e">
        <f t="shared" si="362"/>
        <v>#REF!</v>
      </c>
      <c r="U580" s="80" t="e">
        <f t="shared" si="362"/>
        <v>#REF!</v>
      </c>
      <c r="V580" s="80" t="e">
        <f t="shared" si="362"/>
        <v>#REF!</v>
      </c>
      <c r="W580" s="80" t="e">
        <f t="shared" si="362"/>
        <v>#REF!</v>
      </c>
      <c r="X580" s="80" t="e">
        <f t="shared" si="362"/>
        <v>#REF!</v>
      </c>
      <c r="Y580" s="80" t="e">
        <f t="shared" si="362"/>
        <v>#REF!</v>
      </c>
      <c r="Z580" s="80" t="e">
        <f t="shared" si="362"/>
        <v>#REF!</v>
      </c>
      <c r="AA580" s="80" t="e">
        <f t="shared" si="362"/>
        <v>#REF!</v>
      </c>
      <c r="AB580" s="80" t="e">
        <f t="shared" si="362"/>
        <v>#REF!</v>
      </c>
      <c r="AC580" s="80" t="e">
        <f t="shared" si="362"/>
        <v>#REF!</v>
      </c>
      <c r="AD580" s="80" t="e">
        <f t="shared" si="362"/>
        <v>#REF!</v>
      </c>
      <c r="AE580" s="80" t="e">
        <f t="shared" si="362"/>
        <v>#REF!</v>
      </c>
      <c r="AF580" s="80" t="e">
        <f t="shared" si="362"/>
        <v>#REF!</v>
      </c>
    </row>
    <row r="584" spans="1:32" x14ac:dyDescent="0.2">
      <c r="A584" s="28" t="s">
        <v>671</v>
      </c>
      <c r="B584" s="186"/>
      <c r="C584" s="187">
        <f>E396</f>
        <v>2.0232584507210299E-3</v>
      </c>
      <c r="F584" s="47">
        <f t="shared" ref="F584:R584" si="363">$C$584</f>
        <v>2.0232584507210299E-3</v>
      </c>
      <c r="G584" s="47">
        <f t="shared" si="363"/>
        <v>2.0232584507210299E-3</v>
      </c>
      <c r="H584" s="47">
        <f t="shared" si="363"/>
        <v>2.0232584507210299E-3</v>
      </c>
      <c r="I584" s="47">
        <f t="shared" si="363"/>
        <v>2.0232584507210299E-3</v>
      </c>
      <c r="J584" s="47">
        <f t="shared" si="363"/>
        <v>2.0232584507210299E-3</v>
      </c>
      <c r="K584" s="47">
        <f t="shared" si="363"/>
        <v>2.0232584507210299E-3</v>
      </c>
      <c r="L584" s="47">
        <f t="shared" si="363"/>
        <v>2.0232584507210299E-3</v>
      </c>
      <c r="M584" s="47">
        <f t="shared" si="363"/>
        <v>2.0232584507210299E-3</v>
      </c>
      <c r="N584" s="47"/>
      <c r="O584" s="47">
        <f t="shared" si="363"/>
        <v>2.0232584507210299E-3</v>
      </c>
      <c r="P584" s="47"/>
      <c r="Q584" s="47">
        <f t="shared" si="363"/>
        <v>2.0232584507210299E-3</v>
      </c>
      <c r="R584" s="47">
        <f t="shared" si="363"/>
        <v>2.0232584507210299E-3</v>
      </c>
    </row>
    <row r="585" spans="1:32" x14ac:dyDescent="0.2">
      <c r="A585" s="13"/>
    </row>
    <row r="586" spans="1:32" x14ac:dyDescent="0.2">
      <c r="A586" s="13" t="s">
        <v>762</v>
      </c>
    </row>
    <row r="587" spans="1:32" x14ac:dyDescent="0.2">
      <c r="A587" s="14" t="s">
        <v>1016</v>
      </c>
      <c r="F587" s="105">
        <f t="shared" ref="F587" si="364">F562</f>
        <v>2.3257408449763699E-2</v>
      </c>
      <c r="G587" s="105">
        <f t="shared" ref="G587:I587" si="365">G562</f>
        <v>-9.5689098587907768E-3</v>
      </c>
      <c r="H587" s="48">
        <f t="shared" ref="H587" si="366">H562</f>
        <v>4.2504340573710016</v>
      </c>
      <c r="I587" s="48">
        <f t="shared" si="365"/>
        <v>7.3338472884661341</v>
      </c>
      <c r="J587" s="48">
        <f t="shared" ref="J587:M587" si="367">J562</f>
        <v>7.6585295557532014</v>
      </c>
      <c r="K587" s="48">
        <f t="shared" si="367"/>
        <v>7.1164068915768413</v>
      </c>
      <c r="L587" s="105">
        <f t="shared" si="367"/>
        <v>1.1312110411621348E-2</v>
      </c>
      <c r="M587" s="105">
        <f t="shared" si="367"/>
        <v>1.3789757550916189E-2</v>
      </c>
      <c r="N587" s="105"/>
      <c r="O587" s="105" t="e">
        <f t="shared" ref="O587" si="368">O562</f>
        <v>#DIV/0!</v>
      </c>
      <c r="P587" s="105"/>
      <c r="Q587" s="105" t="e">
        <f t="shared" ref="Q587" si="369">Q562</f>
        <v>#DIV/0!</v>
      </c>
      <c r="R587" s="48" t="e">
        <f>R562</f>
        <v>#DIV/0!</v>
      </c>
      <c r="S587" s="105" t="e">
        <f t="shared" ref="S587:AE587" si="370">S543</f>
        <v>#DIV/0!</v>
      </c>
      <c r="T587" s="105">
        <f t="shared" si="370"/>
        <v>0</v>
      </c>
      <c r="U587" s="105" t="e">
        <f t="shared" si="370"/>
        <v>#DIV/0!</v>
      </c>
      <c r="V587" s="105" t="e">
        <f t="shared" si="370"/>
        <v>#DIV/0!</v>
      </c>
      <c r="W587" s="105" t="e">
        <f t="shared" si="370"/>
        <v>#DIV/0!</v>
      </c>
      <c r="X587" s="105" t="e">
        <f t="shared" si="370"/>
        <v>#DIV/0!</v>
      </c>
      <c r="Y587" s="105" t="e">
        <f t="shared" si="370"/>
        <v>#DIV/0!</v>
      </c>
      <c r="Z587" s="105">
        <f t="shared" si="370"/>
        <v>0</v>
      </c>
      <c r="AA587" s="105">
        <f t="shared" si="370"/>
        <v>0</v>
      </c>
      <c r="AB587" s="105">
        <f t="shared" si="370"/>
        <v>0</v>
      </c>
      <c r="AC587" s="105">
        <f t="shared" si="370"/>
        <v>0</v>
      </c>
      <c r="AD587" s="105">
        <f t="shared" si="370"/>
        <v>0</v>
      </c>
      <c r="AE587" s="105">
        <f t="shared" si="370"/>
        <v>0</v>
      </c>
      <c r="AF587" s="105" t="e">
        <f>#REF!</f>
        <v>#REF!</v>
      </c>
    </row>
    <row r="588" spans="1:32" x14ac:dyDescent="0.2">
      <c r="A588" s="14" t="s">
        <v>1017</v>
      </c>
      <c r="E588" s="254"/>
      <c r="F588" s="105">
        <f>(F523*$E$396)/F$423</f>
        <v>0</v>
      </c>
      <c r="G588" s="105">
        <f>(G523*$E$396)/G$423</f>
        <v>0</v>
      </c>
      <c r="H588" s="48">
        <f>(H523*$E$396)/H$438</f>
        <v>0</v>
      </c>
      <c r="I588" s="48">
        <f>(I523*$E$396)/I$438</f>
        <v>0</v>
      </c>
      <c r="J588" s="48">
        <f>(J523*$E$396)/J$438</f>
        <v>0</v>
      </c>
      <c r="K588" s="48">
        <f>(K523*$E$396)/K$438</f>
        <v>0</v>
      </c>
      <c r="L588" s="105">
        <f>(L523*$E$396)/L$423</f>
        <v>0</v>
      </c>
      <c r="M588" s="105">
        <f>(M523*$E$396)/M$423</f>
        <v>0</v>
      </c>
      <c r="N588" s="105"/>
      <c r="O588" s="105" t="e">
        <f>(O523*$E$396)/O$423</f>
        <v>#DIV/0!</v>
      </c>
      <c r="P588" s="105"/>
      <c r="Q588" s="105" t="e">
        <f>(Q523*$E$396)/Q$423</f>
        <v>#DIV/0!</v>
      </c>
      <c r="R588" s="48" t="e">
        <f>(R523*$E$396)/R$438</f>
        <v>#DIV/0!</v>
      </c>
      <c r="S588" s="105" t="e">
        <f t="shared" ref="S588:AE588" si="371">S544</f>
        <v>#DIV/0!</v>
      </c>
      <c r="T588" s="105" t="e">
        <f t="shared" si="371"/>
        <v>#DIV/0!</v>
      </c>
      <c r="U588" s="105" t="e">
        <f t="shared" si="371"/>
        <v>#DIV/0!</v>
      </c>
      <c r="V588" s="105" t="e">
        <f t="shared" si="371"/>
        <v>#DIV/0!</v>
      </c>
      <c r="W588" s="105" t="e">
        <f t="shared" si="371"/>
        <v>#DIV/0!</v>
      </c>
      <c r="X588" s="105" t="e">
        <f t="shared" si="371"/>
        <v>#DIV/0!</v>
      </c>
      <c r="Y588" s="105" t="e">
        <f t="shared" si="371"/>
        <v>#DIV/0!</v>
      </c>
      <c r="Z588" s="105" t="e">
        <f t="shared" si="371"/>
        <v>#DIV/0!</v>
      </c>
      <c r="AA588" s="105" t="e">
        <f t="shared" si="371"/>
        <v>#DIV/0!</v>
      </c>
      <c r="AB588" s="105" t="e">
        <f t="shared" si="371"/>
        <v>#DIV/0!</v>
      </c>
      <c r="AC588" s="105" t="e">
        <f t="shared" si="371"/>
        <v>#DIV/0!</v>
      </c>
      <c r="AD588" s="105" t="e">
        <f t="shared" si="371"/>
        <v>#DIV/0!</v>
      </c>
      <c r="AE588" s="105">
        <f t="shared" si="371"/>
        <v>0</v>
      </c>
      <c r="AF588" s="105" t="e">
        <f>#REF!</f>
        <v>#REF!</v>
      </c>
    </row>
    <row r="589" spans="1:32" x14ac:dyDescent="0.2">
      <c r="A589" s="14" t="s">
        <v>898</v>
      </c>
      <c r="F589" s="105">
        <f t="shared" ref="F589" si="372">F564</f>
        <v>4.7058587158292309E-2</v>
      </c>
      <c r="G589" s="105">
        <f t="shared" ref="G589:I589" si="373">G564</f>
        <v>4.4604472082777444E-2</v>
      </c>
      <c r="H589" s="105">
        <f t="shared" ref="H589" si="374">H564</f>
        <v>5.332751622254589E-2</v>
      </c>
      <c r="I589" s="105">
        <f t="shared" si="373"/>
        <v>4.7255945010913625E-2</v>
      </c>
      <c r="J589" s="105">
        <f t="shared" ref="J589:M589" si="375">J564</f>
        <v>3.7525596398148481E-2</v>
      </c>
      <c r="K589" s="105">
        <f t="shared" si="375"/>
        <v>3.7914400241850318E-2</v>
      </c>
      <c r="L589" s="105">
        <f t="shared" si="375"/>
        <v>4.6448189558202013E-2</v>
      </c>
      <c r="M589" s="105">
        <f t="shared" si="375"/>
        <v>4.8750375438600162E-2</v>
      </c>
      <c r="N589" s="105"/>
      <c r="O589" s="105" t="e">
        <f t="shared" ref="O589" si="376">O564</f>
        <v>#DIV/0!</v>
      </c>
      <c r="P589" s="105"/>
      <c r="Q589" s="105" t="e">
        <f t="shared" ref="Q589" si="377">Q564</f>
        <v>#DIV/0!</v>
      </c>
      <c r="R589" s="105" t="e">
        <f>R564</f>
        <v>#DIV/0!</v>
      </c>
      <c r="S589" s="105">
        <f>S569</f>
        <v>0</v>
      </c>
      <c r="T589" s="105" t="e">
        <f>#REF!</f>
        <v>#REF!</v>
      </c>
      <c r="U589" s="105" t="e">
        <f>#REF!</f>
        <v>#REF!</v>
      </c>
      <c r="V589" s="105" t="e">
        <f>#REF!</f>
        <v>#REF!</v>
      </c>
      <c r="W589" s="105" t="e">
        <f>#REF!</f>
        <v>#REF!</v>
      </c>
      <c r="X589" s="105" t="e">
        <f>#REF!</f>
        <v>#REF!</v>
      </c>
      <c r="Y589" s="105" t="e">
        <f>#REF!</f>
        <v>#REF!</v>
      </c>
      <c r="Z589" s="105" t="e">
        <f>#REF!</f>
        <v>#REF!</v>
      </c>
      <c r="AA589" s="105" t="e">
        <f>#REF!</f>
        <v>#REF!</v>
      </c>
      <c r="AB589" s="105" t="e">
        <f>#REF!</f>
        <v>#REF!</v>
      </c>
      <c r="AC589" s="105" t="e">
        <f>#REF!</f>
        <v>#REF!</v>
      </c>
      <c r="AD589" s="105" t="e">
        <f>#REF!</f>
        <v>#REF!</v>
      </c>
      <c r="AE589" s="105" t="e">
        <f>#REF!</f>
        <v>#REF!</v>
      </c>
      <c r="AF589" s="105" t="e">
        <f>#REF!</f>
        <v>#REF!</v>
      </c>
    </row>
    <row r="590" spans="1:32" x14ac:dyDescent="0.2">
      <c r="A590" s="14" t="s">
        <v>899</v>
      </c>
      <c r="D590" s="105"/>
      <c r="F590" s="105">
        <f t="shared" ref="F590:R590" si="378">(F524*$E$396)/F$423</f>
        <v>0</v>
      </c>
      <c r="G590" s="105">
        <f t="shared" ref="G590:I590" si="379">(G524*$E$396)/G$423</f>
        <v>0</v>
      </c>
      <c r="H590" s="49">
        <f t="shared" ref="H590" si="380">(H524*$E$396)/H$423</f>
        <v>0</v>
      </c>
      <c r="I590" s="49">
        <f t="shared" si="379"/>
        <v>0</v>
      </c>
      <c r="J590" s="49">
        <f t="shared" ref="J590:M590" si="381">(J524*$E$396)/J$423</f>
        <v>0</v>
      </c>
      <c r="K590" s="49">
        <f t="shared" si="381"/>
        <v>0</v>
      </c>
      <c r="L590" s="105">
        <f t="shared" si="381"/>
        <v>0</v>
      </c>
      <c r="M590" s="105">
        <f t="shared" si="381"/>
        <v>0</v>
      </c>
      <c r="N590" s="105"/>
      <c r="O590" s="105" t="e">
        <f t="shared" ref="O590" si="382">(O524*$E$396)/O$423</f>
        <v>#DIV/0!</v>
      </c>
      <c r="P590" s="105"/>
      <c r="Q590" s="105" t="e">
        <f t="shared" si="378"/>
        <v>#DIV/0!</v>
      </c>
      <c r="R590" s="49" t="e">
        <f t="shared" si="378"/>
        <v>#DIV/0!</v>
      </c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</row>
    <row r="591" spans="1:32" x14ac:dyDescent="0.2"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</row>
    <row r="592" spans="1:32" x14ac:dyDescent="0.2">
      <c r="A592" s="13" t="s">
        <v>892</v>
      </c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</row>
    <row r="593" spans="1:37" x14ac:dyDescent="0.2">
      <c r="A593" s="14" t="s">
        <v>1018</v>
      </c>
      <c r="F593" s="105">
        <f t="shared" ref="F593" si="383">F568</f>
        <v>0</v>
      </c>
      <c r="G593" s="105">
        <f t="shared" ref="G593:I593" si="384">G568</f>
        <v>0</v>
      </c>
      <c r="H593" s="48">
        <f t="shared" ref="H593" si="385">H568</f>
        <v>0</v>
      </c>
      <c r="I593" s="48">
        <f t="shared" si="384"/>
        <v>0</v>
      </c>
      <c r="J593" s="48">
        <f t="shared" ref="J593:M593" si="386">J568</f>
        <v>0</v>
      </c>
      <c r="K593" s="48">
        <f t="shared" si="386"/>
        <v>0</v>
      </c>
      <c r="L593" s="105">
        <f t="shared" si="386"/>
        <v>0</v>
      </c>
      <c r="M593" s="105">
        <f t="shared" si="386"/>
        <v>0</v>
      </c>
      <c r="N593" s="105"/>
      <c r="O593" s="105" t="e">
        <f t="shared" ref="O593" si="387">O568</f>
        <v>#DIV/0!</v>
      </c>
      <c r="P593" s="105"/>
      <c r="Q593" s="105" t="e">
        <f t="shared" ref="Q593" si="388">Q568</f>
        <v>#DIV/0!</v>
      </c>
      <c r="R593" s="48" t="e">
        <f>R568</f>
        <v>#DIV/0!</v>
      </c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</row>
    <row r="594" spans="1:37" s="75" customFormat="1" ht="15" x14ac:dyDescent="0.35">
      <c r="A594" s="75" t="s">
        <v>1019</v>
      </c>
      <c r="D594" s="113"/>
      <c r="E594" s="255"/>
      <c r="F594" s="111">
        <f>(F525*$E$396)/F$423</f>
        <v>0</v>
      </c>
      <c r="G594" s="111">
        <f>(G525*$E$396)/G$423</f>
        <v>0</v>
      </c>
      <c r="H594" s="112">
        <f>(H525*$E$396)/H$438</f>
        <v>0</v>
      </c>
      <c r="I594" s="112">
        <f>(I525*$E$396)/I$438</f>
        <v>0</v>
      </c>
      <c r="J594" s="112">
        <f>(J525*$E$396)/J$438</f>
        <v>0</v>
      </c>
      <c r="K594" s="112">
        <f>(K525*$E$396)/K$438</f>
        <v>0</v>
      </c>
      <c r="L594" s="111">
        <f>(L525*$E$396)/L$423</f>
        <v>0</v>
      </c>
      <c r="M594" s="111">
        <f>(M525*$E$396)/M$423</f>
        <v>0</v>
      </c>
      <c r="N594" s="111"/>
      <c r="O594" s="111" t="e">
        <f>(O525*$E$396)/O$423</f>
        <v>#DIV/0!</v>
      </c>
      <c r="P594" s="111"/>
      <c r="Q594" s="111" t="e">
        <f>(Q525*$E$396)/Q$423</f>
        <v>#DIV/0!</v>
      </c>
      <c r="R594" s="112" t="e">
        <f>(R525*$E$396)/R$438</f>
        <v>#DIV/0!</v>
      </c>
      <c r="AK594" s="81"/>
    </row>
    <row r="595" spans="1:37" x14ac:dyDescent="0.2">
      <c r="B595" s="14" t="s">
        <v>1020</v>
      </c>
      <c r="F595" s="105">
        <f>F593+F594</f>
        <v>0</v>
      </c>
      <c r="G595" s="105">
        <f>G593+G594</f>
        <v>0</v>
      </c>
      <c r="H595" s="48">
        <f t="shared" ref="H595" si="389">H593+H594</f>
        <v>0</v>
      </c>
      <c r="I595" s="48">
        <f t="shared" ref="I595" si="390">I593+I594</f>
        <v>0</v>
      </c>
      <c r="J595" s="48">
        <f t="shared" ref="J595:K595" si="391">J593+J594</f>
        <v>0</v>
      </c>
      <c r="K595" s="48">
        <f t="shared" si="391"/>
        <v>0</v>
      </c>
      <c r="L595" s="105">
        <f>L593+L594</f>
        <v>0</v>
      </c>
      <c r="M595" s="105">
        <f>M593+M594</f>
        <v>0</v>
      </c>
      <c r="N595" s="105"/>
      <c r="O595" s="105" t="e">
        <f>O593+O594</f>
        <v>#DIV/0!</v>
      </c>
      <c r="P595" s="105"/>
      <c r="Q595" s="105" t="e">
        <f t="shared" ref="Q595:R595" si="392">Q593+Q594</f>
        <v>#DIV/0!</v>
      </c>
      <c r="R595" s="48" t="e">
        <f t="shared" si="392"/>
        <v>#DIV/0!</v>
      </c>
    </row>
    <row r="596" spans="1:37" x14ac:dyDescent="0.2">
      <c r="P596" s="48"/>
    </row>
    <row r="597" spans="1:37" x14ac:dyDescent="0.2">
      <c r="A597" s="13" t="s">
        <v>666</v>
      </c>
      <c r="P597" s="48"/>
    </row>
    <row r="598" spans="1:37" x14ac:dyDescent="0.2">
      <c r="A598" s="14" t="s">
        <v>1021</v>
      </c>
      <c r="F598" s="105">
        <f t="shared" ref="F598:S598" si="393">F546</f>
        <v>2.3062435789012795E-2</v>
      </c>
      <c r="G598" s="105">
        <f t="shared" ref="G598:I598" si="394">G546</f>
        <v>1.7926277947092742E-2</v>
      </c>
      <c r="H598" s="48">
        <f t="shared" ref="H598" si="395">H546</f>
        <v>2.9668225259085124</v>
      </c>
      <c r="I598" s="48">
        <f t="shared" si="394"/>
        <v>2.9547960530485557</v>
      </c>
      <c r="J598" s="48">
        <f t="shared" ref="J598:M598" si="396">J546</f>
        <v>2.9617653844927578</v>
      </c>
      <c r="K598" s="48">
        <f t="shared" si="396"/>
        <v>2.9742155920729823</v>
      </c>
      <c r="L598" s="105">
        <f t="shared" si="396"/>
        <v>1.6729662692408078E-2</v>
      </c>
      <c r="M598" s="105">
        <f t="shared" si="396"/>
        <v>1.3393458308133384E-2</v>
      </c>
      <c r="N598" s="105"/>
      <c r="O598" s="105" t="e">
        <f t="shared" ref="O598" si="397">O546</f>
        <v>#DIV/0!</v>
      </c>
      <c r="P598" s="105"/>
      <c r="Q598" s="105" t="e">
        <f t="shared" si="393"/>
        <v>#DIV/0!</v>
      </c>
      <c r="R598" s="48" t="e">
        <f t="shared" si="393"/>
        <v>#DIV/0!</v>
      </c>
      <c r="S598" s="105" t="e">
        <f t="shared" si="393"/>
        <v>#DIV/0!</v>
      </c>
      <c r="T598" s="105" t="e">
        <f>#REF!</f>
        <v>#REF!</v>
      </c>
      <c r="U598" s="105" t="e">
        <f>#REF!</f>
        <v>#REF!</v>
      </c>
      <c r="V598" s="105" t="e">
        <f>#REF!</f>
        <v>#REF!</v>
      </c>
      <c r="W598" s="105" t="e">
        <f>#REF!</f>
        <v>#REF!</v>
      </c>
      <c r="X598" s="105" t="e">
        <f>#REF!</f>
        <v>#REF!</v>
      </c>
      <c r="Y598" s="105" t="e">
        <f>#REF!</f>
        <v>#REF!</v>
      </c>
      <c r="Z598" s="105" t="e">
        <f>#REF!</f>
        <v>#REF!</v>
      </c>
      <c r="AA598" s="105" t="e">
        <f>#REF!</f>
        <v>#REF!</v>
      </c>
      <c r="AB598" s="105" t="e">
        <f>#REF!</f>
        <v>#REF!</v>
      </c>
      <c r="AC598" s="105" t="e">
        <f>#REF!</f>
        <v>#REF!</v>
      </c>
      <c r="AD598" s="105" t="e">
        <f>#REF!</f>
        <v>#REF!</v>
      </c>
      <c r="AE598" s="105" t="e">
        <f>#REF!</f>
        <v>#REF!</v>
      </c>
      <c r="AF598" s="105" t="e">
        <f>#REF!</f>
        <v>#REF!</v>
      </c>
    </row>
    <row r="599" spans="1:37" ht="15" x14ac:dyDescent="0.35">
      <c r="A599" s="75" t="s">
        <v>1022</v>
      </c>
      <c r="D599" s="114"/>
      <c r="F599" s="111">
        <f>(F526*$E$396)/F423</f>
        <v>2.2869305449481757E-4</v>
      </c>
      <c r="G599" s="111">
        <f>(G526*$E$396)/G423</f>
        <v>1.7729852494599422E-4</v>
      </c>
      <c r="H599" s="112">
        <f>(H526*$E$396)/H438</f>
        <v>3.0049870177170611E-2</v>
      </c>
      <c r="I599" s="112">
        <f>(I526*$E$396)/I438</f>
        <v>3.0063819944822621E-2</v>
      </c>
      <c r="J599" s="112">
        <f>(J526*$E$396)/J438</f>
        <v>3.0108321321596999E-2</v>
      </c>
      <c r="K599" s="112">
        <f>(K526*$E$396)/K438</f>
        <v>3.0178257699364556E-2</v>
      </c>
      <c r="L599" s="111">
        <f>(L526*$E$396)/L423</f>
        <v>1.6904619497586857E-4</v>
      </c>
      <c r="M599" s="111">
        <f>(M526*$E$396)/M423</f>
        <v>1.3582896216839512E-4</v>
      </c>
      <c r="N599" s="111"/>
      <c r="O599" s="111" t="e">
        <f>(O526*$E$396)/O423</f>
        <v>#DIV/0!</v>
      </c>
      <c r="P599" s="111"/>
      <c r="Q599" s="111" t="e">
        <f>(Q526*$E$396)/Q423</f>
        <v>#DIV/0!</v>
      </c>
      <c r="R599" s="112" t="e">
        <f>(R526*$E$396)/R438</f>
        <v>#DIV/0!</v>
      </c>
      <c r="S599" s="111" t="e">
        <f>(S526*$E$396)/S423</f>
        <v>#DIV/0!</v>
      </c>
      <c r="T599" s="111" t="e">
        <f>(#REF!*$E$330)/1026.4</f>
        <v>#REF!</v>
      </c>
      <c r="U599" s="111" t="e">
        <f>(#REF!*$E$330)/11504</f>
        <v>#REF!</v>
      </c>
      <c r="V599" s="111" t="e">
        <f>(#REF!*$E$330)/7284</f>
        <v>#REF!</v>
      </c>
      <c r="W599" s="111" t="e">
        <f>(#REF!*$E$330)/320.47</f>
        <v>#REF!</v>
      </c>
      <c r="X599" s="111" t="e">
        <f>(#REF!*$E$330)/26669</f>
        <v>#REF!</v>
      </c>
      <c r="Y599" s="111" t="e">
        <f>(#REF!*$E$330)/68503</f>
        <v>#REF!</v>
      </c>
      <c r="Z599" s="111" t="e">
        <f>(#REF!*$E$330)/Z423</f>
        <v>#REF!</v>
      </c>
      <c r="AA599" s="111" t="e">
        <f>(#REF!*$E$330)/17492.7</f>
        <v>#REF!</v>
      </c>
      <c r="AB599" s="111" t="e">
        <f>(#REF!*$E$330)/10846</f>
        <v>#REF!</v>
      </c>
      <c r="AC599" s="111" t="e">
        <f>(#REF!*$E$330)/12274</f>
        <v>#REF!</v>
      </c>
      <c r="AD599" s="111" t="e">
        <f>(#REF!*$E$330)/10405</f>
        <v>#REF!</v>
      </c>
      <c r="AE599" s="111" t="e">
        <f>(#REF!*$E$330)/120444</f>
        <v>#REF!</v>
      </c>
      <c r="AF599" s="111" t="e">
        <f>(#REF!*$E$330)/AF503/12</f>
        <v>#REF!</v>
      </c>
    </row>
    <row r="600" spans="1:37" x14ac:dyDescent="0.2">
      <c r="B600" s="14" t="s">
        <v>1023</v>
      </c>
      <c r="F600" s="105">
        <f t="shared" ref="F600:AF600" si="398">F598+F599</f>
        <v>2.3291128843507612E-2</v>
      </c>
      <c r="G600" s="105">
        <f t="shared" ref="G600:I600" si="399">G598+G599</f>
        <v>1.8103576472038738E-2</v>
      </c>
      <c r="H600" s="48">
        <f t="shared" ref="H600" si="400">H598+H599</f>
        <v>2.9968723960856831</v>
      </c>
      <c r="I600" s="48">
        <f t="shared" si="399"/>
        <v>2.9848598729933782</v>
      </c>
      <c r="J600" s="48">
        <f t="shared" ref="J600:M600" si="401">J598+J599</f>
        <v>2.991873705814355</v>
      </c>
      <c r="K600" s="48">
        <f t="shared" si="401"/>
        <v>3.004393849772347</v>
      </c>
      <c r="L600" s="105">
        <f t="shared" si="401"/>
        <v>1.6898708887383946E-2</v>
      </c>
      <c r="M600" s="105">
        <f t="shared" si="401"/>
        <v>1.3529287270301778E-2</v>
      </c>
      <c r="N600" s="105"/>
      <c r="O600" s="105" t="e">
        <f t="shared" ref="O600" si="402">O598+O599</f>
        <v>#DIV/0!</v>
      </c>
      <c r="P600" s="105"/>
      <c r="Q600" s="105" t="e">
        <f t="shared" si="398"/>
        <v>#DIV/0!</v>
      </c>
      <c r="R600" s="48" t="e">
        <f t="shared" si="398"/>
        <v>#DIV/0!</v>
      </c>
      <c r="S600" s="105" t="e">
        <f t="shared" si="398"/>
        <v>#DIV/0!</v>
      </c>
      <c r="T600" s="105" t="e">
        <f t="shared" si="398"/>
        <v>#REF!</v>
      </c>
      <c r="U600" s="105" t="e">
        <f t="shared" si="398"/>
        <v>#REF!</v>
      </c>
      <c r="V600" s="105" t="e">
        <f t="shared" si="398"/>
        <v>#REF!</v>
      </c>
      <c r="W600" s="105" t="e">
        <f t="shared" si="398"/>
        <v>#REF!</v>
      </c>
      <c r="X600" s="105" t="e">
        <f t="shared" si="398"/>
        <v>#REF!</v>
      </c>
      <c r="Y600" s="105" t="e">
        <f t="shared" si="398"/>
        <v>#REF!</v>
      </c>
      <c r="Z600" s="105" t="e">
        <f t="shared" si="398"/>
        <v>#REF!</v>
      </c>
      <c r="AA600" s="105" t="e">
        <f t="shared" si="398"/>
        <v>#REF!</v>
      </c>
      <c r="AB600" s="105" t="e">
        <f t="shared" si="398"/>
        <v>#REF!</v>
      </c>
      <c r="AC600" s="105" t="e">
        <f t="shared" si="398"/>
        <v>#REF!</v>
      </c>
      <c r="AD600" s="105" t="e">
        <f t="shared" si="398"/>
        <v>#REF!</v>
      </c>
      <c r="AE600" s="105" t="e">
        <f t="shared" si="398"/>
        <v>#REF!</v>
      </c>
      <c r="AF600" s="105" t="e">
        <f t="shared" si="398"/>
        <v>#REF!</v>
      </c>
    </row>
    <row r="602" spans="1:37" x14ac:dyDescent="0.2">
      <c r="A602" s="13" t="s">
        <v>667</v>
      </c>
    </row>
    <row r="603" spans="1:37" x14ac:dyDescent="0.2">
      <c r="A603" s="14" t="s">
        <v>668</v>
      </c>
      <c r="F603" s="80">
        <f t="shared" ref="F603:S603" si="403">F547</f>
        <v>23.974495460979597</v>
      </c>
      <c r="G603" s="80">
        <f t="shared" ref="G603:I603" si="404">G547</f>
        <v>33.531212019941172</v>
      </c>
      <c r="H603" s="80">
        <f t="shared" ref="H603" si="405">H547</f>
        <v>56.208938743965206</v>
      </c>
      <c r="I603" s="80">
        <f t="shared" si="404"/>
        <v>201.22200901129364</v>
      </c>
      <c r="J603" s="80">
        <f t="shared" ref="J603:M603" si="406">J547</f>
        <v>343.98626607034385</v>
      </c>
      <c r="K603" s="80">
        <f t="shared" si="406"/>
        <v>199.2997238465345</v>
      </c>
      <c r="L603" s="80">
        <f t="shared" si="406"/>
        <v>31.120676315069129</v>
      </c>
      <c r="M603" s="80">
        <f t="shared" si="406"/>
        <v>59.189833866505985</v>
      </c>
      <c r="N603" s="80"/>
      <c r="O603" s="80" t="e">
        <f t="shared" ref="O603" si="407">O547</f>
        <v>#DIV/0!</v>
      </c>
      <c r="P603" s="80"/>
      <c r="Q603" s="80" t="e">
        <f t="shared" si="403"/>
        <v>#DIV/0!</v>
      </c>
      <c r="R603" s="80" t="e">
        <f t="shared" si="403"/>
        <v>#DIV/0!</v>
      </c>
      <c r="S603" s="80" t="e">
        <f t="shared" si="403"/>
        <v>#DIV/0!</v>
      </c>
      <c r="T603" s="80" t="e">
        <f>#REF!</f>
        <v>#REF!</v>
      </c>
      <c r="U603" s="80" t="e">
        <f>#REF!</f>
        <v>#REF!</v>
      </c>
      <c r="V603" s="80" t="e">
        <f>#REF!</f>
        <v>#REF!</v>
      </c>
      <c r="W603" s="80" t="e">
        <f>#REF!</f>
        <v>#REF!</v>
      </c>
      <c r="X603" s="80" t="e">
        <f>#REF!</f>
        <v>#REF!</v>
      </c>
      <c r="Y603" s="80" t="e">
        <f>#REF!</f>
        <v>#REF!</v>
      </c>
      <c r="Z603" s="80" t="e">
        <f>#REF!</f>
        <v>#REF!</v>
      </c>
      <c r="AA603" s="80" t="e">
        <f>#REF!</f>
        <v>#REF!</v>
      </c>
      <c r="AB603" s="80" t="e">
        <f>#REF!</f>
        <v>#REF!</v>
      </c>
      <c r="AC603" s="80" t="e">
        <f>#REF!</f>
        <v>#REF!</v>
      </c>
      <c r="AD603" s="80" t="e">
        <f>#REF!</f>
        <v>#REF!</v>
      </c>
      <c r="AE603" s="80" t="e">
        <f>#REF!</f>
        <v>#REF!</v>
      </c>
      <c r="AF603" s="80" t="e">
        <f>#REF!</f>
        <v>#REF!</v>
      </c>
    </row>
    <row r="604" spans="1:37" ht="15" x14ac:dyDescent="0.35">
      <c r="A604" s="14" t="s">
        <v>669</v>
      </c>
      <c r="D604" s="80"/>
      <c r="F604" s="112">
        <f t="shared" ref="F604:AF604" si="408">(F527*$E$396)/F426</f>
        <v>0.23371769913900511</v>
      </c>
      <c r="G604" s="112">
        <f t="shared" ref="G604:I604" si="409">(G527*$E$396)/G426</f>
        <v>0.3264398729687194</v>
      </c>
      <c r="H604" s="112">
        <f t="shared" ref="H604" si="410">(H527*$E$396)/H426</f>
        <v>0.53676393140756229</v>
      </c>
      <c r="I604" s="112">
        <f t="shared" si="409"/>
        <v>1.5387138143665533</v>
      </c>
      <c r="J604" s="112">
        <f t="shared" ref="J604:M604" si="411">(J527*$E$396)/J426</f>
        <v>1.5719186963605045</v>
      </c>
      <c r="K604" s="112">
        <f t="shared" si="411"/>
        <v>1.4737718886507853</v>
      </c>
      <c r="L604" s="112">
        <f t="shared" si="411"/>
        <v>0.27304090700206396</v>
      </c>
      <c r="M604" s="112">
        <f t="shared" si="411"/>
        <v>0.471822005691794</v>
      </c>
      <c r="N604" s="112"/>
      <c r="O604" s="112" t="e">
        <f t="shared" ref="O604" si="412">(O527*$E$396)/O426</f>
        <v>#DIV/0!</v>
      </c>
      <c r="P604" s="112"/>
      <c r="Q604" s="112" t="e">
        <f t="shared" si="408"/>
        <v>#DIV/0!</v>
      </c>
      <c r="R604" s="112" t="e">
        <f t="shared" si="408"/>
        <v>#DIV/0!</v>
      </c>
      <c r="S604" s="112" t="e">
        <f t="shared" si="408"/>
        <v>#DIV/0!</v>
      </c>
      <c r="T604" s="112" t="e">
        <f t="shared" si="408"/>
        <v>#DIV/0!</v>
      </c>
      <c r="U604" s="112" t="e">
        <f t="shared" si="408"/>
        <v>#DIV/0!</v>
      </c>
      <c r="V604" s="112" t="e">
        <f t="shared" si="408"/>
        <v>#DIV/0!</v>
      </c>
      <c r="W604" s="112" t="e">
        <f t="shared" si="408"/>
        <v>#DIV/0!</v>
      </c>
      <c r="X604" s="112" t="e">
        <f t="shared" si="408"/>
        <v>#DIV/0!</v>
      </c>
      <c r="Y604" s="112" t="e">
        <f t="shared" si="408"/>
        <v>#DIV/0!</v>
      </c>
      <c r="Z604" s="112" t="e">
        <f t="shared" si="408"/>
        <v>#DIV/0!</v>
      </c>
      <c r="AA604" s="112" t="e">
        <f t="shared" si="408"/>
        <v>#DIV/0!</v>
      </c>
      <c r="AB604" s="112" t="e">
        <f t="shared" si="408"/>
        <v>#DIV/0!</v>
      </c>
      <c r="AC604" s="112" t="e">
        <f t="shared" si="408"/>
        <v>#DIV/0!</v>
      </c>
      <c r="AD604" s="112" t="e">
        <f t="shared" si="408"/>
        <v>#DIV/0!</v>
      </c>
      <c r="AE604" s="112" t="e">
        <f t="shared" si="408"/>
        <v>#DIV/0!</v>
      </c>
      <c r="AF604" s="112" t="e">
        <f t="shared" si="408"/>
        <v>#DIV/0!</v>
      </c>
    </row>
    <row r="605" spans="1:37" x14ac:dyDescent="0.2">
      <c r="B605" s="14" t="s">
        <v>670</v>
      </c>
      <c r="F605" s="80">
        <f t="shared" ref="F605:AF605" si="413">F603+F604</f>
        <v>24.208213160118603</v>
      </c>
      <c r="G605" s="80">
        <f t="shared" ref="G605:I605" si="414">G603+G604</f>
        <v>33.857651892909892</v>
      </c>
      <c r="H605" s="80">
        <f t="shared" ref="H605" si="415">H603+H604</f>
        <v>56.745702675372769</v>
      </c>
      <c r="I605" s="80">
        <f t="shared" si="414"/>
        <v>202.7607228256602</v>
      </c>
      <c r="J605" s="80">
        <f t="shared" ref="J605:M605" si="416">J603+J604</f>
        <v>345.55818476670436</v>
      </c>
      <c r="K605" s="80">
        <f t="shared" si="416"/>
        <v>200.77349573518529</v>
      </c>
      <c r="L605" s="80">
        <f t="shared" si="416"/>
        <v>31.393717222071192</v>
      </c>
      <c r="M605" s="80">
        <f t="shared" si="416"/>
        <v>59.661655872197777</v>
      </c>
      <c r="N605" s="80"/>
      <c r="O605" s="80" t="e">
        <f t="shared" ref="O605" si="417">O603+O604</f>
        <v>#DIV/0!</v>
      </c>
      <c r="P605" s="80"/>
      <c r="Q605" s="80" t="e">
        <f t="shared" si="413"/>
        <v>#DIV/0!</v>
      </c>
      <c r="R605" s="80" t="e">
        <f t="shared" si="413"/>
        <v>#DIV/0!</v>
      </c>
      <c r="S605" s="80" t="e">
        <f t="shared" si="413"/>
        <v>#DIV/0!</v>
      </c>
      <c r="T605" s="80" t="e">
        <f t="shared" si="413"/>
        <v>#REF!</v>
      </c>
      <c r="U605" s="80" t="e">
        <f t="shared" si="413"/>
        <v>#REF!</v>
      </c>
      <c r="V605" s="80" t="e">
        <f t="shared" si="413"/>
        <v>#REF!</v>
      </c>
      <c r="W605" s="80" t="e">
        <f t="shared" si="413"/>
        <v>#REF!</v>
      </c>
      <c r="X605" s="80" t="e">
        <f t="shared" si="413"/>
        <v>#REF!</v>
      </c>
      <c r="Y605" s="80" t="e">
        <f t="shared" si="413"/>
        <v>#REF!</v>
      </c>
      <c r="Z605" s="80" t="e">
        <f t="shared" si="413"/>
        <v>#REF!</v>
      </c>
      <c r="AA605" s="80" t="e">
        <f t="shared" si="413"/>
        <v>#REF!</v>
      </c>
      <c r="AB605" s="80" t="e">
        <f t="shared" si="413"/>
        <v>#REF!</v>
      </c>
      <c r="AC605" s="80" t="e">
        <f t="shared" si="413"/>
        <v>#REF!</v>
      </c>
      <c r="AD605" s="80" t="e">
        <f t="shared" si="413"/>
        <v>#REF!</v>
      </c>
      <c r="AE605" s="80" t="e">
        <f t="shared" si="413"/>
        <v>#REF!</v>
      </c>
      <c r="AF605" s="80" t="e">
        <f t="shared" si="413"/>
        <v>#REF!</v>
      </c>
    </row>
    <row r="610" spans="1:37" x14ac:dyDescent="0.2">
      <c r="A610" s="28" t="s">
        <v>696</v>
      </c>
      <c r="C610" s="187">
        <f>C531</f>
        <v>6.0002937715713967E-2</v>
      </c>
      <c r="F610" s="67">
        <f>$C$531</f>
        <v>6.0002937715713967E-2</v>
      </c>
      <c r="G610" s="67">
        <f t="shared" ref="G610:S610" si="418">$C$531</f>
        <v>6.0002937715713967E-2</v>
      </c>
      <c r="H610" s="67">
        <f t="shared" si="418"/>
        <v>6.0002937715713967E-2</v>
      </c>
      <c r="I610" s="67">
        <f t="shared" si="418"/>
        <v>6.0002937715713967E-2</v>
      </c>
      <c r="J610" s="67">
        <f t="shared" si="418"/>
        <v>6.0002937715713967E-2</v>
      </c>
      <c r="K610" s="67">
        <f t="shared" si="418"/>
        <v>6.0002937715713967E-2</v>
      </c>
      <c r="L610" s="67">
        <f>$C$531</f>
        <v>6.0002937715713967E-2</v>
      </c>
      <c r="M610" s="67">
        <f>$C$531</f>
        <v>6.0002937715713967E-2</v>
      </c>
      <c r="N610" s="67"/>
      <c r="O610" s="67">
        <f t="shared" si="418"/>
        <v>6.0002937715713967E-2</v>
      </c>
      <c r="P610" s="67"/>
      <c r="Q610" s="67">
        <f t="shared" si="418"/>
        <v>6.0002937715713967E-2</v>
      </c>
      <c r="R610" s="67">
        <f t="shared" si="418"/>
        <v>6.0002937715713967E-2</v>
      </c>
      <c r="S610" s="67">
        <f t="shared" si="418"/>
        <v>6.0002937715713967E-2</v>
      </c>
      <c r="T610" s="67">
        <v>0.2</v>
      </c>
      <c r="U610" s="67">
        <v>0.2</v>
      </c>
      <c r="V610" s="67">
        <v>0.08</v>
      </c>
      <c r="W610" s="67">
        <v>0.08</v>
      </c>
      <c r="X610" s="67">
        <v>0.2</v>
      </c>
      <c r="Y610" s="67">
        <v>0.08</v>
      </c>
      <c r="Z610" s="67">
        <v>0.08</v>
      </c>
      <c r="AA610" s="67">
        <v>0.08</v>
      </c>
      <c r="AB610" s="67">
        <v>0.08</v>
      </c>
      <c r="AC610" s="67">
        <v>0.08</v>
      </c>
      <c r="AD610" s="67">
        <v>0.08</v>
      </c>
      <c r="AE610" s="67">
        <v>0.08</v>
      </c>
      <c r="AF610" s="67">
        <v>0.08</v>
      </c>
    </row>
    <row r="611" spans="1:37" x14ac:dyDescent="0.2">
      <c r="A611" s="13"/>
    </row>
    <row r="612" spans="1:37" x14ac:dyDescent="0.2">
      <c r="A612" s="13" t="s">
        <v>762</v>
      </c>
    </row>
    <row r="613" spans="1:37" x14ac:dyDescent="0.2">
      <c r="A613" s="14" t="s">
        <v>1016</v>
      </c>
      <c r="F613" s="105">
        <f t="shared" ref="F613" si="419">F562</f>
        <v>2.3257408449763699E-2</v>
      </c>
      <c r="G613" s="105">
        <f t="shared" ref="G613:I613" si="420">G562</f>
        <v>-9.5689098587907768E-3</v>
      </c>
      <c r="H613" s="48">
        <f t="shared" ref="H613" si="421">H562</f>
        <v>4.2504340573710016</v>
      </c>
      <c r="I613" s="48">
        <f t="shared" si="420"/>
        <v>7.3338472884661341</v>
      </c>
      <c r="J613" s="48">
        <f t="shared" ref="J613:M613" si="422">J562</f>
        <v>7.6585295557532014</v>
      </c>
      <c r="K613" s="48">
        <f t="shared" si="422"/>
        <v>7.1164068915768413</v>
      </c>
      <c r="L613" s="105">
        <f t="shared" si="422"/>
        <v>1.1312110411621348E-2</v>
      </c>
      <c r="M613" s="105">
        <f t="shared" si="422"/>
        <v>1.3789757550916189E-2</v>
      </c>
      <c r="N613" s="105"/>
      <c r="O613" s="105" t="e">
        <f t="shared" ref="O613" si="423">O562</f>
        <v>#DIV/0!</v>
      </c>
      <c r="P613" s="105"/>
      <c r="Q613" s="105" t="e">
        <f t="shared" ref="Q613" si="424">Q562</f>
        <v>#DIV/0!</v>
      </c>
      <c r="R613" s="48" t="e">
        <f>R562</f>
        <v>#DIV/0!</v>
      </c>
      <c r="S613" s="105" t="e">
        <f t="shared" ref="S613:AF613" si="425">S587</f>
        <v>#DIV/0!</v>
      </c>
      <c r="T613" s="105">
        <f t="shared" si="425"/>
        <v>0</v>
      </c>
      <c r="U613" s="105" t="e">
        <f t="shared" si="425"/>
        <v>#DIV/0!</v>
      </c>
      <c r="V613" s="105" t="e">
        <f t="shared" si="425"/>
        <v>#DIV/0!</v>
      </c>
      <c r="W613" s="105" t="e">
        <f t="shared" si="425"/>
        <v>#DIV/0!</v>
      </c>
      <c r="X613" s="105" t="e">
        <f t="shared" si="425"/>
        <v>#DIV/0!</v>
      </c>
      <c r="Y613" s="105" t="e">
        <f t="shared" si="425"/>
        <v>#DIV/0!</v>
      </c>
      <c r="Z613" s="105">
        <f t="shared" si="425"/>
        <v>0</v>
      </c>
      <c r="AA613" s="105">
        <f t="shared" si="425"/>
        <v>0</v>
      </c>
      <c r="AB613" s="105">
        <f t="shared" si="425"/>
        <v>0</v>
      </c>
      <c r="AC613" s="105">
        <f t="shared" si="425"/>
        <v>0</v>
      </c>
      <c r="AD613" s="105">
        <f t="shared" si="425"/>
        <v>0</v>
      </c>
      <c r="AE613" s="105">
        <f t="shared" si="425"/>
        <v>0</v>
      </c>
      <c r="AF613" s="105" t="e">
        <f t="shared" si="425"/>
        <v>#REF!</v>
      </c>
    </row>
    <row r="614" spans="1:37" x14ac:dyDescent="0.2">
      <c r="A614" s="14" t="s">
        <v>1017</v>
      </c>
      <c r="D614" s="105"/>
      <c r="F614" s="105">
        <f>(F523*$C$531)/F$423</f>
        <v>0</v>
      </c>
      <c r="G614" s="105">
        <f>(G523*$C$531)/G$423</f>
        <v>0</v>
      </c>
      <c r="H614" s="48">
        <f>(H523*$C$531)/H$438</f>
        <v>0</v>
      </c>
      <c r="I614" s="48">
        <f>(I523*$C$531)/I$438</f>
        <v>0</v>
      </c>
      <c r="J614" s="48">
        <f>(J523*$C$531)/J$438</f>
        <v>0</v>
      </c>
      <c r="K614" s="48">
        <f>(K523*$C$531)/K$438</f>
        <v>0</v>
      </c>
      <c r="L614" s="105">
        <f>(L523*$C$531)/L$423</f>
        <v>0</v>
      </c>
      <c r="M614" s="105">
        <f>(M523*$C$531)/M$423</f>
        <v>0</v>
      </c>
      <c r="N614" s="105"/>
      <c r="O614" s="105" t="e">
        <f>(O523*$C$531)/O$423</f>
        <v>#DIV/0!</v>
      </c>
      <c r="P614" s="105"/>
      <c r="Q614" s="105" t="e">
        <f>(Q523*$C$531)/Q$423</f>
        <v>#DIV/0!</v>
      </c>
      <c r="R614" s="48" t="e">
        <f>(R523*$C$531)/R$438</f>
        <v>#DIV/0!</v>
      </c>
      <c r="S614" s="105" t="e">
        <f t="shared" ref="S614:AF614" si="426">S588</f>
        <v>#DIV/0!</v>
      </c>
      <c r="T614" s="105" t="e">
        <f t="shared" si="426"/>
        <v>#DIV/0!</v>
      </c>
      <c r="U614" s="105" t="e">
        <f t="shared" si="426"/>
        <v>#DIV/0!</v>
      </c>
      <c r="V614" s="105" t="e">
        <f t="shared" si="426"/>
        <v>#DIV/0!</v>
      </c>
      <c r="W614" s="105" t="e">
        <f t="shared" si="426"/>
        <v>#DIV/0!</v>
      </c>
      <c r="X614" s="105" t="e">
        <f t="shared" si="426"/>
        <v>#DIV/0!</v>
      </c>
      <c r="Y614" s="105" t="e">
        <f t="shared" si="426"/>
        <v>#DIV/0!</v>
      </c>
      <c r="Z614" s="105" t="e">
        <f t="shared" si="426"/>
        <v>#DIV/0!</v>
      </c>
      <c r="AA614" s="105" t="e">
        <f t="shared" si="426"/>
        <v>#DIV/0!</v>
      </c>
      <c r="AB614" s="105" t="e">
        <f t="shared" si="426"/>
        <v>#DIV/0!</v>
      </c>
      <c r="AC614" s="105" t="e">
        <f t="shared" si="426"/>
        <v>#DIV/0!</v>
      </c>
      <c r="AD614" s="105" t="e">
        <f t="shared" si="426"/>
        <v>#DIV/0!</v>
      </c>
      <c r="AE614" s="105">
        <f t="shared" si="426"/>
        <v>0</v>
      </c>
      <c r="AF614" s="105" t="e">
        <f t="shared" si="426"/>
        <v>#REF!</v>
      </c>
    </row>
    <row r="615" spans="1:37" x14ac:dyDescent="0.2">
      <c r="A615" s="14" t="s">
        <v>898</v>
      </c>
      <c r="F615" s="105">
        <f t="shared" ref="F615" si="427">F564</f>
        <v>4.7058587158292309E-2</v>
      </c>
      <c r="G615" s="105">
        <f t="shared" ref="G615:I615" si="428">G564</f>
        <v>4.4604472082777444E-2</v>
      </c>
      <c r="H615" s="105">
        <f t="shared" ref="H615" si="429">H564</f>
        <v>5.332751622254589E-2</v>
      </c>
      <c r="I615" s="105">
        <f t="shared" si="428"/>
        <v>4.7255945010913625E-2</v>
      </c>
      <c r="J615" s="105">
        <f t="shared" ref="J615:M615" si="430">J564</f>
        <v>3.7525596398148481E-2</v>
      </c>
      <c r="K615" s="105">
        <f t="shared" si="430"/>
        <v>3.7914400241850318E-2</v>
      </c>
      <c r="L615" s="105">
        <f t="shared" si="430"/>
        <v>4.6448189558202013E-2</v>
      </c>
      <c r="M615" s="105">
        <f t="shared" si="430"/>
        <v>4.8750375438600162E-2</v>
      </c>
      <c r="N615" s="105"/>
      <c r="O615" s="105" t="e">
        <f t="shared" ref="O615" si="431">O564</f>
        <v>#DIV/0!</v>
      </c>
      <c r="P615" s="105"/>
      <c r="Q615" s="105" t="e">
        <f t="shared" ref="Q615" si="432">Q564</f>
        <v>#DIV/0!</v>
      </c>
      <c r="R615" s="105" t="e">
        <f>R564</f>
        <v>#DIV/0!</v>
      </c>
      <c r="S615" s="105">
        <f>S595</f>
        <v>0</v>
      </c>
      <c r="T615" s="105" t="e">
        <f>#REF!</f>
        <v>#REF!</v>
      </c>
      <c r="U615" s="105" t="e">
        <f>#REF!</f>
        <v>#REF!</v>
      </c>
      <c r="V615" s="105" t="e">
        <f>#REF!</f>
        <v>#REF!</v>
      </c>
      <c r="W615" s="105" t="e">
        <f>#REF!</f>
        <v>#REF!</v>
      </c>
      <c r="X615" s="105" t="e">
        <f>#REF!</f>
        <v>#REF!</v>
      </c>
      <c r="Y615" s="105" t="e">
        <f>#REF!</f>
        <v>#REF!</v>
      </c>
      <c r="Z615" s="105" t="e">
        <f>#REF!</f>
        <v>#REF!</v>
      </c>
      <c r="AA615" s="105" t="e">
        <f>#REF!</f>
        <v>#REF!</v>
      </c>
      <c r="AB615" s="105" t="e">
        <f>#REF!</f>
        <v>#REF!</v>
      </c>
      <c r="AC615" s="105" t="e">
        <f>#REF!</f>
        <v>#REF!</v>
      </c>
      <c r="AD615" s="105" t="e">
        <f>#REF!</f>
        <v>#REF!</v>
      </c>
      <c r="AE615" s="105" t="e">
        <f>#REF!</f>
        <v>#REF!</v>
      </c>
      <c r="AF615" s="105" t="e">
        <f>#REF!</f>
        <v>#REF!</v>
      </c>
    </row>
    <row r="616" spans="1:37" x14ac:dyDescent="0.2">
      <c r="A616" s="14" t="s">
        <v>899</v>
      </c>
      <c r="D616" s="105"/>
      <c r="F616" s="105">
        <f t="shared" ref="F616:R616" si="433">(F524*$C$531)/F$423</f>
        <v>0</v>
      </c>
      <c r="G616" s="105">
        <f t="shared" ref="G616:I616" si="434">(G524*$C$531)/G$423</f>
        <v>0</v>
      </c>
      <c r="H616" s="105">
        <f t="shared" ref="H616" si="435">(H524*$C$531)/H$423</f>
        <v>0</v>
      </c>
      <c r="I616" s="105">
        <f t="shared" si="434"/>
        <v>0</v>
      </c>
      <c r="J616" s="105">
        <f t="shared" ref="J616:M616" si="436">(J524*$C$531)/J$423</f>
        <v>0</v>
      </c>
      <c r="K616" s="105">
        <f t="shared" si="436"/>
        <v>0</v>
      </c>
      <c r="L616" s="105">
        <f t="shared" si="436"/>
        <v>0</v>
      </c>
      <c r="M616" s="105">
        <f t="shared" si="436"/>
        <v>0</v>
      </c>
      <c r="N616" s="105"/>
      <c r="O616" s="105" t="e">
        <f t="shared" ref="O616" si="437">(O524*$C$531)/O$423</f>
        <v>#DIV/0!</v>
      </c>
      <c r="P616" s="105"/>
      <c r="Q616" s="105" t="e">
        <f t="shared" si="433"/>
        <v>#DIV/0!</v>
      </c>
      <c r="R616" s="105" t="e">
        <f t="shared" si="433"/>
        <v>#DIV/0!</v>
      </c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</row>
    <row r="617" spans="1:37" x14ac:dyDescent="0.2">
      <c r="E617" s="252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</row>
    <row r="618" spans="1:37" x14ac:dyDescent="0.2">
      <c r="A618" s="13" t="s">
        <v>892</v>
      </c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</row>
    <row r="619" spans="1:37" x14ac:dyDescent="0.2">
      <c r="A619" s="14" t="s">
        <v>1018</v>
      </c>
      <c r="F619" s="105">
        <f t="shared" ref="F619" si="438">F568</f>
        <v>0</v>
      </c>
      <c r="G619" s="105">
        <f t="shared" ref="G619:I619" si="439">G568</f>
        <v>0</v>
      </c>
      <c r="H619" s="48">
        <f t="shared" ref="H619" si="440">H568</f>
        <v>0</v>
      </c>
      <c r="I619" s="48">
        <f t="shared" si="439"/>
        <v>0</v>
      </c>
      <c r="J619" s="48">
        <f t="shared" ref="J619:M619" si="441">J568</f>
        <v>0</v>
      </c>
      <c r="K619" s="48">
        <f t="shared" si="441"/>
        <v>0</v>
      </c>
      <c r="L619" s="105">
        <f t="shared" si="441"/>
        <v>0</v>
      </c>
      <c r="M619" s="105">
        <f t="shared" si="441"/>
        <v>0</v>
      </c>
      <c r="N619" s="105"/>
      <c r="O619" s="105" t="e">
        <f t="shared" ref="O619" si="442">O568</f>
        <v>#DIV/0!</v>
      </c>
      <c r="P619" s="105"/>
      <c r="Q619" s="105" t="e">
        <f t="shared" ref="Q619" si="443">Q568</f>
        <v>#DIV/0!</v>
      </c>
      <c r="R619" s="48" t="e">
        <f>R568</f>
        <v>#DIV/0!</v>
      </c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</row>
    <row r="620" spans="1:37" s="75" customFormat="1" ht="15" x14ac:dyDescent="0.35">
      <c r="A620" s="75" t="s">
        <v>1019</v>
      </c>
      <c r="D620" s="105"/>
      <c r="E620" s="255"/>
      <c r="F620" s="111">
        <f>(F525*$C$531)/F$423</f>
        <v>0</v>
      </c>
      <c r="G620" s="111">
        <f>(G525*$C$531)/G$423</f>
        <v>0</v>
      </c>
      <c r="H620" s="112">
        <f>(H525*$C$531)/H$438</f>
        <v>0</v>
      </c>
      <c r="I620" s="112">
        <f>(I525*$C$531)/I$438</f>
        <v>0</v>
      </c>
      <c r="J620" s="112">
        <f>(J525*$C$531)/J$438</f>
        <v>0</v>
      </c>
      <c r="K620" s="112">
        <f>(K525*$C$531)/K$438</f>
        <v>0</v>
      </c>
      <c r="L620" s="111">
        <f>(L525*$C$531)/L$423</f>
        <v>0</v>
      </c>
      <c r="M620" s="111">
        <f>(M525*$C$531)/M$423</f>
        <v>0</v>
      </c>
      <c r="N620" s="111"/>
      <c r="O620" s="111" t="e">
        <f>(O525*$C$531)/O$423</f>
        <v>#DIV/0!</v>
      </c>
      <c r="P620" s="111"/>
      <c r="Q620" s="111" t="e">
        <f>(Q525*$C$531)/Q$423</f>
        <v>#DIV/0!</v>
      </c>
      <c r="R620" s="112" t="e">
        <f>(R525*$C$531)/R$438</f>
        <v>#DIV/0!</v>
      </c>
      <c r="AK620" s="81"/>
    </row>
    <row r="621" spans="1:37" x14ac:dyDescent="0.2">
      <c r="B621" s="14" t="s">
        <v>1020</v>
      </c>
      <c r="F621" s="105">
        <f>F619+F620</f>
        <v>0</v>
      </c>
      <c r="G621" s="105">
        <f>G619+G620</f>
        <v>0</v>
      </c>
      <c r="H621" s="48">
        <f t="shared" ref="H621" si="444">H619+H620</f>
        <v>0</v>
      </c>
      <c r="I621" s="48">
        <f t="shared" ref="I621" si="445">I619+I620</f>
        <v>0</v>
      </c>
      <c r="J621" s="48">
        <f t="shared" ref="J621:K621" si="446">J619+J620</f>
        <v>0</v>
      </c>
      <c r="K621" s="48">
        <f t="shared" si="446"/>
        <v>0</v>
      </c>
      <c r="L621" s="105">
        <f>L619+L620</f>
        <v>0</v>
      </c>
      <c r="M621" s="105">
        <f>M619+M620</f>
        <v>0</v>
      </c>
      <c r="N621" s="105"/>
      <c r="O621" s="105" t="e">
        <f>O619+O620</f>
        <v>#DIV/0!</v>
      </c>
      <c r="P621" s="105"/>
      <c r="Q621" s="105" t="e">
        <f t="shared" ref="Q621:R621" si="447">Q619+Q620</f>
        <v>#DIV/0!</v>
      </c>
      <c r="R621" s="48" t="e">
        <f t="shared" si="447"/>
        <v>#DIV/0!</v>
      </c>
    </row>
    <row r="622" spans="1:37" x14ac:dyDescent="0.2"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</row>
    <row r="623" spans="1:37" x14ac:dyDescent="0.2">
      <c r="A623" s="13" t="s">
        <v>666</v>
      </c>
      <c r="P623" s="48"/>
    </row>
    <row r="624" spans="1:37" x14ac:dyDescent="0.2">
      <c r="A624" s="14" t="s">
        <v>1021</v>
      </c>
      <c r="F624" s="105">
        <f>F573</f>
        <v>2.3062435789012795E-2</v>
      </c>
      <c r="G624" s="105">
        <f>G573</f>
        <v>1.7926277947092742E-2</v>
      </c>
      <c r="H624" s="48">
        <f t="shared" ref="H624" si="448">H598</f>
        <v>2.9668225259085124</v>
      </c>
      <c r="I624" s="48">
        <f t="shared" ref="I624" si="449">I598</f>
        <v>2.9547960530485557</v>
      </c>
      <c r="J624" s="48">
        <f t="shared" ref="J624:K624" si="450">J598</f>
        <v>2.9617653844927578</v>
      </c>
      <c r="K624" s="48">
        <f t="shared" si="450"/>
        <v>2.9742155920729823</v>
      </c>
      <c r="L624" s="105">
        <f>L573</f>
        <v>1.6729662692408078E-2</v>
      </c>
      <c r="M624" s="105">
        <f>M573</f>
        <v>1.3393458308133384E-2</v>
      </c>
      <c r="N624" s="105"/>
      <c r="O624" s="105" t="e">
        <f>O573</f>
        <v>#DIV/0!</v>
      </c>
      <c r="P624" s="105"/>
      <c r="Q624" s="105" t="e">
        <f t="shared" ref="Q624:AE624" si="451">Q598</f>
        <v>#DIV/0!</v>
      </c>
      <c r="R624" s="48" t="e">
        <f t="shared" si="451"/>
        <v>#DIV/0!</v>
      </c>
      <c r="S624" s="105" t="e">
        <f t="shared" si="451"/>
        <v>#DIV/0!</v>
      </c>
      <c r="T624" s="105" t="e">
        <f t="shared" si="451"/>
        <v>#REF!</v>
      </c>
      <c r="U624" s="105" t="e">
        <f t="shared" si="451"/>
        <v>#REF!</v>
      </c>
      <c r="V624" s="105" t="e">
        <f t="shared" si="451"/>
        <v>#REF!</v>
      </c>
      <c r="W624" s="105" t="e">
        <f t="shared" si="451"/>
        <v>#REF!</v>
      </c>
      <c r="X624" s="105" t="e">
        <f t="shared" si="451"/>
        <v>#REF!</v>
      </c>
      <c r="Y624" s="105" t="e">
        <f t="shared" si="451"/>
        <v>#REF!</v>
      </c>
      <c r="Z624" s="105" t="e">
        <f t="shared" si="451"/>
        <v>#REF!</v>
      </c>
      <c r="AA624" s="105" t="e">
        <f t="shared" si="451"/>
        <v>#REF!</v>
      </c>
      <c r="AB624" s="105" t="e">
        <f t="shared" si="451"/>
        <v>#REF!</v>
      </c>
      <c r="AC624" s="105" t="e">
        <f t="shared" si="451"/>
        <v>#REF!</v>
      </c>
      <c r="AD624" s="105" t="e">
        <f t="shared" si="451"/>
        <v>#REF!</v>
      </c>
      <c r="AE624" s="105" t="e">
        <f t="shared" si="451"/>
        <v>#REF!</v>
      </c>
      <c r="AF624" s="105">
        <f>AF546</f>
        <v>0</v>
      </c>
    </row>
    <row r="625" spans="1:32" ht="15" x14ac:dyDescent="0.35">
      <c r="A625" s="75" t="s">
        <v>1022</v>
      </c>
      <c r="D625" s="105"/>
      <c r="F625" s="111">
        <f>(F526*F610)/F423</f>
        <v>6.7822551785110341E-3</v>
      </c>
      <c r="G625" s="111">
        <f>(G526*G610)/G423</f>
        <v>5.2580689064371513E-3</v>
      </c>
      <c r="H625" s="112">
        <f>(H526*H610)/H438</f>
        <v>0.89117655135135798</v>
      </c>
      <c r="I625" s="112">
        <f>(I526*I610)/I438</f>
        <v>0.89159025383176715</v>
      </c>
      <c r="J625" s="112">
        <f>(J526*J610)/J438</f>
        <v>0.89291001272757464</v>
      </c>
      <c r="K625" s="112">
        <f>(K526*K610)/K438</f>
        <v>0.89498408691110454</v>
      </c>
      <c r="L625" s="111">
        <f>(L526*L610)/L423</f>
        <v>5.0133329751326228E-3</v>
      </c>
      <c r="M625" s="111">
        <f>(M526*M610)/M423</f>
        <v>4.0282232623695758E-3</v>
      </c>
      <c r="N625" s="111"/>
      <c r="O625" s="111" t="e">
        <f>(O526*O610)/O423</f>
        <v>#DIV/0!</v>
      </c>
      <c r="P625" s="111"/>
      <c r="Q625" s="111" t="e">
        <f>(Q526*Q610)/Q423</f>
        <v>#DIV/0!</v>
      </c>
      <c r="R625" s="112" t="e">
        <f>(R526*R610)/R438</f>
        <v>#DIV/0!</v>
      </c>
      <c r="S625" s="111" t="e">
        <f t="shared" ref="S625:AF625" si="452">(S526*S610)/S423</f>
        <v>#DIV/0!</v>
      </c>
      <c r="T625" s="111" t="e">
        <f t="shared" si="452"/>
        <v>#DIV/0!</v>
      </c>
      <c r="U625" s="111" t="e">
        <f t="shared" si="452"/>
        <v>#DIV/0!</v>
      </c>
      <c r="V625" s="111" t="e">
        <f t="shared" si="452"/>
        <v>#DIV/0!</v>
      </c>
      <c r="W625" s="111" t="e">
        <f t="shared" si="452"/>
        <v>#DIV/0!</v>
      </c>
      <c r="X625" s="111" t="e">
        <f t="shared" si="452"/>
        <v>#DIV/0!</v>
      </c>
      <c r="Y625" s="111" t="e">
        <f t="shared" si="452"/>
        <v>#DIV/0!</v>
      </c>
      <c r="Z625" s="111" t="e">
        <f t="shared" si="452"/>
        <v>#DIV/0!</v>
      </c>
      <c r="AA625" s="111" t="e">
        <f t="shared" si="452"/>
        <v>#DIV/0!</v>
      </c>
      <c r="AB625" s="111" t="e">
        <f t="shared" si="452"/>
        <v>#DIV/0!</v>
      </c>
      <c r="AC625" s="111" t="e">
        <f t="shared" si="452"/>
        <v>#DIV/0!</v>
      </c>
      <c r="AD625" s="111" t="e">
        <f t="shared" si="452"/>
        <v>#DIV/0!</v>
      </c>
      <c r="AE625" s="111" t="e">
        <f t="shared" si="452"/>
        <v>#DIV/0!</v>
      </c>
      <c r="AF625" s="111" t="e">
        <f t="shared" si="452"/>
        <v>#DIV/0!</v>
      </c>
    </row>
    <row r="626" spans="1:32" x14ac:dyDescent="0.2">
      <c r="B626" s="14" t="s">
        <v>1023</v>
      </c>
      <c r="F626" s="105">
        <f t="shared" ref="F626:AF626" si="453">F624+F625</f>
        <v>2.9844690967523829E-2</v>
      </c>
      <c r="G626" s="105">
        <f t="shared" ref="G626" si="454">G624+G625</f>
        <v>2.3184346853529894E-2</v>
      </c>
      <c r="H626" s="48">
        <f>H624+H625</f>
        <v>3.8579990772598705</v>
      </c>
      <c r="I626" s="48">
        <f>I624+I625</f>
        <v>3.8463863068803228</v>
      </c>
      <c r="J626" s="48">
        <f>J624+J625</f>
        <v>3.8546753972203325</v>
      </c>
      <c r="K626" s="48">
        <f>K624+K625</f>
        <v>3.8691996789840868</v>
      </c>
      <c r="L626" s="105">
        <f t="shared" ref="L626:M626" si="455">L624+L625</f>
        <v>2.1742995667540701E-2</v>
      </c>
      <c r="M626" s="105">
        <f t="shared" si="455"/>
        <v>1.7421681570502959E-2</v>
      </c>
      <c r="N626" s="105"/>
      <c r="O626" s="105" t="e">
        <f t="shared" ref="O626" si="456">O624+O625</f>
        <v>#DIV/0!</v>
      </c>
      <c r="P626" s="48"/>
      <c r="Q626" s="105" t="e">
        <f t="shared" si="453"/>
        <v>#DIV/0!</v>
      </c>
      <c r="R626" s="48" t="e">
        <f>R624+R625</f>
        <v>#DIV/0!</v>
      </c>
      <c r="S626" s="105" t="e">
        <f t="shared" si="453"/>
        <v>#DIV/0!</v>
      </c>
      <c r="T626" s="105" t="e">
        <f t="shared" si="453"/>
        <v>#REF!</v>
      </c>
      <c r="U626" s="105" t="e">
        <f t="shared" si="453"/>
        <v>#REF!</v>
      </c>
      <c r="V626" s="105" t="e">
        <f t="shared" si="453"/>
        <v>#REF!</v>
      </c>
      <c r="W626" s="105" t="e">
        <f t="shared" si="453"/>
        <v>#REF!</v>
      </c>
      <c r="X626" s="105" t="e">
        <f t="shared" si="453"/>
        <v>#REF!</v>
      </c>
      <c r="Y626" s="105" t="e">
        <f t="shared" si="453"/>
        <v>#REF!</v>
      </c>
      <c r="Z626" s="105" t="e">
        <f t="shared" si="453"/>
        <v>#REF!</v>
      </c>
      <c r="AA626" s="105" t="e">
        <f t="shared" si="453"/>
        <v>#REF!</v>
      </c>
      <c r="AB626" s="105" t="e">
        <f t="shared" si="453"/>
        <v>#REF!</v>
      </c>
      <c r="AC626" s="105" t="e">
        <f t="shared" si="453"/>
        <v>#REF!</v>
      </c>
      <c r="AD626" s="105" t="e">
        <f t="shared" si="453"/>
        <v>#REF!</v>
      </c>
      <c r="AE626" s="105" t="e">
        <f t="shared" si="453"/>
        <v>#REF!</v>
      </c>
      <c r="AF626" s="105" t="e">
        <f t="shared" si="453"/>
        <v>#DIV/0!</v>
      </c>
    </row>
    <row r="628" spans="1:32" x14ac:dyDescent="0.2">
      <c r="A628" s="13" t="s">
        <v>667</v>
      </c>
    </row>
    <row r="629" spans="1:32" x14ac:dyDescent="0.2">
      <c r="A629" s="14" t="s">
        <v>668</v>
      </c>
      <c r="F629" s="80">
        <f t="shared" ref="F629:AE629" si="457">F603</f>
        <v>23.974495460979597</v>
      </c>
      <c r="G629" s="80">
        <f t="shared" ref="G629:I629" si="458">G603</f>
        <v>33.531212019941172</v>
      </c>
      <c r="H629" s="80">
        <f t="shared" ref="H629" si="459">H603</f>
        <v>56.208938743965206</v>
      </c>
      <c r="I629" s="80">
        <f t="shared" si="458"/>
        <v>201.22200901129364</v>
      </c>
      <c r="J629" s="80">
        <f t="shared" ref="J629:M629" si="460">J603</f>
        <v>343.98626607034385</v>
      </c>
      <c r="K629" s="80">
        <f t="shared" si="460"/>
        <v>199.2997238465345</v>
      </c>
      <c r="L629" s="80">
        <f t="shared" si="460"/>
        <v>31.120676315069129</v>
      </c>
      <c r="M629" s="80">
        <f t="shared" si="460"/>
        <v>59.189833866505985</v>
      </c>
      <c r="N629" s="80"/>
      <c r="O629" s="80" t="e">
        <f t="shared" ref="O629" si="461">O603</f>
        <v>#DIV/0!</v>
      </c>
      <c r="P629" s="80"/>
      <c r="Q629" s="80" t="e">
        <f t="shared" si="457"/>
        <v>#DIV/0!</v>
      </c>
      <c r="R629" s="80" t="e">
        <f t="shared" si="457"/>
        <v>#DIV/0!</v>
      </c>
      <c r="S629" s="80" t="e">
        <f t="shared" si="457"/>
        <v>#DIV/0!</v>
      </c>
      <c r="T629" s="80" t="e">
        <f t="shared" si="457"/>
        <v>#REF!</v>
      </c>
      <c r="U629" s="80" t="e">
        <f t="shared" si="457"/>
        <v>#REF!</v>
      </c>
      <c r="V629" s="80" t="e">
        <f t="shared" si="457"/>
        <v>#REF!</v>
      </c>
      <c r="W629" s="80" t="e">
        <f t="shared" si="457"/>
        <v>#REF!</v>
      </c>
      <c r="X629" s="80" t="e">
        <f t="shared" si="457"/>
        <v>#REF!</v>
      </c>
      <c r="Y629" s="80" t="e">
        <f t="shared" si="457"/>
        <v>#REF!</v>
      </c>
      <c r="Z629" s="80" t="e">
        <f t="shared" si="457"/>
        <v>#REF!</v>
      </c>
      <c r="AA629" s="80" t="e">
        <f t="shared" si="457"/>
        <v>#REF!</v>
      </c>
      <c r="AB629" s="80" t="e">
        <f t="shared" si="457"/>
        <v>#REF!</v>
      </c>
      <c r="AC629" s="80" t="e">
        <f t="shared" si="457"/>
        <v>#REF!</v>
      </c>
      <c r="AD629" s="80" t="e">
        <f t="shared" si="457"/>
        <v>#REF!</v>
      </c>
      <c r="AE629" s="80" t="e">
        <f t="shared" si="457"/>
        <v>#REF!</v>
      </c>
      <c r="AF629" s="80">
        <f>AF547</f>
        <v>0</v>
      </c>
    </row>
    <row r="630" spans="1:32" ht="15" x14ac:dyDescent="0.35">
      <c r="A630" s="14" t="s">
        <v>669</v>
      </c>
      <c r="D630" s="48"/>
      <c r="F630" s="112">
        <f t="shared" ref="F630:AF630" si="462">(F527*F$610)/F426</f>
        <v>6.9312689832087679</v>
      </c>
      <c r="G630" s="112">
        <f t="shared" ref="G630:I630" si="463">(G527*G$610)/G426</f>
        <v>9.6810920812846692</v>
      </c>
      <c r="H630" s="112">
        <f t="shared" ref="H630" si="464">(H527*H$610)/H426</f>
        <v>15.918585553324611</v>
      </c>
      <c r="I630" s="112">
        <f t="shared" si="463"/>
        <v>45.632998163354863</v>
      </c>
      <c r="J630" s="112">
        <f t="shared" ref="J630:M630" si="465">(J527*J$610)/J426</f>
        <v>46.617741593157739</v>
      </c>
      <c r="K630" s="112">
        <f t="shared" si="465"/>
        <v>43.707042375317457</v>
      </c>
      <c r="L630" s="112">
        <f t="shared" si="465"/>
        <v>8.0974610687272204</v>
      </c>
      <c r="M630" s="112">
        <f t="shared" si="465"/>
        <v>13.992629765287205</v>
      </c>
      <c r="N630" s="112"/>
      <c r="O630" s="112" t="e">
        <f t="shared" ref="O630" si="466">(O527*O$610)/O426</f>
        <v>#DIV/0!</v>
      </c>
      <c r="P630" s="112"/>
      <c r="Q630" s="112" t="e">
        <f t="shared" si="462"/>
        <v>#DIV/0!</v>
      </c>
      <c r="R630" s="112" t="e">
        <f t="shared" si="462"/>
        <v>#DIV/0!</v>
      </c>
      <c r="S630" s="112" t="e">
        <f t="shared" si="462"/>
        <v>#DIV/0!</v>
      </c>
      <c r="T630" s="112" t="e">
        <f t="shared" si="462"/>
        <v>#DIV/0!</v>
      </c>
      <c r="U630" s="112" t="e">
        <f t="shared" si="462"/>
        <v>#DIV/0!</v>
      </c>
      <c r="V630" s="112" t="e">
        <f t="shared" si="462"/>
        <v>#DIV/0!</v>
      </c>
      <c r="W630" s="112" t="e">
        <f t="shared" si="462"/>
        <v>#DIV/0!</v>
      </c>
      <c r="X630" s="112" t="e">
        <f t="shared" si="462"/>
        <v>#DIV/0!</v>
      </c>
      <c r="Y630" s="112" t="e">
        <f t="shared" si="462"/>
        <v>#DIV/0!</v>
      </c>
      <c r="Z630" s="112" t="e">
        <f t="shared" si="462"/>
        <v>#DIV/0!</v>
      </c>
      <c r="AA630" s="112" t="e">
        <f t="shared" si="462"/>
        <v>#DIV/0!</v>
      </c>
      <c r="AB630" s="112" t="e">
        <f t="shared" si="462"/>
        <v>#DIV/0!</v>
      </c>
      <c r="AC630" s="112" t="e">
        <f t="shared" si="462"/>
        <v>#DIV/0!</v>
      </c>
      <c r="AD630" s="112" t="e">
        <f t="shared" si="462"/>
        <v>#DIV/0!</v>
      </c>
      <c r="AE630" s="112" t="e">
        <f t="shared" si="462"/>
        <v>#DIV/0!</v>
      </c>
      <c r="AF630" s="112" t="e">
        <f t="shared" si="462"/>
        <v>#DIV/0!</v>
      </c>
    </row>
    <row r="631" spans="1:32" x14ac:dyDescent="0.2">
      <c r="B631" s="14" t="s">
        <v>670</v>
      </c>
      <c r="F631" s="80">
        <f t="shared" ref="F631:AF631" si="467">F629+F630</f>
        <v>30.905764444188364</v>
      </c>
      <c r="G631" s="80">
        <f t="shared" ref="G631:I631" si="468">G629+G630</f>
        <v>43.21230410122584</v>
      </c>
      <c r="H631" s="80">
        <f t="shared" ref="H631" si="469">H629+H630</f>
        <v>72.127524297289824</v>
      </c>
      <c r="I631" s="80">
        <f t="shared" si="468"/>
        <v>246.85500717464851</v>
      </c>
      <c r="J631" s="80">
        <f t="shared" ref="J631:M631" si="470">J629+J630</f>
        <v>390.60400766350159</v>
      </c>
      <c r="K631" s="80">
        <f t="shared" si="470"/>
        <v>243.00676622185196</v>
      </c>
      <c r="L631" s="80">
        <f t="shared" si="470"/>
        <v>39.218137383796346</v>
      </c>
      <c r="M631" s="80">
        <f t="shared" si="470"/>
        <v>73.182463631793183</v>
      </c>
      <c r="N631" s="80"/>
      <c r="O631" s="80" t="e">
        <f t="shared" ref="O631" si="471">O629+O630</f>
        <v>#DIV/0!</v>
      </c>
      <c r="P631" s="80"/>
      <c r="Q631" s="80" t="e">
        <f t="shared" si="467"/>
        <v>#DIV/0!</v>
      </c>
      <c r="R631" s="80" t="e">
        <f t="shared" si="467"/>
        <v>#DIV/0!</v>
      </c>
      <c r="S631" s="80" t="e">
        <f t="shared" si="467"/>
        <v>#DIV/0!</v>
      </c>
      <c r="T631" s="80" t="e">
        <f t="shared" si="467"/>
        <v>#REF!</v>
      </c>
      <c r="U631" s="80" t="e">
        <f t="shared" si="467"/>
        <v>#REF!</v>
      </c>
      <c r="V631" s="80" t="e">
        <f t="shared" si="467"/>
        <v>#REF!</v>
      </c>
      <c r="W631" s="80" t="e">
        <f t="shared" si="467"/>
        <v>#REF!</v>
      </c>
      <c r="X631" s="80" t="e">
        <f t="shared" si="467"/>
        <v>#REF!</v>
      </c>
      <c r="Y631" s="80" t="e">
        <f t="shared" si="467"/>
        <v>#REF!</v>
      </c>
      <c r="Z631" s="80" t="e">
        <f t="shared" si="467"/>
        <v>#REF!</v>
      </c>
      <c r="AA631" s="80" t="e">
        <f t="shared" si="467"/>
        <v>#REF!</v>
      </c>
      <c r="AB631" s="80" t="e">
        <f t="shared" si="467"/>
        <v>#REF!</v>
      </c>
      <c r="AC631" s="80" t="e">
        <f t="shared" si="467"/>
        <v>#REF!</v>
      </c>
      <c r="AD631" s="80" t="e">
        <f t="shared" si="467"/>
        <v>#REF!</v>
      </c>
      <c r="AE631" s="80" t="e">
        <f t="shared" si="467"/>
        <v>#REF!</v>
      </c>
      <c r="AF631" s="80" t="e">
        <f t="shared" si="467"/>
        <v>#DIV/0!</v>
      </c>
    </row>
    <row r="632" spans="1:32" x14ac:dyDescent="0.2"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  <c r="AC632" s="80"/>
      <c r="AD632" s="80"/>
      <c r="AE632" s="80"/>
      <c r="AF632" s="80"/>
    </row>
    <row r="635" spans="1:32" x14ac:dyDescent="0.2">
      <c r="A635" s="28" t="s">
        <v>876</v>
      </c>
      <c r="F635" s="115"/>
      <c r="L635" s="115"/>
      <c r="M635" s="115"/>
      <c r="Q635" s="80"/>
      <c r="R635" s="80"/>
      <c r="S635" s="93"/>
    </row>
    <row r="637" spans="1:32" x14ac:dyDescent="0.2">
      <c r="A637" s="13" t="s">
        <v>877</v>
      </c>
      <c r="E637" s="256">
        <f>E330</f>
        <v>9.5104942232752746E-3</v>
      </c>
      <c r="F637" s="47">
        <f t="shared" ref="F637" si="472">F330</f>
        <v>-3.6953690141249142E-2</v>
      </c>
      <c r="G637" s="47">
        <f t="shared" ref="G637:I637" si="473">G330</f>
        <v>0.18306410839911469</v>
      </c>
      <c r="H637" s="47">
        <f t="shared" ref="H637" si="474">H330</f>
        <v>0.21587271922545034</v>
      </c>
      <c r="I637" s="47">
        <f t="shared" si="473"/>
        <v>0.19940885850783668</v>
      </c>
      <c r="J637" s="47">
        <f t="shared" ref="J637:M637" si="475">J330</f>
        <v>0.12887665989781619</v>
      </c>
      <c r="K637" s="47">
        <f t="shared" si="475"/>
        <v>0.12242289736368842</v>
      </c>
      <c r="L637" s="47">
        <f t="shared" si="475"/>
        <v>0.3387327622934963</v>
      </c>
      <c r="M637" s="47">
        <f t="shared" si="475"/>
        <v>0.11012812145880894</v>
      </c>
      <c r="N637" s="47"/>
      <c r="O637" s="47" t="e">
        <f t="shared" ref="O637" si="476">O330</f>
        <v>#DIV/0!</v>
      </c>
      <c r="P637" s="116"/>
      <c r="Q637" s="116" t="e">
        <f>Q396</f>
        <v>#DIV/0!</v>
      </c>
      <c r="R637" s="116" t="e">
        <f>R396</f>
        <v>#DIV/0!</v>
      </c>
      <c r="S637" s="116">
        <f>S315</f>
        <v>0</v>
      </c>
    </row>
    <row r="638" spans="1:32" x14ac:dyDescent="0.2"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S638" s="76"/>
    </row>
    <row r="639" spans="1:32" x14ac:dyDescent="0.2">
      <c r="B639" s="14" t="s">
        <v>878</v>
      </c>
      <c r="F639" s="117">
        <f t="shared" ref="F639:R639" si="477">F580</f>
        <v>18.699527661536113</v>
      </c>
      <c r="G639" s="117">
        <f t="shared" ref="G639:I639" si="478">G580</f>
        <v>60.753199808927512</v>
      </c>
      <c r="H639" s="117">
        <f t="shared" ref="H639" si="479">H580</f>
        <v>121.43697073595696</v>
      </c>
      <c r="I639" s="117">
        <f t="shared" si="478"/>
        <v>550.7383883835995</v>
      </c>
      <c r="J639" s="117">
        <f t="shared" ref="J639:M639" si="480">J580</f>
        <v>425.73461093932423</v>
      </c>
      <c r="K639" s="117">
        <f t="shared" si="480"/>
        <v>271.81084888397805</v>
      </c>
      <c r="L639" s="117">
        <f t="shared" si="480"/>
        <v>75.053033617921571</v>
      </c>
      <c r="M639" s="117">
        <f t="shared" si="480"/>
        <v>81.410056330287063</v>
      </c>
      <c r="N639" s="117"/>
      <c r="O639" s="117" t="e">
        <f t="shared" ref="O639" si="481">O580</f>
        <v>#DIV/0!</v>
      </c>
      <c r="P639" s="117"/>
      <c r="Q639" s="117" t="e">
        <f t="shared" si="477"/>
        <v>#DIV/0!</v>
      </c>
      <c r="R639" s="117" t="e">
        <f t="shared" si="477"/>
        <v>#DIV/0!</v>
      </c>
      <c r="S639" s="117">
        <f>S581</f>
        <v>0</v>
      </c>
    </row>
    <row r="640" spans="1:32" x14ac:dyDescent="0.2">
      <c r="B640" s="14" t="s">
        <v>761</v>
      </c>
      <c r="F640" s="118">
        <f>F562+F563+F564+F565+F570+F575</f>
        <v>8.8216868952886718E-2</v>
      </c>
      <c r="G640" s="118">
        <f>G562+G563+G564+G565+G570+G575</f>
        <v>6.7746854750311364E-2</v>
      </c>
      <c r="H640" s="118">
        <f>H564+H565</f>
        <v>5.332751622254589E-2</v>
      </c>
      <c r="I640" s="118">
        <f>I564+I565</f>
        <v>4.7255945010913625E-2</v>
      </c>
      <c r="J640" s="118">
        <f>J564+J565</f>
        <v>3.7525596398148481E-2</v>
      </c>
      <c r="K640" s="118">
        <f>K564+K565</f>
        <v>3.7914400241850318E-2</v>
      </c>
      <c r="L640" s="118">
        <f>L562+L563+L564+L565+L570+L575</f>
        <v>0.10168954209488905</v>
      </c>
      <c r="M640" s="118">
        <f>M562+M563+M564+M565+M570+M575</f>
        <v>8.2330388649186959E-2</v>
      </c>
      <c r="N640" s="118"/>
      <c r="O640" s="118" t="e">
        <f>O562+O563+O564+O565+O570+O575</f>
        <v>#DIV/0!</v>
      </c>
      <c r="P640" s="118"/>
      <c r="Q640" s="118" t="e">
        <f>Q562+Q563+Q564+Q565+Q570+Q575</f>
        <v>#DIV/0!</v>
      </c>
      <c r="R640" s="118" t="e">
        <f>R564+R565</f>
        <v>#DIV/0!</v>
      </c>
      <c r="S640" s="118" t="e">
        <f>S564+S569+S574+S575</f>
        <v>#DIV/0!</v>
      </c>
    </row>
    <row r="641" spans="1:32" x14ac:dyDescent="0.2">
      <c r="B641" s="14" t="s">
        <v>879</v>
      </c>
      <c r="F641" s="117">
        <v>0</v>
      </c>
      <c r="G641" s="117">
        <v>0</v>
      </c>
      <c r="H641" s="117">
        <v>0</v>
      </c>
      <c r="I641" s="117">
        <v>0</v>
      </c>
      <c r="J641" s="117">
        <v>0</v>
      </c>
      <c r="K641" s="117">
        <v>0</v>
      </c>
      <c r="L641" s="117">
        <v>0</v>
      </c>
      <c r="M641" s="117">
        <v>0</v>
      </c>
      <c r="N641" s="117"/>
      <c r="O641" s="117">
        <v>0</v>
      </c>
      <c r="P641" s="117"/>
      <c r="Q641" s="117">
        <v>0</v>
      </c>
      <c r="R641" s="117" t="e">
        <f>R562+R563+R570+R575</f>
        <v>#DIV/0!</v>
      </c>
      <c r="S641" s="117">
        <v>0</v>
      </c>
    </row>
    <row r="642" spans="1:32" x14ac:dyDescent="0.2"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32" x14ac:dyDescent="0.2">
      <c r="A643" s="13" t="s">
        <v>880</v>
      </c>
      <c r="E643" s="256">
        <f>E396</f>
        <v>2.0232584507210299E-3</v>
      </c>
      <c r="F643" s="116">
        <f t="shared" ref="F643:M643" si="482">$E643</f>
        <v>2.0232584507210299E-3</v>
      </c>
      <c r="G643" s="116">
        <f t="shared" si="482"/>
        <v>2.0232584507210299E-3</v>
      </c>
      <c r="H643" s="116">
        <f t="shared" si="482"/>
        <v>2.0232584507210299E-3</v>
      </c>
      <c r="I643" s="116">
        <f t="shared" si="482"/>
        <v>2.0232584507210299E-3</v>
      </c>
      <c r="J643" s="116">
        <f t="shared" si="482"/>
        <v>2.0232584507210299E-3</v>
      </c>
      <c r="K643" s="116">
        <f t="shared" si="482"/>
        <v>2.0232584507210299E-3</v>
      </c>
      <c r="L643" s="116">
        <f t="shared" si="482"/>
        <v>2.0232584507210299E-3</v>
      </c>
      <c r="M643" s="116">
        <f t="shared" si="482"/>
        <v>2.0232584507210299E-3</v>
      </c>
      <c r="N643" s="116"/>
      <c r="O643" s="116">
        <f>$E643</f>
        <v>2.0232584507210299E-3</v>
      </c>
      <c r="P643" s="116"/>
      <c r="Q643" s="116">
        <f t="shared" ref="Q643:R643" si="483">P643</f>
        <v>0</v>
      </c>
      <c r="R643" s="116">
        <f t="shared" si="483"/>
        <v>0</v>
      </c>
      <c r="S643" s="116">
        <f>$E$394</f>
        <v>223016187.61401922</v>
      </c>
    </row>
    <row r="644" spans="1:32" x14ac:dyDescent="0.2"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</row>
    <row r="645" spans="1:32" x14ac:dyDescent="0.2">
      <c r="B645" s="14" t="s">
        <v>878</v>
      </c>
      <c r="F645" s="117">
        <f t="shared" ref="F645:M645" si="484">F605</f>
        <v>24.208213160118603</v>
      </c>
      <c r="G645" s="117">
        <f t="shared" si="484"/>
        <v>33.857651892909892</v>
      </c>
      <c r="H645" s="117">
        <f t="shared" si="484"/>
        <v>56.745702675372769</v>
      </c>
      <c r="I645" s="117">
        <f t="shared" si="484"/>
        <v>202.7607228256602</v>
      </c>
      <c r="J645" s="117">
        <f t="shared" si="484"/>
        <v>345.55818476670436</v>
      </c>
      <c r="K645" s="117">
        <f t="shared" si="484"/>
        <v>200.77349573518529</v>
      </c>
      <c r="L645" s="117">
        <f t="shared" si="484"/>
        <v>31.393717222071192</v>
      </c>
      <c r="M645" s="117">
        <f t="shared" si="484"/>
        <v>59.661655872197777</v>
      </c>
      <c r="N645" s="117"/>
      <c r="O645" s="117" t="e">
        <f>O605</f>
        <v>#DIV/0!</v>
      </c>
      <c r="P645" s="117"/>
      <c r="Q645" s="117" t="e">
        <f t="shared" ref="Q645:S645" si="485">Q605</f>
        <v>#DIV/0!</v>
      </c>
      <c r="R645" s="117" t="e">
        <f t="shared" si="485"/>
        <v>#DIV/0!</v>
      </c>
      <c r="S645" s="117" t="e">
        <f t="shared" si="485"/>
        <v>#DIV/0!</v>
      </c>
    </row>
    <row r="646" spans="1:32" x14ac:dyDescent="0.2">
      <c r="B646" s="14" t="s">
        <v>761</v>
      </c>
      <c r="F646" s="118">
        <f>F587+F588+F589+F590+F595+F600</f>
        <v>9.3607124451563634E-2</v>
      </c>
      <c r="G646" s="118">
        <f>G587+G588+G589+G590+G595+G600</f>
        <v>5.3139138696025406E-2</v>
      </c>
      <c r="H646" s="118">
        <f>H589+H590</f>
        <v>5.332751622254589E-2</v>
      </c>
      <c r="I646" s="118">
        <f>I589+I590</f>
        <v>4.7255945010913625E-2</v>
      </c>
      <c r="J646" s="118">
        <f>J589+J590</f>
        <v>3.7525596398148481E-2</v>
      </c>
      <c r="K646" s="118">
        <f>K589+K590</f>
        <v>3.7914400241850318E-2</v>
      </c>
      <c r="L646" s="118">
        <f>L587+L588+L589+L590+L595+L600</f>
        <v>7.4659008857207304E-2</v>
      </c>
      <c r="M646" s="118">
        <f>M587+M588+M589+M590+M595+M600</f>
        <v>7.6069420259818138E-2</v>
      </c>
      <c r="N646" s="118"/>
      <c r="O646" s="118" t="e">
        <f>O587+O588+O589+O590+O595+O600</f>
        <v>#DIV/0!</v>
      </c>
      <c r="P646" s="118"/>
      <c r="Q646" s="118" t="e">
        <f>Q587+Q588+Q589+Q590+Q595+Q600</f>
        <v>#DIV/0!</v>
      </c>
      <c r="R646" s="118" t="e">
        <f>R589+R590</f>
        <v>#DIV/0!</v>
      </c>
      <c r="S646" s="118" t="e">
        <f>S587+S588+S598+S599</f>
        <v>#DIV/0!</v>
      </c>
    </row>
    <row r="647" spans="1:32" x14ac:dyDescent="0.2">
      <c r="B647" s="14" t="s">
        <v>879</v>
      </c>
      <c r="F647" s="117">
        <v>0</v>
      </c>
      <c r="G647" s="117">
        <v>0</v>
      </c>
      <c r="H647" s="117">
        <v>0</v>
      </c>
      <c r="I647" s="117">
        <v>0</v>
      </c>
      <c r="J647" s="117">
        <v>0</v>
      </c>
      <c r="K647" s="117">
        <v>0</v>
      </c>
      <c r="L647" s="117">
        <v>0</v>
      </c>
      <c r="M647" s="117">
        <v>0</v>
      </c>
      <c r="N647" s="117"/>
      <c r="O647" s="117">
        <v>0</v>
      </c>
      <c r="P647" s="117"/>
      <c r="Q647" s="117">
        <v>0</v>
      </c>
      <c r="R647" s="117" t="e">
        <f>R587+R588+R595+R600</f>
        <v>#DIV/0!</v>
      </c>
      <c r="S647" s="117">
        <v>0</v>
      </c>
      <c r="AF647" s="14" t="s">
        <v>957</v>
      </c>
    </row>
    <row r="648" spans="1:32" x14ac:dyDescent="0.2"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</row>
    <row r="649" spans="1:32" x14ac:dyDescent="0.2">
      <c r="A649" s="13" t="s">
        <v>881</v>
      </c>
      <c r="E649" s="256">
        <f>C531</f>
        <v>6.0002937715713967E-2</v>
      </c>
      <c r="F649" s="116">
        <f t="shared" ref="F649:M649" si="486">E$649</f>
        <v>6.0002937715713967E-2</v>
      </c>
      <c r="G649" s="116">
        <f t="shared" si="486"/>
        <v>6.0002937715713967E-2</v>
      </c>
      <c r="H649" s="116">
        <f t="shared" si="486"/>
        <v>6.0002937715713967E-2</v>
      </c>
      <c r="I649" s="116">
        <f t="shared" si="486"/>
        <v>6.0002937715713967E-2</v>
      </c>
      <c r="J649" s="116">
        <f t="shared" si="486"/>
        <v>6.0002937715713967E-2</v>
      </c>
      <c r="K649" s="116">
        <f t="shared" si="486"/>
        <v>6.0002937715713967E-2</v>
      </c>
      <c r="L649" s="116">
        <f t="shared" si="486"/>
        <v>6.0002937715713967E-2</v>
      </c>
      <c r="M649" s="116">
        <f t="shared" si="486"/>
        <v>6.0002937715713967E-2</v>
      </c>
      <c r="N649" s="116"/>
      <c r="O649" s="116">
        <f>N$649</f>
        <v>0</v>
      </c>
      <c r="P649" s="116"/>
      <c r="Q649" s="116">
        <f t="shared" ref="Q649:R649" si="487">P649</f>
        <v>0</v>
      </c>
      <c r="R649" s="116">
        <f t="shared" si="487"/>
        <v>0</v>
      </c>
      <c r="S649" s="116">
        <f>$C$580</f>
        <v>0</v>
      </c>
    </row>
    <row r="650" spans="1:32" x14ac:dyDescent="0.2">
      <c r="A650" s="13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</row>
    <row r="651" spans="1:32" x14ac:dyDescent="0.2">
      <c r="B651" s="14" t="s">
        <v>878</v>
      </c>
      <c r="F651" s="117">
        <f>F631</f>
        <v>30.905764444188364</v>
      </c>
      <c r="G651" s="117">
        <f>G631</f>
        <v>43.21230410122584</v>
      </c>
      <c r="H651" s="117">
        <f t="shared" ref="H651" si="488">H631</f>
        <v>72.127524297289824</v>
      </c>
      <c r="I651" s="117">
        <f t="shared" ref="I651" si="489">I631</f>
        <v>246.85500717464851</v>
      </c>
      <c r="J651" s="117">
        <f t="shared" ref="J651:K651" si="490">J631</f>
        <v>390.60400766350159</v>
      </c>
      <c r="K651" s="117">
        <f t="shared" si="490"/>
        <v>243.00676622185196</v>
      </c>
      <c r="L651" s="117">
        <f>L631</f>
        <v>39.218137383796346</v>
      </c>
      <c r="M651" s="117">
        <f>M631</f>
        <v>73.182463631793183</v>
      </c>
      <c r="N651" s="117"/>
      <c r="O651" s="117" t="e">
        <f>O631</f>
        <v>#DIV/0!</v>
      </c>
      <c r="P651" s="117"/>
      <c r="Q651" s="117" t="e">
        <f t="shared" ref="Q651:R651" si="491">Q631</f>
        <v>#DIV/0!</v>
      </c>
      <c r="R651" s="117" t="e">
        <f t="shared" si="491"/>
        <v>#DIV/0!</v>
      </c>
      <c r="S651" s="117" t="e">
        <f>S631</f>
        <v>#DIV/0!</v>
      </c>
    </row>
    <row r="652" spans="1:32" x14ac:dyDescent="0.2">
      <c r="B652" s="14" t="s">
        <v>761</v>
      </c>
      <c r="F652" s="118">
        <f>F613+F614+F615+F616+F621+F626</f>
        <v>0.10016068657557985</v>
      </c>
      <c r="G652" s="118">
        <f>G613+G614+G615+G616+G621+G626</f>
        <v>5.8219909077516563E-2</v>
      </c>
      <c r="H652" s="118">
        <f>+H615+H616</f>
        <v>5.332751622254589E-2</v>
      </c>
      <c r="I652" s="118">
        <f>+I615+I616</f>
        <v>4.7255945010913625E-2</v>
      </c>
      <c r="J652" s="118">
        <f>+J615+J616</f>
        <v>3.7525596398148481E-2</v>
      </c>
      <c r="K652" s="118">
        <f>+K615+K616</f>
        <v>3.7914400241850318E-2</v>
      </c>
      <c r="L652" s="118">
        <f>L613+L614+L615+L616+L621+L626</f>
        <v>7.9503295637364066E-2</v>
      </c>
      <c r="M652" s="118">
        <f>M613+M614+M615+M616+M621+M626</f>
        <v>7.9961814560019315E-2</v>
      </c>
      <c r="N652" s="118"/>
      <c r="O652" s="118" t="e">
        <f>O613+O614+O615+O616+O621+O626</f>
        <v>#DIV/0!</v>
      </c>
      <c r="P652" s="118"/>
      <c r="Q652" s="118" t="e">
        <f t="shared" ref="Q652" si="492">Q613+Q614+Q615+Q616+Q621+Q626</f>
        <v>#DIV/0!</v>
      </c>
      <c r="R652" s="118" t="e">
        <f>R615+R616</f>
        <v>#DIV/0!</v>
      </c>
      <c r="S652" s="118" t="e">
        <f>S613+S614+S624+S625</f>
        <v>#DIV/0!</v>
      </c>
    </row>
    <row r="653" spans="1:32" x14ac:dyDescent="0.2">
      <c r="B653" s="14" t="s">
        <v>879</v>
      </c>
      <c r="F653" s="117">
        <v>0</v>
      </c>
      <c r="G653" s="117">
        <v>0</v>
      </c>
      <c r="H653" s="117">
        <f>H613+H614+H621+H626</f>
        <v>8.1084331346308716</v>
      </c>
      <c r="I653" s="117">
        <f>I613+I614+I621+I626</f>
        <v>11.180233595346458</v>
      </c>
      <c r="J653" s="117">
        <f>J613+J614+J621+J626</f>
        <v>11.513204952973535</v>
      </c>
      <c r="K653" s="117">
        <f>K613+K614+K621+K626</f>
        <v>10.985606570560929</v>
      </c>
      <c r="L653" s="117">
        <v>0</v>
      </c>
      <c r="M653" s="117">
        <v>0</v>
      </c>
      <c r="N653" s="117"/>
      <c r="O653" s="117">
        <v>0</v>
      </c>
      <c r="P653" s="117"/>
      <c r="Q653" s="117">
        <v>0</v>
      </c>
      <c r="R653" s="117" t="e">
        <f>R613+R614+R621+R626</f>
        <v>#DIV/0!</v>
      </c>
      <c r="S653" s="117">
        <v>0</v>
      </c>
    </row>
    <row r="654" spans="1:32" x14ac:dyDescent="0.2">
      <c r="B654" s="29"/>
      <c r="G654" s="29"/>
      <c r="H654" s="29"/>
      <c r="I654" s="118"/>
      <c r="J654" s="29"/>
      <c r="K654" s="29"/>
    </row>
  </sheetData>
  <phoneticPr fontId="0" type="noConversion"/>
  <conditionalFormatting sqref="AH1">
    <cfRule type="cellIs" dxfId="2" priority="51" operator="equal">
      <formula>"err"</formula>
    </cfRule>
  </conditionalFormatting>
  <conditionalFormatting sqref="AH4:AH632">
    <cfRule type="containsText" dxfId="1" priority="1" operator="containsText" text="err">
      <formula>NOT(ISERROR(SEARCH("err",AH4)))</formula>
    </cfRule>
    <cfRule type="cellIs" dxfId="0" priority="2" operator="equal">
      <formula>"""err"""</formula>
    </cfRule>
  </conditionalFormatting>
  <printOptions horizontalCentered="1"/>
  <pageMargins left="0.25" right="0.25" top="1.25" bottom="0.5" header="0.5" footer="0.2"/>
  <pageSetup scale="60" pageOrder="overThenDown" orientation="landscape" r:id="rId1"/>
  <headerFooter alignWithMargins="0">
    <oddHeader xml:space="preserve">&amp;C&amp;"Times New Roman,Bold"SOUTH KENTUCKY R.E.C.C.
Cost of Service Study
Class Allocation
</oddHeader>
    <oddFooter>&amp;RExhibit JW-5
Page &amp;P of &amp;N</oddFooter>
  </headerFooter>
  <rowBreaks count="18" manualBreakCount="18">
    <brk id="42" max="13" man="1"/>
    <brk id="80" max="13" man="1"/>
    <brk id="118" max="13" man="1"/>
    <brk id="156" max="13" man="1"/>
    <brk id="194" max="13" man="1"/>
    <brk id="232" max="13" man="1"/>
    <brk id="270" max="13" man="1"/>
    <brk id="308" max="13" man="1"/>
    <brk id="332" max="13" man="1"/>
    <brk id="397" max="13" man="1"/>
    <brk id="438" max="13" man="1"/>
    <brk id="482" max="13" man="1"/>
    <brk id="501" max="13" man="1"/>
    <brk id="539" max="13" man="1"/>
    <brk id="557" max="13" man="1"/>
    <brk id="582" max="13" man="1"/>
    <brk id="608" max="13" man="1"/>
    <brk id="634" max="13" man="1"/>
  </rowBreaks>
  <colBreaks count="3" manualBreakCount="3">
    <brk id="9" max="652" man="1"/>
    <brk id="19" max="652" man="1"/>
    <brk id="25" max="652" man="1"/>
  </colBreaks>
  <ignoredErrors>
    <ignoredError sqref="F446 G446:M446 F453 F460 I500:M500 E493:M493 F588:G588 F614:G614 I552 I553:I555 I594:I599 J481:L481 F481:I481 F474:M474 F467:M467 G460:M460 G453:M453 I543:I546 I620:I625 I652 G416:M416 AG457 AG490:AG491 P429 I588 I614 F362:I362" formula="1"/>
    <ignoredError sqref="AG341:AG34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11"/>
  <sheetViews>
    <sheetView view="pageBreakPreview" zoomScale="85" zoomScaleNormal="75" zoomScaleSheetLayoutView="85" workbookViewId="0">
      <selection activeCell="E34" sqref="E34"/>
    </sheetView>
  </sheetViews>
  <sheetFormatPr defaultColWidth="9.140625" defaultRowHeight="12.75" x14ac:dyDescent="0.2"/>
  <cols>
    <col min="1" max="1" width="39.5703125" style="14" customWidth="1"/>
    <col min="2" max="2" width="12.85546875" style="30" customWidth="1"/>
    <col min="3" max="3" width="12.5703125" style="14" bestFit="1" customWidth="1"/>
    <col min="4" max="4" width="14.5703125" style="14" customWidth="1"/>
    <col min="5" max="5" width="13.7109375" style="14" customWidth="1"/>
    <col min="6" max="6" width="12.5703125" style="14" bestFit="1" customWidth="1"/>
    <col min="7" max="7" width="13.140625" style="14" bestFit="1" customWidth="1"/>
    <col min="8" max="8" width="14.5703125" style="14" bestFit="1" customWidth="1"/>
    <col min="9" max="11" width="12.5703125" style="14" bestFit="1" customWidth="1"/>
    <col min="12" max="12" width="16.85546875" style="14" customWidth="1"/>
    <col min="13" max="13" width="12.5703125" style="14" bestFit="1" customWidth="1"/>
    <col min="14" max="14" width="14.85546875" style="14" customWidth="1"/>
    <col min="15" max="15" width="14.28515625" style="14" bestFit="1" customWidth="1"/>
    <col min="16" max="16" width="17.85546875" style="14" customWidth="1"/>
    <col min="17" max="17" width="17.28515625" style="14" customWidth="1"/>
    <col min="18" max="20" width="15" style="14" bestFit="1" customWidth="1"/>
    <col min="21" max="21" width="12.28515625" style="14" bestFit="1" customWidth="1"/>
    <col min="22" max="22" width="11.85546875" style="14" bestFit="1" customWidth="1"/>
    <col min="23" max="25" width="9.140625" style="14"/>
    <col min="26" max="26" width="15.28515625" style="14" bestFit="1" customWidth="1"/>
    <col min="27" max="16384" width="9.140625" style="14"/>
  </cols>
  <sheetData>
    <row r="1" spans="1:27" x14ac:dyDescent="0.2">
      <c r="A1" s="13" t="str">
        <f>'Summary of Returns'!A1</f>
        <v>SOUTH KENTUCKY R.E.C.C.</v>
      </c>
    </row>
    <row r="2" spans="1:27" x14ac:dyDescent="0.2">
      <c r="A2" s="14" t="s">
        <v>675</v>
      </c>
    </row>
    <row r="3" spans="1:27" x14ac:dyDescent="0.2">
      <c r="C3" s="119"/>
      <c r="D3" s="29"/>
      <c r="E3" s="29"/>
      <c r="F3" s="24" t="s">
        <v>722</v>
      </c>
      <c r="G3" s="24" t="s">
        <v>683</v>
      </c>
      <c r="H3" s="29"/>
      <c r="I3" s="29"/>
      <c r="J3" s="29"/>
      <c r="K3" s="29"/>
      <c r="M3" s="119"/>
      <c r="N3" s="29"/>
      <c r="O3" s="29"/>
      <c r="Q3" s="24"/>
      <c r="R3" s="24"/>
    </row>
    <row r="4" spans="1:27" x14ac:dyDescent="0.2">
      <c r="A4" s="30"/>
      <c r="C4" s="29"/>
      <c r="D4" s="29"/>
      <c r="E4" s="29"/>
      <c r="F4" s="24" t="s">
        <v>682</v>
      </c>
      <c r="G4" s="24" t="s">
        <v>682</v>
      </c>
      <c r="H4" s="24" t="s">
        <v>692</v>
      </c>
      <c r="I4" s="24" t="s">
        <v>683</v>
      </c>
      <c r="J4" s="24" t="s">
        <v>685</v>
      </c>
      <c r="K4" s="24" t="s">
        <v>686</v>
      </c>
      <c r="M4" s="29"/>
      <c r="N4" s="29"/>
      <c r="O4" s="29"/>
      <c r="P4" s="30"/>
      <c r="Q4" s="24"/>
      <c r="R4" s="24"/>
      <c r="T4" s="30"/>
    </row>
    <row r="5" spans="1:27" s="24" customFormat="1" x14ac:dyDescent="0.2">
      <c r="B5" s="16"/>
      <c r="C5" s="24" t="s">
        <v>580</v>
      </c>
      <c r="F5" s="24" t="s">
        <v>723</v>
      </c>
      <c r="G5" s="24" t="s">
        <v>12</v>
      </c>
      <c r="H5" s="24" t="s">
        <v>693</v>
      </c>
      <c r="I5" s="24" t="s">
        <v>642</v>
      </c>
      <c r="J5" s="24" t="s">
        <v>642</v>
      </c>
      <c r="K5" s="24" t="s">
        <v>642</v>
      </c>
      <c r="L5" s="14"/>
      <c r="M5" s="24" t="str">
        <f>C5</f>
        <v>Average</v>
      </c>
      <c r="O5" s="29" t="s">
        <v>904</v>
      </c>
      <c r="Q5" s="24" t="s">
        <v>904</v>
      </c>
    </row>
    <row r="6" spans="1:27" s="24" customFormat="1" x14ac:dyDescent="0.2">
      <c r="A6" s="120" t="s">
        <v>860</v>
      </c>
      <c r="B6" s="21" t="s">
        <v>869</v>
      </c>
      <c r="C6" s="23" t="s">
        <v>582</v>
      </c>
      <c r="D6" s="23" t="s">
        <v>951</v>
      </c>
      <c r="E6" s="23" t="s">
        <v>348</v>
      </c>
      <c r="F6" s="23" t="s">
        <v>10</v>
      </c>
      <c r="G6" s="23" t="s">
        <v>681</v>
      </c>
      <c r="H6" s="23" t="s">
        <v>694</v>
      </c>
      <c r="I6" s="23" t="s">
        <v>684</v>
      </c>
      <c r="J6" s="23" t="s">
        <v>684</v>
      </c>
      <c r="K6" s="23" t="s">
        <v>684</v>
      </c>
      <c r="L6" s="120" t="s">
        <v>860</v>
      </c>
      <c r="M6" s="23" t="str">
        <f t="shared" ref="M6:M26" si="0">C6</f>
        <v>Customers</v>
      </c>
      <c r="N6" s="23" t="str">
        <f t="shared" ref="N6:N14" si="1">D6</f>
        <v>kWh</v>
      </c>
      <c r="O6" s="23" t="s">
        <v>863</v>
      </c>
      <c r="P6" s="23" t="str">
        <f>E6</f>
        <v>Revenue</v>
      </c>
      <c r="Q6" s="23" t="s">
        <v>905</v>
      </c>
    </row>
    <row r="7" spans="1:27" x14ac:dyDescent="0.2">
      <c r="A7" s="30"/>
      <c r="C7" s="50"/>
      <c r="D7" s="50"/>
      <c r="E7" s="50"/>
      <c r="G7" s="50"/>
      <c r="H7" s="50"/>
      <c r="I7" s="50"/>
      <c r="J7" s="50"/>
      <c r="K7" s="50"/>
      <c r="L7" s="30"/>
      <c r="M7" s="50"/>
      <c r="N7" s="50"/>
      <c r="O7" s="50"/>
      <c r="P7" s="50"/>
      <c r="Q7" s="50"/>
    </row>
    <row r="8" spans="1:27" x14ac:dyDescent="0.2">
      <c r="A8" s="121" t="str">
        <f>'Summary of Returns'!B10</f>
        <v>Residential, Farm and Non-Farm Service</v>
      </c>
      <c r="B8" s="122" t="str">
        <f>'Summary of Returns'!C10</f>
        <v xml:space="preserve">A </v>
      </c>
      <c r="C8" s="123">
        <f>O38</f>
        <v>65129</v>
      </c>
      <c r="D8" s="123">
        <f>O39</f>
        <v>766561470</v>
      </c>
      <c r="E8" s="257">
        <v>98317802.830000028</v>
      </c>
      <c r="F8" s="36">
        <f>O46</f>
        <v>5856627.3154726354</v>
      </c>
      <c r="G8" s="36">
        <f>P46</f>
        <v>810257.779431217</v>
      </c>
      <c r="H8" s="124">
        <f>Q42</f>
        <v>418305.5674812065</v>
      </c>
      <c r="I8" s="123">
        <f>R44</f>
        <v>2376674.6522268122</v>
      </c>
      <c r="J8" s="123">
        <f>S44</f>
        <v>516655.63246531255</v>
      </c>
      <c r="K8" s="123">
        <f>T44</f>
        <v>1860019.0197614997</v>
      </c>
      <c r="L8" s="121" t="str">
        <f>A8</f>
        <v>Residential, Farm and Non-Farm Service</v>
      </c>
      <c r="M8" s="123">
        <f t="shared" si="0"/>
        <v>65129</v>
      </c>
      <c r="N8" s="123">
        <f t="shared" si="1"/>
        <v>766561470</v>
      </c>
      <c r="O8" s="67">
        <f t="shared" ref="O8:O23" si="2">D8/$D$25</f>
        <v>0.62731911365053017</v>
      </c>
      <c r="P8" s="125">
        <f t="shared" ref="P8:P23" si="3">E8</f>
        <v>98317802.830000028</v>
      </c>
      <c r="Q8" s="67">
        <f t="shared" ref="Q8:Q23" si="4">E8/$E$25</f>
        <v>0.65690586049472677</v>
      </c>
      <c r="T8" s="93"/>
      <c r="U8" s="36"/>
      <c r="V8" s="36"/>
      <c r="W8" s="223"/>
      <c r="X8" s="24"/>
      <c r="Y8" s="24"/>
      <c r="Z8" s="24"/>
      <c r="AA8" s="24"/>
    </row>
    <row r="9" spans="1:27" x14ac:dyDescent="0.2">
      <c r="A9" s="121" t="str">
        <f>'Summary of Returns'!B11</f>
        <v>Small Commercial Rate</v>
      </c>
      <c r="B9" s="122" t="str">
        <f>'Summary of Returns'!C11</f>
        <v>B</v>
      </c>
      <c r="C9" s="123">
        <f>O48</f>
        <v>4875</v>
      </c>
      <c r="D9" s="123">
        <f>O49</f>
        <v>69966370</v>
      </c>
      <c r="E9" s="257">
        <v>10181475.759999998</v>
      </c>
      <c r="F9" s="36">
        <f>O56</f>
        <v>417502.61032358243</v>
      </c>
      <c r="G9" s="36">
        <f>P56</f>
        <v>43616.103778467907</v>
      </c>
      <c r="H9" s="124">
        <f>Q52</f>
        <v>27454.960856162288</v>
      </c>
      <c r="I9" s="123">
        <f>R54</f>
        <v>0</v>
      </c>
      <c r="J9" s="123">
        <f>S54</f>
        <v>0</v>
      </c>
      <c r="K9" s="123">
        <f>T54</f>
        <v>0</v>
      </c>
      <c r="L9" s="121" t="str">
        <f t="shared" ref="L9:L17" si="5">A9</f>
        <v>Small Commercial Rate</v>
      </c>
      <c r="M9" s="123">
        <f t="shared" si="0"/>
        <v>4875</v>
      </c>
      <c r="N9" s="123">
        <f t="shared" si="1"/>
        <v>69966370</v>
      </c>
      <c r="O9" s="67">
        <f t="shared" si="2"/>
        <v>5.7257301510008123E-2</v>
      </c>
      <c r="P9" s="125">
        <f t="shared" si="3"/>
        <v>10181475.759999998</v>
      </c>
      <c r="Q9" s="67">
        <f t="shared" si="4"/>
        <v>6.8027060234387052E-2</v>
      </c>
      <c r="T9" s="93"/>
      <c r="U9" s="36"/>
      <c r="V9" s="36"/>
      <c r="W9" s="223"/>
      <c r="X9" s="24"/>
      <c r="Y9" s="24"/>
      <c r="Z9" s="24"/>
      <c r="AA9" s="24"/>
    </row>
    <row r="10" spans="1:27" x14ac:dyDescent="0.2">
      <c r="A10" s="121" t="str">
        <f>'Summary of Returns'!B12</f>
        <v>Large Power Rate (Excess of 50 kVA)</v>
      </c>
      <c r="B10" s="122" t="str">
        <f>'Summary of Returns'!C12</f>
        <v>LP</v>
      </c>
      <c r="C10" s="123">
        <f>O58</f>
        <v>446</v>
      </c>
      <c r="D10" s="123">
        <f>O59</f>
        <v>183071000</v>
      </c>
      <c r="E10" s="257">
        <v>19913480.189999998</v>
      </c>
      <c r="F10" s="36">
        <f>O66</f>
        <v>607687.66299999983</v>
      </c>
      <c r="G10" s="36">
        <f>P66</f>
        <v>54784.913000000044</v>
      </c>
      <c r="H10" s="124">
        <f>Q62</f>
        <v>50926.967261904763</v>
      </c>
      <c r="I10" s="123">
        <f>R64</f>
        <v>376902.76785234257</v>
      </c>
      <c r="J10" s="123">
        <f>S64</f>
        <v>97775.687701612915</v>
      </c>
      <c r="K10" s="123">
        <f>T64</f>
        <v>279127.08015072963</v>
      </c>
      <c r="L10" s="121" t="str">
        <f t="shared" si="5"/>
        <v>Large Power Rate (Excess of 50 kVA)</v>
      </c>
      <c r="M10" s="123">
        <f t="shared" si="0"/>
        <v>446</v>
      </c>
      <c r="N10" s="123">
        <f t="shared" si="1"/>
        <v>183071000</v>
      </c>
      <c r="O10" s="67">
        <f t="shared" si="2"/>
        <v>0.14981699700497106</v>
      </c>
      <c r="P10" s="125">
        <f t="shared" si="3"/>
        <v>19913480.189999998</v>
      </c>
      <c r="Q10" s="67">
        <f t="shared" si="4"/>
        <v>0.13305099852846905</v>
      </c>
      <c r="T10" s="93"/>
      <c r="U10" s="36"/>
      <c r="V10" s="36"/>
      <c r="W10" s="223"/>
      <c r="X10" s="24"/>
      <c r="Y10" s="24"/>
      <c r="Z10" s="24"/>
      <c r="AA10" s="24"/>
    </row>
    <row r="11" spans="1:27" x14ac:dyDescent="0.2">
      <c r="A11" s="121" t="str">
        <f>'Summary of Returns'!B13</f>
        <v>Large Power Rate (500 KW to 4,999 KW)</v>
      </c>
      <c r="B11" s="122" t="str">
        <f>'Summary of Returns'!C13</f>
        <v>LP-1</v>
      </c>
      <c r="C11" s="123">
        <f>O68</f>
        <v>1</v>
      </c>
      <c r="D11" s="123">
        <f>O69</f>
        <v>9835173</v>
      </c>
      <c r="E11" s="257">
        <v>851695.84000000008</v>
      </c>
      <c r="F11" s="36">
        <f>O76</f>
        <v>20871.838</v>
      </c>
      <c r="G11" s="36">
        <f>P76</f>
        <v>1796.5650000000001</v>
      </c>
      <c r="H11" s="124">
        <f>Q72</f>
        <v>2509.5509259259261</v>
      </c>
      <c r="I11" s="123">
        <f>R74</f>
        <v>13480.065549795188</v>
      </c>
      <c r="J11" s="123">
        <f>S74</f>
        <v>3874.7220878136204</v>
      </c>
      <c r="K11" s="123">
        <f>T74</f>
        <v>9605.3434619815671</v>
      </c>
      <c r="L11" s="121" t="str">
        <f t="shared" si="5"/>
        <v>Large Power Rate (500 KW to 4,999 KW)</v>
      </c>
      <c r="M11" s="123">
        <f t="shared" si="0"/>
        <v>1</v>
      </c>
      <c r="N11" s="123">
        <f t="shared" si="1"/>
        <v>9835173</v>
      </c>
      <c r="O11" s="67">
        <f t="shared" si="2"/>
        <v>8.0486591753165283E-3</v>
      </c>
      <c r="P11" s="125">
        <f t="shared" si="3"/>
        <v>851695.84000000008</v>
      </c>
      <c r="Q11" s="67">
        <f t="shared" si="4"/>
        <v>5.6905664340605264E-3</v>
      </c>
      <c r="T11" s="93"/>
      <c r="U11" s="36"/>
      <c r="V11" s="36"/>
      <c r="W11" s="223"/>
      <c r="X11" s="24"/>
      <c r="Y11" s="24"/>
      <c r="Z11" s="24"/>
      <c r="AA11" s="24"/>
    </row>
    <row r="12" spans="1:27" x14ac:dyDescent="0.2">
      <c r="A12" s="121" t="str">
        <f>'Summary of Returns'!B14</f>
        <v>Large Power Rate (5,000 KW to 9,999 KW)</v>
      </c>
      <c r="B12" s="122" t="str">
        <f>'Summary of Returns'!C14</f>
        <v>LP-2</v>
      </c>
      <c r="C12" s="123">
        <f>O78</f>
        <v>2</v>
      </c>
      <c r="D12" s="123">
        <f>O79</f>
        <v>75495061</v>
      </c>
      <c r="E12" s="257">
        <v>6421394.1199999992</v>
      </c>
      <c r="F12" s="36">
        <f>O86</f>
        <v>165995.31100000002</v>
      </c>
      <c r="G12" s="36">
        <f>P86</f>
        <v>14056.808000000001</v>
      </c>
      <c r="H12" s="124">
        <f>Q82</f>
        <v>16977.21064814815</v>
      </c>
      <c r="I12" s="123">
        <f>R84</f>
        <v>120777.5495445042</v>
      </c>
      <c r="J12" s="123">
        <f>S84</f>
        <v>30796.306287335719</v>
      </c>
      <c r="K12" s="123">
        <f>T84</f>
        <v>89981.243257168477</v>
      </c>
      <c r="L12" s="121" t="str">
        <f t="shared" si="5"/>
        <v>Large Power Rate (5,000 KW to 9,999 KW)</v>
      </c>
      <c r="M12" s="123">
        <f t="shared" si="0"/>
        <v>2</v>
      </c>
      <c r="N12" s="123">
        <f t="shared" si="1"/>
        <v>75495061</v>
      </c>
      <c r="O12" s="67">
        <f t="shared" si="2"/>
        <v>6.1781731283092937E-2</v>
      </c>
      <c r="P12" s="125">
        <f t="shared" si="3"/>
        <v>6421394.1199999992</v>
      </c>
      <c r="Q12" s="67">
        <f t="shared" si="4"/>
        <v>4.2904248351319438E-2</v>
      </c>
      <c r="T12" s="93"/>
      <c r="U12" s="36"/>
      <c r="V12" s="36"/>
      <c r="W12" s="223"/>
      <c r="X12" s="24"/>
      <c r="Y12" s="24"/>
      <c r="Z12" s="24"/>
      <c r="AA12" s="24"/>
    </row>
    <row r="13" spans="1:27" x14ac:dyDescent="0.2">
      <c r="A13" s="121" t="str">
        <f>'Summary of Returns'!B15</f>
        <v>Large Power Rate (500 KW to 2,999 KW)</v>
      </c>
      <c r="B13" s="122" t="str">
        <f>'Summary of Returns'!C15</f>
        <v>LP-3</v>
      </c>
      <c r="C13" s="123">
        <f>O88</f>
        <v>9</v>
      </c>
      <c r="D13" s="123">
        <f>O89</f>
        <v>81411983</v>
      </c>
      <c r="E13" s="257">
        <v>6850007.7399999993</v>
      </c>
      <c r="F13" s="36">
        <f>O96</f>
        <v>179775.05000000002</v>
      </c>
      <c r="G13" s="36">
        <f>P96</f>
        <v>19240.921000000002</v>
      </c>
      <c r="H13" s="124">
        <f>Q92</f>
        <v>27305.943452380954</v>
      </c>
      <c r="I13" s="123">
        <f>R94</f>
        <v>153899.23361559139</v>
      </c>
      <c r="J13" s="123">
        <f>S94</f>
        <v>30722.32966845878</v>
      </c>
      <c r="K13" s="123">
        <f>T94</f>
        <v>123176.90394713261</v>
      </c>
      <c r="L13" s="121" t="str">
        <f t="shared" si="5"/>
        <v>Large Power Rate (500 KW to 2,999 KW)</v>
      </c>
      <c r="M13" s="123">
        <f t="shared" si="0"/>
        <v>9</v>
      </c>
      <c r="N13" s="123">
        <f t="shared" si="1"/>
        <v>81411983</v>
      </c>
      <c r="O13" s="67">
        <f t="shared" si="2"/>
        <v>6.6623871685191835E-2</v>
      </c>
      <c r="P13" s="125">
        <f t="shared" si="3"/>
        <v>6850007.7399999993</v>
      </c>
      <c r="Q13" s="67">
        <f t="shared" si="4"/>
        <v>4.5768010465213498E-2</v>
      </c>
      <c r="T13" s="93"/>
      <c r="U13" s="36"/>
      <c r="V13" s="36"/>
      <c r="W13" s="223"/>
      <c r="X13" s="24"/>
      <c r="Y13" s="24"/>
      <c r="Z13" s="24"/>
      <c r="AA13" s="24"/>
    </row>
    <row r="14" spans="1:27" x14ac:dyDescent="0.2">
      <c r="A14" s="121" t="str">
        <f>'Summary of Returns'!B16</f>
        <v>Optional Power Service</v>
      </c>
      <c r="B14" s="122" t="str">
        <f>'Summary of Returns'!C16</f>
        <v>OPS</v>
      </c>
      <c r="C14" s="123">
        <f>O98</f>
        <v>142</v>
      </c>
      <c r="D14" s="123">
        <f>O99</f>
        <v>11928714</v>
      </c>
      <c r="E14" s="257">
        <v>1666788.1599999997</v>
      </c>
      <c r="F14" s="36">
        <f>O106</f>
        <v>67432.462</v>
      </c>
      <c r="G14" s="36">
        <f>P106</f>
        <v>6226.7029999999995</v>
      </c>
      <c r="H14" s="124">
        <f>Q102</f>
        <v>4935.3571428571422</v>
      </c>
      <c r="I14" s="123">
        <f>R104</f>
        <v>23760.532338869689</v>
      </c>
      <c r="J14" s="123">
        <f>S104</f>
        <v>5388.3578629032254</v>
      </c>
      <c r="K14" s="123">
        <f>T104</f>
        <v>18372.174475966465</v>
      </c>
      <c r="L14" s="121" t="str">
        <f t="shared" si="5"/>
        <v>Optional Power Service</v>
      </c>
      <c r="M14" s="123">
        <f t="shared" si="0"/>
        <v>142</v>
      </c>
      <c r="N14" s="123">
        <f t="shared" si="1"/>
        <v>11928714</v>
      </c>
      <c r="O14" s="67">
        <f t="shared" si="2"/>
        <v>9.761918106150928E-3</v>
      </c>
      <c r="P14" s="125">
        <f t="shared" si="3"/>
        <v>1666788.1599999997</v>
      </c>
      <c r="Q14" s="67">
        <f t="shared" si="4"/>
        <v>1.113656813914402E-2</v>
      </c>
      <c r="T14" s="93"/>
      <c r="U14" s="36"/>
      <c r="V14" s="36"/>
      <c r="W14" s="223"/>
      <c r="X14" s="24"/>
      <c r="Y14" s="24"/>
      <c r="Z14" s="24"/>
      <c r="AA14" s="24"/>
    </row>
    <row r="15" spans="1:27" x14ac:dyDescent="0.2">
      <c r="A15" s="121" t="str">
        <f>'Summary of Returns'!B17</f>
        <v>All Electric Schools</v>
      </c>
      <c r="B15" s="122" t="str">
        <f>'Summary of Returns'!C17</f>
        <v>AES</v>
      </c>
      <c r="C15" s="123">
        <f>O108</f>
        <v>17</v>
      </c>
      <c r="D15" s="123">
        <f>O109</f>
        <v>10463040</v>
      </c>
      <c r="E15" s="257">
        <v>1119040.3600000001</v>
      </c>
      <c r="F15" s="36">
        <f>O116</f>
        <v>47446.58</v>
      </c>
      <c r="G15" s="36">
        <f>P116</f>
        <v>5375.28</v>
      </c>
      <c r="H15" s="124">
        <f>Q112</f>
        <v>5453.74149659864</v>
      </c>
      <c r="I15" s="123">
        <f>R114</f>
        <v>21014.854253529371</v>
      </c>
      <c r="J15" s="123">
        <f>S114</f>
        <v>2185.9639016897081</v>
      </c>
      <c r="K15" s="123">
        <f>T114</f>
        <v>18828.890351839662</v>
      </c>
      <c r="L15" s="121" t="str">
        <f t="shared" si="5"/>
        <v>All Electric Schools</v>
      </c>
      <c r="M15" s="123">
        <f t="shared" si="0"/>
        <v>17</v>
      </c>
      <c r="N15" s="123">
        <f t="shared" ref="N15:N25" si="6">D15</f>
        <v>10463040</v>
      </c>
      <c r="O15" s="67">
        <f t="shared" si="2"/>
        <v>8.562477029911305E-3</v>
      </c>
      <c r="P15" s="125">
        <f t="shared" si="3"/>
        <v>1119040.3600000001</v>
      </c>
      <c r="Q15" s="67">
        <f t="shared" ref="Q15:Q17" si="7">E15/$E$25</f>
        <v>7.4768165017396445E-3</v>
      </c>
      <c r="T15" s="93"/>
      <c r="U15" s="36"/>
      <c r="V15" s="36"/>
      <c r="W15" s="223"/>
      <c r="X15" s="24"/>
      <c r="Y15" s="24"/>
      <c r="Z15" s="24"/>
      <c r="AA15" s="24"/>
    </row>
    <row r="16" spans="1:27" x14ac:dyDescent="0.2">
      <c r="A16" s="121" t="str">
        <f>'Summary of Returns'!B18</f>
        <v>Lighting</v>
      </c>
      <c r="B16" s="122" t="str">
        <f>'Summary of Returns'!C18</f>
        <v>Lights</v>
      </c>
      <c r="C16" s="123">
        <f>O118</f>
        <v>23</v>
      </c>
      <c r="D16" s="123">
        <f>O119</f>
        <v>13231343</v>
      </c>
      <c r="E16" s="257">
        <v>4346340.12</v>
      </c>
      <c r="F16" s="36">
        <f>O126</f>
        <v>36277.524903993857</v>
      </c>
      <c r="G16" s="36">
        <f>P126</f>
        <v>3250.6934523809523</v>
      </c>
      <c r="H16" s="124">
        <f>Q122</f>
        <v>3250.6934523809523</v>
      </c>
      <c r="I16" s="123">
        <f>R124</f>
        <v>18155.344527649773</v>
      </c>
      <c r="J16" s="123">
        <f>S124</f>
        <v>0</v>
      </c>
      <c r="K16" s="123">
        <f>T124</f>
        <v>18155.344527649773</v>
      </c>
      <c r="L16" s="121" t="str">
        <f t="shared" si="5"/>
        <v>Lighting</v>
      </c>
      <c r="M16" s="123">
        <f t="shared" si="0"/>
        <v>23</v>
      </c>
      <c r="N16" s="123">
        <f t="shared" si="6"/>
        <v>13231343</v>
      </c>
      <c r="O16" s="67">
        <f t="shared" si="2"/>
        <v>1.0827930554827061E-2</v>
      </c>
      <c r="P16" s="125">
        <f t="shared" si="3"/>
        <v>4346340.12</v>
      </c>
      <c r="Q16" s="67">
        <f t="shared" si="7"/>
        <v>2.9039870850939696E-2</v>
      </c>
      <c r="U16" s="36"/>
      <c r="V16" s="36"/>
      <c r="W16" s="223"/>
      <c r="X16" s="24"/>
      <c r="Y16" s="24"/>
      <c r="Z16" s="24"/>
      <c r="AA16" s="24"/>
    </row>
    <row r="17" spans="1:27" hidden="1" x14ac:dyDescent="0.2">
      <c r="A17" s="121">
        <f>'Summary of Returns'!B19</f>
        <v>0</v>
      </c>
      <c r="B17" s="122">
        <f>'Summary of Returns'!C19</f>
        <v>0</v>
      </c>
      <c r="C17" s="123">
        <f>O128</f>
        <v>0</v>
      </c>
      <c r="D17" s="123">
        <f>O129</f>
        <v>0</v>
      </c>
      <c r="E17" s="257">
        <v>0</v>
      </c>
      <c r="F17" s="36">
        <f>O136</f>
        <v>0</v>
      </c>
      <c r="G17" s="36">
        <f>P136</f>
        <v>0</v>
      </c>
      <c r="H17" s="124">
        <f>Q132</f>
        <v>0</v>
      </c>
      <c r="I17" s="123">
        <f>R134</f>
        <v>0</v>
      </c>
      <c r="J17" s="123">
        <f>S134</f>
        <v>0</v>
      </c>
      <c r="K17" s="123">
        <f>T134</f>
        <v>0</v>
      </c>
      <c r="L17" s="121">
        <f t="shared" si="5"/>
        <v>0</v>
      </c>
      <c r="M17" s="123">
        <f t="shared" si="0"/>
        <v>0</v>
      </c>
      <c r="N17" s="123">
        <f t="shared" si="6"/>
        <v>0</v>
      </c>
      <c r="O17" s="67">
        <f t="shared" si="2"/>
        <v>0</v>
      </c>
      <c r="P17" s="125">
        <f t="shared" si="3"/>
        <v>0</v>
      </c>
      <c r="Q17" s="67">
        <f t="shared" si="7"/>
        <v>0</v>
      </c>
      <c r="W17" s="24"/>
      <c r="X17" s="24"/>
      <c r="Y17" s="24"/>
      <c r="Z17" s="24"/>
      <c r="AA17" s="24"/>
    </row>
    <row r="18" spans="1:27" hidden="1" x14ac:dyDescent="0.2">
      <c r="A18" s="121">
        <f>'Summary of Returns'!B20</f>
        <v>0</v>
      </c>
      <c r="B18" s="122">
        <f>'Summary of Returns'!C20</f>
        <v>0</v>
      </c>
      <c r="C18" s="123">
        <f>O138</f>
        <v>0</v>
      </c>
      <c r="D18" s="123">
        <f>O139</f>
        <v>0</v>
      </c>
      <c r="E18" s="257">
        <v>0</v>
      </c>
      <c r="F18" s="36">
        <f>O146</f>
        <v>0</v>
      </c>
      <c r="G18" s="36">
        <f>P146</f>
        <v>0</v>
      </c>
      <c r="H18" s="123">
        <f>Q142</f>
        <v>0</v>
      </c>
      <c r="I18" s="123">
        <f>R144</f>
        <v>0</v>
      </c>
      <c r="J18" s="123">
        <f>S144</f>
        <v>0</v>
      </c>
      <c r="K18" s="123">
        <f>T144</f>
        <v>0</v>
      </c>
      <c r="L18" s="121">
        <f>A18</f>
        <v>0</v>
      </c>
      <c r="M18" s="123">
        <f t="shared" si="0"/>
        <v>0</v>
      </c>
      <c r="N18" s="123">
        <f t="shared" si="6"/>
        <v>0</v>
      </c>
      <c r="O18" s="123">
        <f t="shared" si="2"/>
        <v>0</v>
      </c>
      <c r="P18" s="125">
        <f t="shared" si="3"/>
        <v>0</v>
      </c>
      <c r="Q18" s="123">
        <f t="shared" si="4"/>
        <v>0</v>
      </c>
      <c r="W18" s="24"/>
      <c r="X18" s="24"/>
      <c r="Y18" s="24"/>
      <c r="Z18" s="24"/>
      <c r="AA18" s="24"/>
    </row>
    <row r="19" spans="1:27" hidden="1" x14ac:dyDescent="0.2">
      <c r="A19" s="121">
        <f>'Summary of Returns'!B21</f>
        <v>0</v>
      </c>
      <c r="B19" s="122">
        <f>'Summary of Returns'!C21</f>
        <v>0</v>
      </c>
      <c r="C19" s="123">
        <v>0</v>
      </c>
      <c r="D19" s="123">
        <f>O149</f>
        <v>0</v>
      </c>
      <c r="E19" s="258">
        <v>0</v>
      </c>
      <c r="F19" s="36">
        <f>O156</f>
        <v>0</v>
      </c>
      <c r="G19" s="36">
        <f>P156</f>
        <v>0</v>
      </c>
      <c r="H19" s="36">
        <f>Q152</f>
        <v>0</v>
      </c>
      <c r="I19" s="123">
        <f>R154</f>
        <v>0</v>
      </c>
      <c r="J19" s="123">
        <f>S154</f>
        <v>0</v>
      </c>
      <c r="K19" s="123">
        <f>T154</f>
        <v>0</v>
      </c>
      <c r="L19" s="121" t="e">
        <f>'Summary of Returns'!#REF!</f>
        <v>#REF!</v>
      </c>
      <c r="M19" s="123">
        <f t="shared" si="0"/>
        <v>0</v>
      </c>
      <c r="N19" s="123">
        <f t="shared" si="6"/>
        <v>0</v>
      </c>
      <c r="O19" s="123">
        <f t="shared" si="2"/>
        <v>0</v>
      </c>
      <c r="P19" s="125">
        <f t="shared" si="3"/>
        <v>0</v>
      </c>
      <c r="Q19" s="123">
        <f t="shared" si="4"/>
        <v>0</v>
      </c>
      <c r="W19" s="24"/>
      <c r="X19" s="24"/>
      <c r="Y19" s="24"/>
      <c r="Z19" s="24"/>
      <c r="AA19" s="24"/>
    </row>
    <row r="20" spans="1:27" hidden="1" x14ac:dyDescent="0.2">
      <c r="A20" s="121">
        <f>'Summary of Returns'!B22</f>
        <v>0</v>
      </c>
      <c r="B20" s="122">
        <f>'Summary of Returns'!C22</f>
        <v>0</v>
      </c>
      <c r="C20" s="123">
        <v>0</v>
      </c>
      <c r="D20" s="123">
        <f>O159</f>
        <v>0</v>
      </c>
      <c r="E20" s="258">
        <v>0</v>
      </c>
      <c r="F20" s="36">
        <f>O166</f>
        <v>0</v>
      </c>
      <c r="G20" s="36">
        <f>P166</f>
        <v>0</v>
      </c>
      <c r="H20" s="124">
        <f>Q162</f>
        <v>0</v>
      </c>
      <c r="I20" s="123">
        <f>R164</f>
        <v>0</v>
      </c>
      <c r="J20" s="123">
        <f>S164</f>
        <v>0</v>
      </c>
      <c r="K20" s="123">
        <f>T164</f>
        <v>0</v>
      </c>
      <c r="L20" s="121" t="e">
        <f>'Summary of Returns'!#REF!</f>
        <v>#REF!</v>
      </c>
      <c r="M20" s="123">
        <f t="shared" si="0"/>
        <v>0</v>
      </c>
      <c r="N20" s="123">
        <f t="shared" si="6"/>
        <v>0</v>
      </c>
      <c r="O20" s="123">
        <f t="shared" si="2"/>
        <v>0</v>
      </c>
      <c r="P20" s="125">
        <f t="shared" si="3"/>
        <v>0</v>
      </c>
      <c r="Q20" s="123">
        <f t="shared" si="4"/>
        <v>0</v>
      </c>
      <c r="W20" s="24"/>
      <c r="X20" s="24"/>
      <c r="Y20" s="24"/>
      <c r="Z20" s="24"/>
      <c r="AA20" s="24"/>
    </row>
    <row r="21" spans="1:27" hidden="1" x14ac:dyDescent="0.2">
      <c r="A21" s="121">
        <f>'Summary of Returns'!B23</f>
        <v>0</v>
      </c>
      <c r="B21" s="122">
        <f>'Summary of Returns'!C23</f>
        <v>0</v>
      </c>
      <c r="C21" s="123">
        <v>0</v>
      </c>
      <c r="D21" s="123">
        <f>O169</f>
        <v>0</v>
      </c>
      <c r="E21" s="258"/>
      <c r="F21" s="36">
        <f>O176</f>
        <v>0</v>
      </c>
      <c r="G21" s="36">
        <f>P176</f>
        <v>0</v>
      </c>
      <c r="H21" s="124">
        <f>Q172</f>
        <v>0</v>
      </c>
      <c r="I21" s="123">
        <f>R174</f>
        <v>0</v>
      </c>
      <c r="J21" s="123">
        <f>S174</f>
        <v>0</v>
      </c>
      <c r="K21" s="123">
        <f>T174</f>
        <v>0</v>
      </c>
      <c r="L21" s="121" t="e">
        <f>'Summary of Returns'!#REF!</f>
        <v>#REF!</v>
      </c>
      <c r="M21" s="123">
        <f t="shared" si="0"/>
        <v>0</v>
      </c>
      <c r="N21" s="123">
        <f t="shared" si="6"/>
        <v>0</v>
      </c>
      <c r="O21" s="123">
        <f t="shared" si="2"/>
        <v>0</v>
      </c>
      <c r="P21" s="123">
        <f t="shared" si="3"/>
        <v>0</v>
      </c>
      <c r="Q21" s="123">
        <f t="shared" si="4"/>
        <v>0</v>
      </c>
      <c r="W21" s="24"/>
      <c r="X21" s="24"/>
      <c r="Y21" s="24"/>
      <c r="Z21" s="24"/>
      <c r="AA21" s="24"/>
    </row>
    <row r="22" spans="1:27" hidden="1" x14ac:dyDescent="0.2">
      <c r="A22" s="121">
        <f>'Summary of Returns'!B24</f>
        <v>0</v>
      </c>
      <c r="B22" s="122">
        <f>'Summary of Returns'!C24</f>
        <v>0</v>
      </c>
      <c r="C22" s="123">
        <v>0</v>
      </c>
      <c r="D22" s="123">
        <f>O179</f>
        <v>0</v>
      </c>
      <c r="E22" s="258"/>
      <c r="F22" s="36">
        <f>O186</f>
        <v>0</v>
      </c>
      <c r="G22" s="36">
        <f>P186</f>
        <v>0</v>
      </c>
      <c r="H22" s="124">
        <f>Q182</f>
        <v>0</v>
      </c>
      <c r="I22" s="123">
        <f>R184</f>
        <v>0</v>
      </c>
      <c r="J22" s="123">
        <f>S184</f>
        <v>0</v>
      </c>
      <c r="K22" s="123">
        <f>T184</f>
        <v>0</v>
      </c>
      <c r="L22" s="121" t="e">
        <f>'Summary of Returns'!#REF!</f>
        <v>#REF!</v>
      </c>
      <c r="M22" s="123">
        <f t="shared" si="0"/>
        <v>0</v>
      </c>
      <c r="N22" s="123">
        <f t="shared" si="6"/>
        <v>0</v>
      </c>
      <c r="O22" s="123">
        <f t="shared" si="2"/>
        <v>0</v>
      </c>
      <c r="P22" s="123">
        <f t="shared" si="3"/>
        <v>0</v>
      </c>
      <c r="Q22" s="123">
        <f t="shared" si="4"/>
        <v>0</v>
      </c>
      <c r="W22" s="24"/>
      <c r="X22" s="24"/>
      <c r="Y22" s="24"/>
      <c r="Z22" s="24"/>
      <c r="AA22" s="24"/>
    </row>
    <row r="23" spans="1:27" hidden="1" x14ac:dyDescent="0.2">
      <c r="A23" s="121">
        <f>'Summary of Returns'!B25</f>
        <v>0</v>
      </c>
      <c r="B23" s="122">
        <f>'Summary of Returns'!C25</f>
        <v>0</v>
      </c>
      <c r="C23" s="123">
        <v>0</v>
      </c>
      <c r="D23" s="123">
        <f>O189</f>
        <v>0</v>
      </c>
      <c r="E23" s="258"/>
      <c r="F23" s="36">
        <f>O196</f>
        <v>0</v>
      </c>
      <c r="G23" s="36">
        <f>P196</f>
        <v>0</v>
      </c>
      <c r="H23" s="124">
        <f>Q192</f>
        <v>0</v>
      </c>
      <c r="I23" s="123">
        <f>R194</f>
        <v>0</v>
      </c>
      <c r="J23" s="123">
        <f>S194</f>
        <v>0</v>
      </c>
      <c r="K23" s="123">
        <f>T194</f>
        <v>0</v>
      </c>
      <c r="L23" s="121" t="e">
        <f>'Summary of Returns'!#REF!</f>
        <v>#REF!</v>
      </c>
      <c r="M23" s="123">
        <f t="shared" si="0"/>
        <v>0</v>
      </c>
      <c r="N23" s="123">
        <f t="shared" si="6"/>
        <v>0</v>
      </c>
      <c r="O23" s="123">
        <f t="shared" si="2"/>
        <v>0</v>
      </c>
      <c r="P23" s="123">
        <f t="shared" si="3"/>
        <v>0</v>
      </c>
      <c r="Q23" s="123">
        <f t="shared" si="4"/>
        <v>0</v>
      </c>
      <c r="W23" s="24"/>
      <c r="X23" s="24"/>
      <c r="Y23" s="24"/>
      <c r="Z23" s="24"/>
      <c r="AA23" s="24"/>
    </row>
    <row r="24" spans="1:27" hidden="1" x14ac:dyDescent="0.2">
      <c r="A24" s="33"/>
      <c r="C24" s="123"/>
      <c r="D24" s="123"/>
      <c r="E24" s="258"/>
      <c r="F24" s="36"/>
      <c r="G24" s="36"/>
      <c r="H24" s="36"/>
      <c r="I24" s="36"/>
      <c r="J24" s="36"/>
      <c r="K24" s="36"/>
      <c r="L24" s="33"/>
      <c r="M24" s="123"/>
      <c r="N24" s="123"/>
      <c r="O24" s="123"/>
      <c r="P24" s="123"/>
      <c r="Q24" s="67"/>
    </row>
    <row r="25" spans="1:27" x14ac:dyDescent="0.2">
      <c r="A25" s="27" t="s">
        <v>0</v>
      </c>
      <c r="B25" s="127"/>
      <c r="C25" s="128">
        <f>SUM(C8:C24)</f>
        <v>70644</v>
      </c>
      <c r="D25" s="128">
        <f t="shared" ref="D25:K25" si="8">SUM(D8:D24)</f>
        <v>1221964154</v>
      </c>
      <c r="E25" s="259">
        <f t="shared" si="8"/>
        <v>149668025.12000006</v>
      </c>
      <c r="F25" s="130">
        <f t="shared" si="8"/>
        <v>7399616.3547002124</v>
      </c>
      <c r="G25" s="130">
        <f t="shared" si="8"/>
        <v>958605.76666206575</v>
      </c>
      <c r="H25" s="130">
        <f t="shared" si="8"/>
        <v>557119.99271756539</v>
      </c>
      <c r="I25" s="130">
        <f t="shared" si="8"/>
        <v>3104664.9999090945</v>
      </c>
      <c r="J25" s="130">
        <f t="shared" si="8"/>
        <v>687398.99997512659</v>
      </c>
      <c r="K25" s="130">
        <f t="shared" si="8"/>
        <v>2417265.9999339683</v>
      </c>
      <c r="L25" s="27" t="s">
        <v>0</v>
      </c>
      <c r="M25" s="128">
        <f t="shared" si="0"/>
        <v>70644</v>
      </c>
      <c r="N25" s="128">
        <f t="shared" si="6"/>
        <v>1221964154</v>
      </c>
      <c r="O25" s="131">
        <f>D25/$D$25</f>
        <v>1</v>
      </c>
      <c r="P25" s="129">
        <f>E25</f>
        <v>149668025.12000006</v>
      </c>
      <c r="Q25" s="131">
        <f>E25/$E$25</f>
        <v>1</v>
      </c>
      <c r="T25" s="93"/>
      <c r="W25" s="24"/>
      <c r="X25" s="24"/>
      <c r="Y25" s="24"/>
      <c r="Z25" s="24"/>
      <c r="AA25" s="24"/>
    </row>
    <row r="26" spans="1:27" x14ac:dyDescent="0.2">
      <c r="A26" s="33" t="s">
        <v>1072</v>
      </c>
      <c r="C26" s="205">
        <f>C25-C18</f>
        <v>70644</v>
      </c>
      <c r="D26" s="205"/>
      <c r="E26" s="260"/>
      <c r="F26" s="36"/>
      <c r="G26" s="36"/>
      <c r="H26" s="36"/>
      <c r="I26" s="36"/>
      <c r="J26" s="36"/>
      <c r="K26" s="36"/>
      <c r="L26" s="33" t="str">
        <f>A26</f>
        <v>Total excl Lighting</v>
      </c>
      <c r="M26" s="205">
        <f t="shared" si="0"/>
        <v>70644</v>
      </c>
      <c r="N26" s="205"/>
      <c r="O26" s="206"/>
      <c r="P26" s="77"/>
      <c r="Q26" s="77"/>
      <c r="R26" s="126"/>
      <c r="T26" s="93"/>
      <c r="W26" s="24"/>
      <c r="X26" s="24"/>
      <c r="Y26" s="24"/>
      <c r="Z26" s="24"/>
      <c r="AA26" s="24"/>
    </row>
    <row r="27" spans="1:27" hidden="1" x14ac:dyDescent="0.2">
      <c r="A27" s="208"/>
      <c r="B27" s="30" t="s">
        <v>1056</v>
      </c>
      <c r="C27" s="258">
        <v>70604</v>
      </c>
      <c r="D27" s="258">
        <v>1221964154</v>
      </c>
      <c r="E27" s="257">
        <v>149119919.81000179</v>
      </c>
      <c r="F27" s="36"/>
      <c r="G27" s="36"/>
      <c r="H27" s="36"/>
      <c r="I27" s="36"/>
      <c r="J27" s="36"/>
      <c r="K27" s="36"/>
      <c r="L27" s="50"/>
      <c r="M27" s="123"/>
      <c r="N27" s="123"/>
      <c r="O27" s="125"/>
      <c r="P27" s="50"/>
      <c r="Q27" s="126"/>
      <c r="R27" s="126"/>
    </row>
    <row r="28" spans="1:27" hidden="1" x14ac:dyDescent="0.2">
      <c r="A28" s="36"/>
      <c r="B28" s="127" t="s">
        <v>1049</v>
      </c>
      <c r="C28" s="128">
        <f>C25-C27</f>
        <v>40</v>
      </c>
      <c r="D28" s="128">
        <f t="shared" ref="D28:E28" si="9">D25-D27</f>
        <v>0</v>
      </c>
      <c r="E28" s="129">
        <f t="shared" si="9"/>
        <v>548105.30999827385</v>
      </c>
      <c r="F28" s="36"/>
      <c r="G28" s="36"/>
      <c r="H28" s="36"/>
      <c r="I28" s="36"/>
      <c r="J28" s="36"/>
      <c r="K28" s="36"/>
      <c r="L28" s="50"/>
      <c r="M28" s="123"/>
      <c r="N28" s="123"/>
      <c r="O28" s="125"/>
      <c r="Q28" s="36"/>
    </row>
    <row r="29" spans="1:27" hidden="1" x14ac:dyDescent="0.2">
      <c r="B29" s="30" t="s">
        <v>1068</v>
      </c>
      <c r="C29" s="123">
        <f>C28-C15</f>
        <v>23</v>
      </c>
      <c r="D29" s="123"/>
      <c r="E29" s="123"/>
      <c r="F29" s="36"/>
      <c r="G29" s="36"/>
      <c r="H29" s="36"/>
      <c r="I29" s="36"/>
      <c r="J29" s="36"/>
      <c r="K29" s="36"/>
      <c r="L29" s="50"/>
      <c r="M29" s="123"/>
      <c r="N29" s="123"/>
      <c r="O29" s="123"/>
      <c r="Q29" s="36"/>
    </row>
    <row r="30" spans="1:27" hidden="1" x14ac:dyDescent="0.2">
      <c r="B30" s="30" t="s">
        <v>1071</v>
      </c>
      <c r="C30" s="201">
        <f>C29/C27</f>
        <v>3.2576058013710272E-4</v>
      </c>
      <c r="D30" s="201">
        <f>D28/D27</f>
        <v>0</v>
      </c>
      <c r="E30" s="201">
        <f>E28/E27</f>
        <v>3.6756008901871152E-3</v>
      </c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6"/>
    </row>
    <row r="31" spans="1:27" x14ac:dyDescent="0.2"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132"/>
      <c r="P31" s="132"/>
      <c r="Q31" s="132"/>
      <c r="U31" s="121"/>
      <c r="W31" s="121"/>
    </row>
    <row r="32" spans="1:27" x14ac:dyDescent="0.2">
      <c r="A32" s="13" t="str">
        <f>A1</f>
        <v>SOUTH KENTUCKY R.E.C.C.</v>
      </c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132"/>
      <c r="P32" s="132"/>
      <c r="Q32" s="132"/>
      <c r="U32" s="121"/>
      <c r="W32" s="121"/>
    </row>
    <row r="33" spans="1:23" x14ac:dyDescent="0.2">
      <c r="A33" s="14" t="s">
        <v>675</v>
      </c>
      <c r="C33" s="189">
        <f>24*31</f>
        <v>744</v>
      </c>
      <c r="D33" s="189">
        <f>24*28</f>
        <v>672</v>
      </c>
      <c r="E33" s="189">
        <f t="shared" ref="E33:N33" si="10">24*31</f>
        <v>744</v>
      </c>
      <c r="F33" s="189">
        <f>24*30</f>
        <v>720</v>
      </c>
      <c r="G33" s="189">
        <f t="shared" si="10"/>
        <v>744</v>
      </c>
      <c r="H33" s="189">
        <f>24*30</f>
        <v>720</v>
      </c>
      <c r="I33" s="189">
        <f t="shared" si="10"/>
        <v>744</v>
      </c>
      <c r="J33" s="189">
        <f t="shared" si="10"/>
        <v>744</v>
      </c>
      <c r="K33" s="189">
        <f>24*30</f>
        <v>720</v>
      </c>
      <c r="L33" s="189">
        <f t="shared" si="10"/>
        <v>744</v>
      </c>
      <c r="M33" s="189">
        <f>24*30</f>
        <v>720</v>
      </c>
      <c r="N33" s="189">
        <f t="shared" si="10"/>
        <v>744</v>
      </c>
      <c r="O33" s="222">
        <f>SUM(C33:N33)</f>
        <v>8760</v>
      </c>
      <c r="P33" s="132"/>
      <c r="Q33" s="132"/>
      <c r="U33" s="121"/>
      <c r="W33" s="121"/>
    </row>
    <row r="34" spans="1:23" s="203" customFormat="1" ht="30.75" customHeight="1" x14ac:dyDescent="0.2">
      <c r="A34" s="14"/>
      <c r="B34" s="30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189"/>
      <c r="P34" s="189"/>
      <c r="Q34" s="204" t="s">
        <v>692</v>
      </c>
    </row>
    <row r="35" spans="1:23" x14ac:dyDescent="0.2">
      <c r="C35" s="189">
        <f>C205</f>
        <v>-6.4325286075472832E-7</v>
      </c>
      <c r="D35" s="189">
        <f t="shared" ref="D35:N35" si="11">D205</f>
        <v>6.6298525780439377E-7</v>
      </c>
      <c r="E35" s="189">
        <f t="shared" si="11"/>
        <v>6.2689650803804398E-8</v>
      </c>
      <c r="F35" s="189">
        <f t="shared" si="11"/>
        <v>2.2345921024680138E-7</v>
      </c>
      <c r="G35" s="189">
        <f t="shared" si="11"/>
        <v>2.7497706469148397E-5</v>
      </c>
      <c r="H35" s="189">
        <f t="shared" si="11"/>
        <v>1.865506055764854E-5</v>
      </c>
      <c r="I35" s="189">
        <f t="shared" si="11"/>
        <v>5.5639247875660658E-6</v>
      </c>
      <c r="J35" s="189">
        <f t="shared" si="11"/>
        <v>6.5451604314148426E-7</v>
      </c>
      <c r="K35" s="189">
        <f t="shared" si="11"/>
        <v>2.8660288080573082E-6</v>
      </c>
      <c r="L35" s="189">
        <f t="shared" si="11"/>
        <v>3.6215875297784805E-5</v>
      </c>
      <c r="M35" s="189">
        <f t="shared" si="11"/>
        <v>-8.4104249253869057E-7</v>
      </c>
      <c r="N35" s="189">
        <f t="shared" si="11"/>
        <v>-1.1525116860866547E-8</v>
      </c>
      <c r="O35" s="50"/>
      <c r="P35" s="24" t="s">
        <v>687</v>
      </c>
      <c r="Q35" s="134" t="s">
        <v>693</v>
      </c>
      <c r="R35" s="24" t="s">
        <v>683</v>
      </c>
      <c r="S35" s="24" t="s">
        <v>685</v>
      </c>
      <c r="T35" s="24" t="s">
        <v>686</v>
      </c>
    </row>
    <row r="36" spans="1:23" s="139" customFormat="1" ht="15" x14ac:dyDescent="0.35">
      <c r="A36" s="135" t="s">
        <v>868</v>
      </c>
      <c r="B36" s="136" t="s">
        <v>869</v>
      </c>
      <c r="C36" s="137" t="s">
        <v>1032</v>
      </c>
      <c r="D36" s="137" t="s">
        <v>1033</v>
      </c>
      <c r="E36" s="137" t="s">
        <v>1034</v>
      </c>
      <c r="F36" s="137" t="s">
        <v>1035</v>
      </c>
      <c r="G36" s="137" t="s">
        <v>1036</v>
      </c>
      <c r="H36" s="137" t="s">
        <v>1037</v>
      </c>
      <c r="I36" s="137" t="s">
        <v>1038</v>
      </c>
      <c r="J36" s="137" t="s">
        <v>1039</v>
      </c>
      <c r="K36" s="137" t="s">
        <v>1040</v>
      </c>
      <c r="L36" s="137" t="s">
        <v>1041</v>
      </c>
      <c r="M36" s="137" t="s">
        <v>1042</v>
      </c>
      <c r="N36" s="137" t="s">
        <v>1043</v>
      </c>
      <c r="O36" s="138" t="s">
        <v>0</v>
      </c>
      <c r="P36" s="138" t="s">
        <v>681</v>
      </c>
      <c r="Q36" s="138" t="s">
        <v>694</v>
      </c>
      <c r="R36" s="138" t="s">
        <v>688</v>
      </c>
      <c r="S36" s="138" t="s">
        <v>688</v>
      </c>
      <c r="T36" s="138" t="s">
        <v>688</v>
      </c>
    </row>
    <row r="37" spans="1:23" x14ac:dyDescent="0.2"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36"/>
    </row>
    <row r="38" spans="1:23" x14ac:dyDescent="0.2">
      <c r="A38" s="15" t="str">
        <f>A8</f>
        <v>Residential, Farm and Non-Farm Service</v>
      </c>
      <c r="B38" s="16" t="str">
        <f>B8</f>
        <v xml:space="preserve">A </v>
      </c>
      <c r="C38" s="234">
        <v>65156</v>
      </c>
      <c r="D38" s="234">
        <v>65238</v>
      </c>
      <c r="E38" s="234">
        <v>65337</v>
      </c>
      <c r="F38" s="234">
        <v>65349</v>
      </c>
      <c r="G38" s="234">
        <v>65479</v>
      </c>
      <c r="H38" s="234">
        <v>64841</v>
      </c>
      <c r="I38" s="234">
        <v>64922</v>
      </c>
      <c r="J38" s="234">
        <v>65002</v>
      </c>
      <c r="K38" s="234">
        <v>65067</v>
      </c>
      <c r="L38" s="234">
        <v>65051</v>
      </c>
      <c r="M38" s="234">
        <v>65007</v>
      </c>
      <c r="N38" s="234">
        <v>65097</v>
      </c>
      <c r="O38" s="50">
        <f>ROUND(SUM(C38:N38)/12,0)</f>
        <v>65129</v>
      </c>
      <c r="P38" s="50"/>
      <c r="Q38" s="36"/>
    </row>
    <row r="39" spans="1:23" x14ac:dyDescent="0.2">
      <c r="A39" s="14" t="s">
        <v>1055</v>
      </c>
      <c r="C39" s="234">
        <v>98305788</v>
      </c>
      <c r="D39" s="234">
        <v>98008781</v>
      </c>
      <c r="E39" s="234">
        <v>64507984</v>
      </c>
      <c r="F39" s="234">
        <v>56119572</v>
      </c>
      <c r="G39" s="234">
        <v>45485046</v>
      </c>
      <c r="H39" s="234">
        <v>49558205</v>
      </c>
      <c r="I39" s="234">
        <v>57785616</v>
      </c>
      <c r="J39" s="234">
        <v>67624412</v>
      </c>
      <c r="K39" s="234">
        <v>60150781</v>
      </c>
      <c r="L39" s="234">
        <v>45426448</v>
      </c>
      <c r="M39" s="234">
        <v>51885020</v>
      </c>
      <c r="N39" s="234">
        <v>71703817</v>
      </c>
      <c r="O39" s="50">
        <f>SUM(C39:N39)</f>
        <v>766561470</v>
      </c>
      <c r="P39" s="132"/>
      <c r="Q39" s="132"/>
      <c r="U39" s="121"/>
      <c r="W39" s="121"/>
    </row>
    <row r="40" spans="1:23" x14ac:dyDescent="0.2">
      <c r="A40" s="14" t="s">
        <v>678</v>
      </c>
      <c r="C40" s="234">
        <f>C39/C$33</f>
        <v>132131.43548387097</v>
      </c>
      <c r="D40" s="234">
        <f t="shared" ref="D40:N40" si="12">D39/D$33</f>
        <v>145846.40029761905</v>
      </c>
      <c r="E40" s="234">
        <f t="shared" si="12"/>
        <v>86704.279569892475</v>
      </c>
      <c r="F40" s="234">
        <f t="shared" si="12"/>
        <v>77943.850000000006</v>
      </c>
      <c r="G40" s="234">
        <f t="shared" si="12"/>
        <v>61135.81451612903</v>
      </c>
      <c r="H40" s="234">
        <f t="shared" si="12"/>
        <v>68830.840277777781</v>
      </c>
      <c r="I40" s="234">
        <f t="shared" si="12"/>
        <v>77668.838709677424</v>
      </c>
      <c r="J40" s="234">
        <f t="shared" si="12"/>
        <v>90893.026881720434</v>
      </c>
      <c r="K40" s="234">
        <f t="shared" si="12"/>
        <v>83542.751388888893</v>
      </c>
      <c r="L40" s="234">
        <f t="shared" si="12"/>
        <v>61057.053763440861</v>
      </c>
      <c r="M40" s="234">
        <f t="shared" si="12"/>
        <v>72062.527777777781</v>
      </c>
      <c r="N40" s="234">
        <f t="shared" si="12"/>
        <v>96376.098118279566</v>
      </c>
      <c r="O40" s="50">
        <f>O39/8760</f>
        <v>87507.017123287675</v>
      </c>
      <c r="P40" s="50"/>
      <c r="Q40" s="50"/>
    </row>
    <row r="41" spans="1:23" x14ac:dyDescent="0.2">
      <c r="A41" s="14" t="s">
        <v>755</v>
      </c>
      <c r="B41" s="30" t="s">
        <v>1044</v>
      </c>
      <c r="C41" s="261">
        <v>0.31587300231141996</v>
      </c>
      <c r="D41" s="261">
        <v>0.63489806503807789</v>
      </c>
      <c r="E41" s="261">
        <v>0.39090569200680675</v>
      </c>
      <c r="F41" s="261">
        <v>0.53709874995690421</v>
      </c>
      <c r="G41" s="261">
        <v>0.3901382813325639</v>
      </c>
      <c r="H41" s="261">
        <v>0.48240247300348765</v>
      </c>
      <c r="I41" s="261">
        <v>0.38597018889218004</v>
      </c>
      <c r="J41" s="261">
        <v>0.4546141266723962</v>
      </c>
      <c r="K41" s="261">
        <v>0.53663712900012128</v>
      </c>
      <c r="L41" s="261">
        <v>0.4080568548824835</v>
      </c>
      <c r="M41" s="261">
        <v>0.26338586530173896</v>
      </c>
      <c r="N41" s="261">
        <v>0.38713715191942721</v>
      </c>
      <c r="O41" s="67"/>
      <c r="Q41" s="36"/>
    </row>
    <row r="42" spans="1:23" x14ac:dyDescent="0.2">
      <c r="A42" s="14" t="s">
        <v>756</v>
      </c>
      <c r="C42" s="234">
        <f>C40/C41</f>
        <v>418305.5674812065</v>
      </c>
      <c r="D42" s="234">
        <f t="shared" ref="D42:N42" si="13">D40/D41</f>
        <v>229716.24632195398</v>
      </c>
      <c r="E42" s="234">
        <f t="shared" si="13"/>
        <v>221803.57396377515</v>
      </c>
      <c r="F42" s="234">
        <f t="shared" si="13"/>
        <v>145120.14784293217</v>
      </c>
      <c r="G42" s="234">
        <f t="shared" si="13"/>
        <v>156702.93698765564</v>
      </c>
      <c r="H42" s="234">
        <f t="shared" si="13"/>
        <v>142683.4316358908</v>
      </c>
      <c r="I42" s="234">
        <f t="shared" si="13"/>
        <v>201230.1492314839</v>
      </c>
      <c r="J42" s="234">
        <f t="shared" si="13"/>
        <v>199934.45330663849</v>
      </c>
      <c r="K42" s="234">
        <f t="shared" si="13"/>
        <v>155678.29148264174</v>
      </c>
      <c r="L42" s="234">
        <f t="shared" si="13"/>
        <v>149628.79077481671</v>
      </c>
      <c r="M42" s="234">
        <f t="shared" si="13"/>
        <v>273600.58860873885</v>
      </c>
      <c r="N42" s="234">
        <f t="shared" si="13"/>
        <v>248945.61950576576</v>
      </c>
      <c r="O42" s="50">
        <f>SUM(C42:N42)</f>
        <v>2543349.7971434998</v>
      </c>
      <c r="Q42" s="36">
        <f>MAX(C42:N42)</f>
        <v>418305.5674812065</v>
      </c>
    </row>
    <row r="43" spans="1:23" x14ac:dyDescent="0.2">
      <c r="A43" s="14" t="s">
        <v>679</v>
      </c>
      <c r="B43" s="30" t="s">
        <v>1044</v>
      </c>
      <c r="C43" s="261">
        <v>0.95</v>
      </c>
      <c r="D43" s="261">
        <v>0.95</v>
      </c>
      <c r="E43" s="261">
        <v>0.9</v>
      </c>
      <c r="F43" s="261">
        <v>0.9</v>
      </c>
      <c r="G43" s="261">
        <v>0.95</v>
      </c>
      <c r="H43" s="261">
        <v>0.95</v>
      </c>
      <c r="I43" s="261">
        <v>0.95</v>
      </c>
      <c r="J43" s="261">
        <v>0.95</v>
      </c>
      <c r="K43" s="261">
        <v>0.95</v>
      </c>
      <c r="L43" s="261">
        <v>0.9</v>
      </c>
      <c r="M43" s="261">
        <v>0.9</v>
      </c>
      <c r="N43" s="261">
        <v>0.95</v>
      </c>
      <c r="O43" s="67"/>
      <c r="P43" s="50"/>
      <c r="Q43" s="36"/>
    </row>
    <row r="44" spans="1:23" x14ac:dyDescent="0.2">
      <c r="A44" s="14" t="s">
        <v>680</v>
      </c>
      <c r="C44" s="234">
        <f>C42*C43</f>
        <v>397390.28910714615</v>
      </c>
      <c r="D44" s="234">
        <f t="shared" ref="D44:N44" si="14">D42*D43</f>
        <v>218230.43400585628</v>
      </c>
      <c r="E44" s="234">
        <f t="shared" si="14"/>
        <v>199623.21656739764</v>
      </c>
      <c r="F44" s="234">
        <f t="shared" si="14"/>
        <v>130608.13305863895</v>
      </c>
      <c r="G44" s="234">
        <f t="shared" si="14"/>
        <v>148867.79013827286</v>
      </c>
      <c r="H44" s="234">
        <f t="shared" si="14"/>
        <v>135549.26005409626</v>
      </c>
      <c r="I44" s="234">
        <f t="shared" si="14"/>
        <v>191168.64176990971</v>
      </c>
      <c r="J44" s="234">
        <f t="shared" si="14"/>
        <v>189937.73064130655</v>
      </c>
      <c r="K44" s="234">
        <f t="shared" si="14"/>
        <v>147894.37690850964</v>
      </c>
      <c r="L44" s="234">
        <f t="shared" si="14"/>
        <v>134665.91169733505</v>
      </c>
      <c r="M44" s="234">
        <f t="shared" si="14"/>
        <v>246240.52974786496</v>
      </c>
      <c r="N44" s="234">
        <f t="shared" si="14"/>
        <v>236498.33853047746</v>
      </c>
      <c r="O44" s="50">
        <f>SUM(C44:N44)</f>
        <v>2376674.6522268122</v>
      </c>
      <c r="P44" s="50"/>
      <c r="Q44" s="36"/>
      <c r="R44" s="36">
        <f>O44</f>
        <v>2376674.6522268122</v>
      </c>
      <c r="S44" s="36">
        <f>H44+I44+J44</f>
        <v>516655.63246531255</v>
      </c>
      <c r="T44" s="36">
        <f>R44-S44</f>
        <v>1860019.0197614997</v>
      </c>
    </row>
    <row r="45" spans="1:23" x14ac:dyDescent="0.2">
      <c r="A45" s="14" t="s">
        <v>757</v>
      </c>
      <c r="C45" s="261">
        <v>0.18</v>
      </c>
      <c r="D45" s="261">
        <v>0.18</v>
      </c>
      <c r="E45" s="261">
        <v>0.18</v>
      </c>
      <c r="F45" s="261">
        <v>0.18</v>
      </c>
      <c r="G45" s="261">
        <v>0.18</v>
      </c>
      <c r="H45" s="261">
        <v>0.18</v>
      </c>
      <c r="I45" s="261">
        <v>0.18</v>
      </c>
      <c r="J45" s="261">
        <v>0.18</v>
      </c>
      <c r="K45" s="261">
        <v>0.18</v>
      </c>
      <c r="L45" s="261">
        <v>0.18</v>
      </c>
      <c r="M45" s="261">
        <v>0.18</v>
      </c>
      <c r="N45" s="261">
        <v>0.18</v>
      </c>
      <c r="O45" s="67"/>
      <c r="P45" s="132"/>
      <c r="Q45" s="132"/>
      <c r="U45" s="121"/>
      <c r="W45" s="121"/>
    </row>
    <row r="46" spans="1:23" x14ac:dyDescent="0.2">
      <c r="A46" s="14" t="s">
        <v>758</v>
      </c>
      <c r="C46" s="234">
        <f>C40/C45</f>
        <v>734063.53046594991</v>
      </c>
      <c r="D46" s="234">
        <f t="shared" ref="D46:N46" si="15">D40/D45</f>
        <v>810257.779431217</v>
      </c>
      <c r="E46" s="234">
        <f t="shared" si="15"/>
        <v>481690.4420549582</v>
      </c>
      <c r="F46" s="234">
        <f t="shared" si="15"/>
        <v>433021.38888888893</v>
      </c>
      <c r="G46" s="234">
        <f t="shared" si="15"/>
        <v>339643.41397849465</v>
      </c>
      <c r="H46" s="234">
        <f t="shared" si="15"/>
        <v>382393.55709876545</v>
      </c>
      <c r="I46" s="234">
        <f t="shared" si="15"/>
        <v>431493.54838709679</v>
      </c>
      <c r="J46" s="234">
        <f t="shared" si="15"/>
        <v>504961.26045400242</v>
      </c>
      <c r="K46" s="234">
        <f t="shared" si="15"/>
        <v>464126.39660493832</v>
      </c>
      <c r="L46" s="234">
        <f t="shared" si="15"/>
        <v>339205.85424133815</v>
      </c>
      <c r="M46" s="234">
        <f t="shared" si="15"/>
        <v>400347.37654320989</v>
      </c>
      <c r="N46" s="234">
        <f t="shared" si="15"/>
        <v>535422.76732377533</v>
      </c>
      <c r="O46" s="50">
        <f>SUM(C46:N46)</f>
        <v>5856627.3154726354</v>
      </c>
      <c r="P46" s="50">
        <f>MAX(C46:N46)</f>
        <v>810257.779431217</v>
      </c>
      <c r="Q46" s="50"/>
    </row>
    <row r="47" spans="1:23" x14ac:dyDescent="0.2"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50"/>
      <c r="P47" s="50"/>
      <c r="Q47" s="50"/>
    </row>
    <row r="48" spans="1:23" x14ac:dyDescent="0.2">
      <c r="A48" s="15" t="str">
        <f>A9</f>
        <v>Small Commercial Rate</v>
      </c>
      <c r="B48" s="16" t="str">
        <f>B9</f>
        <v>B</v>
      </c>
      <c r="C48" s="234">
        <v>4810</v>
      </c>
      <c r="D48" s="234">
        <v>4802</v>
      </c>
      <c r="E48" s="234">
        <v>5032</v>
      </c>
      <c r="F48" s="234">
        <v>5042</v>
      </c>
      <c r="G48" s="234">
        <v>5047</v>
      </c>
      <c r="H48" s="234">
        <v>4801</v>
      </c>
      <c r="I48" s="234">
        <v>4827</v>
      </c>
      <c r="J48" s="234">
        <v>4844</v>
      </c>
      <c r="K48" s="234">
        <v>4843</v>
      </c>
      <c r="L48" s="234">
        <v>4822</v>
      </c>
      <c r="M48" s="234">
        <v>4818</v>
      </c>
      <c r="N48" s="234">
        <v>4815</v>
      </c>
      <c r="O48" s="50">
        <f>ROUND(SUM(C48:N48)/12,0)</f>
        <v>4875</v>
      </c>
      <c r="P48" s="50"/>
      <c r="Q48" s="36"/>
    </row>
    <row r="49" spans="1:23" x14ac:dyDescent="0.2">
      <c r="A49" s="14" t="s">
        <v>1055</v>
      </c>
      <c r="C49" s="234">
        <v>6452177</v>
      </c>
      <c r="D49" s="234">
        <v>6741305</v>
      </c>
      <c r="E49" s="234">
        <v>5137456</v>
      </c>
      <c r="F49" s="234">
        <v>5898939</v>
      </c>
      <c r="G49" s="234">
        <v>5715094</v>
      </c>
      <c r="H49" s="234">
        <v>5410886</v>
      </c>
      <c r="I49" s="234">
        <v>5925910</v>
      </c>
      <c r="J49" s="234">
        <v>6875442</v>
      </c>
      <c r="K49" s="234">
        <v>6414030</v>
      </c>
      <c r="L49" s="234">
        <v>5022374</v>
      </c>
      <c r="M49" s="234">
        <v>4907965</v>
      </c>
      <c r="N49" s="234">
        <v>5464792</v>
      </c>
      <c r="O49" s="50">
        <f>SUM(C49:N49)</f>
        <v>69966370</v>
      </c>
      <c r="P49" s="132"/>
      <c r="Q49" s="132"/>
      <c r="U49" s="121"/>
      <c r="W49" s="121"/>
    </row>
    <row r="50" spans="1:23" x14ac:dyDescent="0.2">
      <c r="A50" s="14" t="s">
        <v>678</v>
      </c>
      <c r="C50" s="234">
        <f>C49/C$33</f>
        <v>8672.2809139784949</v>
      </c>
      <c r="D50" s="234">
        <f t="shared" ref="D50" si="16">D49/D$33</f>
        <v>10031.703869047618</v>
      </c>
      <c r="E50" s="234">
        <f t="shared" ref="E50" si="17">E49/E$33</f>
        <v>6905.1827956989246</v>
      </c>
      <c r="F50" s="234">
        <f t="shared" ref="F50" si="18">F49/F$33</f>
        <v>8192.9708333333328</v>
      </c>
      <c r="G50" s="234">
        <f t="shared" ref="G50" si="19">G49/G$33</f>
        <v>7681.5779569892475</v>
      </c>
      <c r="H50" s="234">
        <f t="shared" ref="H50" si="20">H49/H$33</f>
        <v>7515.1194444444445</v>
      </c>
      <c r="I50" s="234">
        <f t="shared" ref="I50" si="21">I49/I$33</f>
        <v>7964.9327956989246</v>
      </c>
      <c r="J50" s="234">
        <f t="shared" ref="J50" si="22">J49/J$33</f>
        <v>9241.1854838709678</v>
      </c>
      <c r="K50" s="234">
        <f t="shared" ref="K50" si="23">K49/K$33</f>
        <v>8908.375</v>
      </c>
      <c r="L50" s="234">
        <f t="shared" ref="L50" si="24">L49/L$33</f>
        <v>6750.5026881720432</v>
      </c>
      <c r="M50" s="234">
        <f t="shared" ref="M50" si="25">M49/M$33</f>
        <v>6816.6180555555557</v>
      </c>
      <c r="N50" s="234">
        <f t="shared" ref="N50" si="26">N49/N$33</f>
        <v>7345.1505376344085</v>
      </c>
      <c r="O50" s="50">
        <f>O49/8760</f>
        <v>7987.028538812785</v>
      </c>
      <c r="P50" s="50"/>
      <c r="Q50" s="50"/>
    </row>
    <row r="51" spans="1:23" x14ac:dyDescent="0.2">
      <c r="A51" s="14" t="s">
        <v>755</v>
      </c>
      <c r="C51" s="261">
        <f>C41</f>
        <v>0.31587300231141996</v>
      </c>
      <c r="D51" s="261">
        <f t="shared" ref="D51:N51" si="27">D41</f>
        <v>0.63489806503807789</v>
      </c>
      <c r="E51" s="261">
        <f t="shared" si="27"/>
        <v>0.39090569200680675</v>
      </c>
      <c r="F51" s="261">
        <f t="shared" si="27"/>
        <v>0.53709874995690421</v>
      </c>
      <c r="G51" s="261">
        <f t="shared" si="27"/>
        <v>0.3901382813325639</v>
      </c>
      <c r="H51" s="261">
        <f t="shared" si="27"/>
        <v>0.48240247300348765</v>
      </c>
      <c r="I51" s="261">
        <f t="shared" si="27"/>
        <v>0.38597018889218004</v>
      </c>
      <c r="J51" s="261">
        <f t="shared" si="27"/>
        <v>0.4546141266723962</v>
      </c>
      <c r="K51" s="261">
        <f t="shared" si="27"/>
        <v>0.53663712900012128</v>
      </c>
      <c r="L51" s="261">
        <f t="shared" si="27"/>
        <v>0.4080568548824835</v>
      </c>
      <c r="M51" s="261">
        <f t="shared" si="27"/>
        <v>0.26338586530173896</v>
      </c>
      <c r="N51" s="261">
        <f t="shared" si="27"/>
        <v>0.38713715191942721</v>
      </c>
      <c r="O51" s="67"/>
      <c r="Q51" s="36"/>
    </row>
    <row r="52" spans="1:23" x14ac:dyDescent="0.2">
      <c r="A52" s="14" t="s">
        <v>756</v>
      </c>
      <c r="C52" s="234">
        <f>C50/C51</f>
        <v>27454.960856162288</v>
      </c>
      <c r="D52" s="234">
        <f t="shared" ref="D52:N52" si="28">D50/D51</f>
        <v>15800.49526288282</v>
      </c>
      <c r="E52" s="234">
        <f t="shared" si="28"/>
        <v>17664.574696391697</v>
      </c>
      <c r="F52" s="234">
        <f t="shared" si="28"/>
        <v>15254.123816133852</v>
      </c>
      <c r="G52" s="234">
        <f t="shared" si="28"/>
        <v>19689.372523895632</v>
      </c>
      <c r="H52" s="234">
        <f t="shared" si="28"/>
        <v>15578.525950861185</v>
      </c>
      <c r="I52" s="234">
        <f t="shared" si="28"/>
        <v>20636.134667705934</v>
      </c>
      <c r="J52" s="234">
        <f t="shared" si="28"/>
        <v>20327.537007072257</v>
      </c>
      <c r="K52" s="234">
        <f t="shared" si="28"/>
        <v>16600.370191675625</v>
      </c>
      <c r="L52" s="234">
        <f t="shared" si="28"/>
        <v>16543.044449323424</v>
      </c>
      <c r="M52" s="234">
        <f t="shared" si="28"/>
        <v>25880.728442835501</v>
      </c>
      <c r="N52" s="234">
        <f t="shared" si="28"/>
        <v>18972.99316590291</v>
      </c>
      <c r="O52" s="50">
        <f>SUM(C52:N52)</f>
        <v>230402.86103084311</v>
      </c>
      <c r="Q52" s="36">
        <f>MAX(C52:N52)</f>
        <v>27454.960856162288</v>
      </c>
    </row>
    <row r="53" spans="1:23" x14ac:dyDescent="0.2">
      <c r="A53" s="14" t="s">
        <v>679</v>
      </c>
      <c r="C53" s="261">
        <v>0</v>
      </c>
      <c r="D53" s="261">
        <v>0</v>
      </c>
      <c r="E53" s="261">
        <v>0</v>
      </c>
      <c r="F53" s="261">
        <v>0</v>
      </c>
      <c r="G53" s="261">
        <v>0</v>
      </c>
      <c r="H53" s="261">
        <v>0</v>
      </c>
      <c r="I53" s="261">
        <v>0</v>
      </c>
      <c r="J53" s="261">
        <v>0</v>
      </c>
      <c r="K53" s="261">
        <v>0</v>
      </c>
      <c r="L53" s="261">
        <v>0</v>
      </c>
      <c r="M53" s="261">
        <v>0</v>
      </c>
      <c r="N53" s="261">
        <v>0</v>
      </c>
      <c r="O53" s="67"/>
      <c r="P53" s="50"/>
      <c r="Q53" s="36"/>
    </row>
    <row r="54" spans="1:23" x14ac:dyDescent="0.2">
      <c r="A54" s="14" t="s">
        <v>680</v>
      </c>
      <c r="C54" s="234">
        <f>C52*C53</f>
        <v>0</v>
      </c>
      <c r="D54" s="234">
        <f t="shared" ref="D54:N54" si="29">D52*D53</f>
        <v>0</v>
      </c>
      <c r="E54" s="234">
        <f t="shared" si="29"/>
        <v>0</v>
      </c>
      <c r="F54" s="234">
        <f t="shared" si="29"/>
        <v>0</v>
      </c>
      <c r="G54" s="234">
        <f t="shared" si="29"/>
        <v>0</v>
      </c>
      <c r="H54" s="234">
        <f t="shared" si="29"/>
        <v>0</v>
      </c>
      <c r="I54" s="234">
        <f t="shared" si="29"/>
        <v>0</v>
      </c>
      <c r="J54" s="234">
        <f t="shared" si="29"/>
        <v>0</v>
      </c>
      <c r="K54" s="234">
        <f t="shared" si="29"/>
        <v>0</v>
      </c>
      <c r="L54" s="234">
        <f t="shared" si="29"/>
        <v>0</v>
      </c>
      <c r="M54" s="234">
        <f t="shared" si="29"/>
        <v>0</v>
      </c>
      <c r="N54" s="234">
        <f t="shared" si="29"/>
        <v>0</v>
      </c>
      <c r="O54" s="50">
        <f>SUM(C54:N54)</f>
        <v>0</v>
      </c>
      <c r="P54" s="50"/>
      <c r="Q54" s="36"/>
      <c r="R54" s="36">
        <f>O54</f>
        <v>0</v>
      </c>
      <c r="S54" s="36">
        <f>H54+I54+J54</f>
        <v>0</v>
      </c>
      <c r="T54" s="36">
        <f>R54-S54</f>
        <v>0</v>
      </c>
    </row>
    <row r="55" spans="1:23" x14ac:dyDescent="0.2">
      <c r="A55" s="14" t="s">
        <v>757</v>
      </c>
      <c r="C55" s="261">
        <v>0.23</v>
      </c>
      <c r="D55" s="261">
        <f>C55</f>
        <v>0.23</v>
      </c>
      <c r="E55" s="261">
        <f t="shared" ref="E55:N55" si="30">D55</f>
        <v>0.23</v>
      </c>
      <c r="F55" s="261">
        <f t="shared" si="30"/>
        <v>0.23</v>
      </c>
      <c r="G55" s="261">
        <f t="shared" si="30"/>
        <v>0.23</v>
      </c>
      <c r="H55" s="261">
        <f t="shared" si="30"/>
        <v>0.23</v>
      </c>
      <c r="I55" s="261">
        <f t="shared" si="30"/>
        <v>0.23</v>
      </c>
      <c r="J55" s="261">
        <f t="shared" si="30"/>
        <v>0.23</v>
      </c>
      <c r="K55" s="261">
        <f t="shared" si="30"/>
        <v>0.23</v>
      </c>
      <c r="L55" s="261">
        <f t="shared" si="30"/>
        <v>0.23</v>
      </c>
      <c r="M55" s="261">
        <f t="shared" si="30"/>
        <v>0.23</v>
      </c>
      <c r="N55" s="261">
        <f t="shared" si="30"/>
        <v>0.23</v>
      </c>
      <c r="O55" s="67"/>
      <c r="P55" s="132"/>
      <c r="Q55" s="132"/>
      <c r="U55" s="121"/>
      <c r="W55" s="121"/>
    </row>
    <row r="56" spans="1:23" x14ac:dyDescent="0.2">
      <c r="A56" s="14" t="s">
        <v>758</v>
      </c>
      <c r="C56" s="234">
        <f>C50/C55</f>
        <v>37705.569191210845</v>
      </c>
      <c r="D56" s="234">
        <f t="shared" ref="D56:N56" si="31">D50/D55</f>
        <v>43616.103778467907</v>
      </c>
      <c r="E56" s="234">
        <f t="shared" si="31"/>
        <v>30022.533894343149</v>
      </c>
      <c r="F56" s="234">
        <f t="shared" si="31"/>
        <v>35621.612318840576</v>
      </c>
      <c r="G56" s="234">
        <f t="shared" si="31"/>
        <v>33398.165030388031</v>
      </c>
      <c r="H56" s="234">
        <f t="shared" si="31"/>
        <v>32674.432367149759</v>
      </c>
      <c r="I56" s="234">
        <f t="shared" si="31"/>
        <v>34630.142589995325</v>
      </c>
      <c r="J56" s="234">
        <f t="shared" si="31"/>
        <v>40179.067321178118</v>
      </c>
      <c r="K56" s="234">
        <f t="shared" si="31"/>
        <v>38732.065217391304</v>
      </c>
      <c r="L56" s="234">
        <f t="shared" si="31"/>
        <v>29350.011687704533</v>
      </c>
      <c r="M56" s="234">
        <f t="shared" si="31"/>
        <v>29637.469806763285</v>
      </c>
      <c r="N56" s="234">
        <f t="shared" si="31"/>
        <v>31935.4371201496</v>
      </c>
      <c r="O56" s="50">
        <f>SUM(C56:N56)</f>
        <v>417502.61032358243</v>
      </c>
      <c r="P56" s="50">
        <f>MAX(C56:N56)</f>
        <v>43616.103778467907</v>
      </c>
      <c r="Q56" s="50"/>
    </row>
    <row r="57" spans="1:23" x14ac:dyDescent="0.2"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132"/>
      <c r="P57" s="132"/>
      <c r="Q57" s="132"/>
      <c r="U57" s="121"/>
      <c r="W57" s="121"/>
    </row>
    <row r="58" spans="1:23" x14ac:dyDescent="0.2">
      <c r="A58" s="15" t="str">
        <f>A10</f>
        <v>Large Power Rate (Excess of 50 kVA)</v>
      </c>
      <c r="B58" s="16" t="str">
        <f>B10</f>
        <v>LP</v>
      </c>
      <c r="C58" s="234">
        <v>486</v>
      </c>
      <c r="D58" s="234">
        <v>484</v>
      </c>
      <c r="E58" s="234">
        <v>341</v>
      </c>
      <c r="F58" s="234">
        <v>341</v>
      </c>
      <c r="G58" s="234">
        <v>345</v>
      </c>
      <c r="H58" s="234">
        <v>474</v>
      </c>
      <c r="I58" s="234">
        <v>477</v>
      </c>
      <c r="J58" s="234">
        <v>479</v>
      </c>
      <c r="K58" s="234">
        <v>478</v>
      </c>
      <c r="L58" s="234">
        <v>480</v>
      </c>
      <c r="M58" s="234">
        <v>482</v>
      </c>
      <c r="N58" s="234">
        <v>481</v>
      </c>
      <c r="O58" s="50">
        <f>ROUND(SUM(C58:N58)/12,0)</f>
        <v>446</v>
      </c>
      <c r="P58" s="50"/>
      <c r="Q58" s="36"/>
    </row>
    <row r="59" spans="1:23" x14ac:dyDescent="0.2">
      <c r="A59" s="14" t="s">
        <v>1055</v>
      </c>
      <c r="C59" s="234">
        <v>14383680</v>
      </c>
      <c r="D59" s="234">
        <v>17111461</v>
      </c>
      <c r="E59" s="234">
        <v>14634018</v>
      </c>
      <c r="F59" s="234">
        <v>13425569</v>
      </c>
      <c r="G59" s="234">
        <v>13321844</v>
      </c>
      <c r="H59" s="234">
        <v>15270573</v>
      </c>
      <c r="I59" s="234">
        <v>15747321</v>
      </c>
      <c r="J59" s="234">
        <v>16969828</v>
      </c>
      <c r="K59" s="234">
        <v>17512567</v>
      </c>
      <c r="L59" s="234">
        <v>15528902</v>
      </c>
      <c r="M59" s="234">
        <v>14973352</v>
      </c>
      <c r="N59" s="234">
        <v>14191885</v>
      </c>
      <c r="O59" s="50">
        <f>SUM(C59:N59)</f>
        <v>183071000</v>
      </c>
      <c r="P59" s="132"/>
      <c r="Q59" s="132"/>
      <c r="U59" s="121"/>
      <c r="W59" s="121"/>
    </row>
    <row r="60" spans="1:23" x14ac:dyDescent="0.2">
      <c r="A60" s="14" t="s">
        <v>678</v>
      </c>
      <c r="C60" s="234">
        <f>C59/C$33</f>
        <v>19332.903225806451</v>
      </c>
      <c r="D60" s="234">
        <f t="shared" ref="D60:N60" si="32">D59/D$33</f>
        <v>25463.483630952382</v>
      </c>
      <c r="E60" s="234">
        <f t="shared" si="32"/>
        <v>19669.379032258064</v>
      </c>
      <c r="F60" s="234">
        <f t="shared" si="32"/>
        <v>18646.62361111111</v>
      </c>
      <c r="G60" s="234">
        <f t="shared" si="32"/>
        <v>17905.704301075268</v>
      </c>
      <c r="H60" s="234">
        <f t="shared" si="32"/>
        <v>21209.129166666666</v>
      </c>
      <c r="I60" s="234">
        <f t="shared" si="32"/>
        <v>21165.754032258064</v>
      </c>
      <c r="J60" s="234">
        <f t="shared" si="32"/>
        <v>22808.908602150539</v>
      </c>
      <c r="K60" s="234">
        <f t="shared" si="32"/>
        <v>24323.009722222221</v>
      </c>
      <c r="L60" s="234">
        <f t="shared" si="32"/>
        <v>20872.180107526881</v>
      </c>
      <c r="M60" s="234">
        <f t="shared" si="32"/>
        <v>20796.322222222221</v>
      </c>
      <c r="N60" s="234">
        <f t="shared" si="32"/>
        <v>19075.114247311827</v>
      </c>
      <c r="O60" s="50">
        <f>O59/8760</f>
        <v>20898.51598173516</v>
      </c>
      <c r="P60" s="50"/>
      <c r="Q60" s="50"/>
    </row>
    <row r="61" spans="1:23" x14ac:dyDescent="0.2">
      <c r="A61" s="14" t="s">
        <v>755</v>
      </c>
      <c r="C61" s="261">
        <v>0.5</v>
      </c>
      <c r="D61" s="261">
        <f>C61</f>
        <v>0.5</v>
      </c>
      <c r="E61" s="261">
        <f t="shared" ref="E61" si="33">D61</f>
        <v>0.5</v>
      </c>
      <c r="F61" s="261">
        <f t="shared" ref="F61" si="34">E61</f>
        <v>0.5</v>
      </c>
      <c r="G61" s="261">
        <f t="shared" ref="G61" si="35">F61</f>
        <v>0.5</v>
      </c>
      <c r="H61" s="261">
        <f t="shared" ref="H61" si="36">G61</f>
        <v>0.5</v>
      </c>
      <c r="I61" s="261">
        <f t="shared" ref="I61" si="37">H61</f>
        <v>0.5</v>
      </c>
      <c r="J61" s="261">
        <f t="shared" ref="J61" si="38">I61</f>
        <v>0.5</v>
      </c>
      <c r="K61" s="261">
        <f t="shared" ref="K61" si="39">J61</f>
        <v>0.5</v>
      </c>
      <c r="L61" s="261">
        <f t="shared" ref="L61" si="40">K61</f>
        <v>0.5</v>
      </c>
      <c r="M61" s="261">
        <f t="shared" ref="M61" si="41">L61</f>
        <v>0.5</v>
      </c>
      <c r="N61" s="261">
        <f t="shared" ref="N61" si="42">M61</f>
        <v>0.5</v>
      </c>
      <c r="O61" s="67"/>
      <c r="Q61" s="36"/>
    </row>
    <row r="62" spans="1:23" x14ac:dyDescent="0.2">
      <c r="A62" s="14" t="s">
        <v>756</v>
      </c>
      <c r="C62" s="234">
        <f>C60/C61</f>
        <v>38665.806451612902</v>
      </c>
      <c r="D62" s="234">
        <f t="shared" ref="D62:N62" si="43">D60/D61</f>
        <v>50926.967261904763</v>
      </c>
      <c r="E62" s="234">
        <f t="shared" si="43"/>
        <v>39338.758064516129</v>
      </c>
      <c r="F62" s="234">
        <f t="shared" si="43"/>
        <v>37293.24722222222</v>
      </c>
      <c r="G62" s="234">
        <f t="shared" si="43"/>
        <v>35811.408602150535</v>
      </c>
      <c r="H62" s="234">
        <f t="shared" si="43"/>
        <v>42418.258333333331</v>
      </c>
      <c r="I62" s="234">
        <f t="shared" si="43"/>
        <v>42331.508064516129</v>
      </c>
      <c r="J62" s="234">
        <f t="shared" si="43"/>
        <v>45617.817204301078</v>
      </c>
      <c r="K62" s="234">
        <f t="shared" si="43"/>
        <v>48646.019444444442</v>
      </c>
      <c r="L62" s="234">
        <f t="shared" si="43"/>
        <v>41744.360215053763</v>
      </c>
      <c r="M62" s="234">
        <f t="shared" si="43"/>
        <v>41592.644444444442</v>
      </c>
      <c r="N62" s="234">
        <f t="shared" si="43"/>
        <v>38150.228494623654</v>
      </c>
      <c r="O62" s="50">
        <f>SUM(C62:N62)</f>
        <v>502537.02380312345</v>
      </c>
      <c r="Q62" s="36">
        <f>MAX(C62:N62)</f>
        <v>50926.967261904763</v>
      </c>
    </row>
    <row r="63" spans="1:23" x14ac:dyDescent="0.2">
      <c r="A63" s="14" t="s">
        <v>679</v>
      </c>
      <c r="C63" s="261">
        <v>0.75</v>
      </c>
      <c r="D63" s="261">
        <v>0.75</v>
      </c>
      <c r="E63" s="261">
        <v>0.75</v>
      </c>
      <c r="F63" s="261">
        <v>0.75</v>
      </c>
      <c r="G63" s="261">
        <v>0.75</v>
      </c>
      <c r="H63" s="261">
        <v>0.75</v>
      </c>
      <c r="I63" s="261">
        <v>0.75</v>
      </c>
      <c r="J63" s="261">
        <v>0.75</v>
      </c>
      <c r="K63" s="261">
        <v>0.75</v>
      </c>
      <c r="L63" s="261">
        <v>0.75</v>
      </c>
      <c r="M63" s="261">
        <v>0.75</v>
      </c>
      <c r="N63" s="261">
        <v>0.75</v>
      </c>
      <c r="O63" s="67"/>
      <c r="P63" s="50"/>
      <c r="Q63" s="36"/>
    </row>
    <row r="64" spans="1:23" x14ac:dyDescent="0.2">
      <c r="A64" s="14" t="s">
        <v>680</v>
      </c>
      <c r="C64" s="234">
        <f>C62*C63</f>
        <v>28999.354838709674</v>
      </c>
      <c r="D64" s="234">
        <f t="shared" ref="D64:N64" si="44">D62*D63</f>
        <v>38195.225446428572</v>
      </c>
      <c r="E64" s="234">
        <f t="shared" si="44"/>
        <v>29504.068548387098</v>
      </c>
      <c r="F64" s="234">
        <f t="shared" si="44"/>
        <v>27969.935416666667</v>
      </c>
      <c r="G64" s="234">
        <f t="shared" si="44"/>
        <v>26858.556451612902</v>
      </c>
      <c r="H64" s="234">
        <f t="shared" si="44"/>
        <v>31813.693749999999</v>
      </c>
      <c r="I64" s="234">
        <f t="shared" si="44"/>
        <v>31748.631048387098</v>
      </c>
      <c r="J64" s="234">
        <f t="shared" si="44"/>
        <v>34213.36290322581</v>
      </c>
      <c r="K64" s="234">
        <f t="shared" si="44"/>
        <v>36484.51458333333</v>
      </c>
      <c r="L64" s="234">
        <f t="shared" si="44"/>
        <v>31308.270161290322</v>
      </c>
      <c r="M64" s="234">
        <f t="shared" si="44"/>
        <v>31194.48333333333</v>
      </c>
      <c r="N64" s="234">
        <f t="shared" si="44"/>
        <v>28612.671370967742</v>
      </c>
      <c r="O64" s="50">
        <f>SUM(C64:N64)</f>
        <v>376902.76785234257</v>
      </c>
      <c r="P64" s="50"/>
      <c r="Q64" s="36"/>
      <c r="R64" s="36">
        <f>O64</f>
        <v>376902.76785234257</v>
      </c>
      <c r="S64" s="36">
        <f>H64+I64+J64</f>
        <v>97775.687701612915</v>
      </c>
      <c r="T64" s="36">
        <f>R64-S64</f>
        <v>279127.08015072963</v>
      </c>
    </row>
    <row r="65" spans="1:23" x14ac:dyDescent="0.2">
      <c r="A65" s="14" t="s">
        <v>757</v>
      </c>
      <c r="C65" s="261">
        <f>C60/C66</f>
        <v>0.39244105231660342</v>
      </c>
      <c r="D65" s="261">
        <f t="shared" ref="D65" si="45">D60/D66</f>
        <v>0.51179424101524296</v>
      </c>
      <c r="E65" s="261">
        <f t="shared" ref="E65" si="46">E60/E66</f>
        <v>0.38716481987465101</v>
      </c>
      <c r="F65" s="261">
        <f t="shared" ref="F65" si="47">F60/F66</f>
        <v>0.35523789505079473</v>
      </c>
      <c r="G65" s="261">
        <f t="shared" ref="G65" si="48">G60/G66</f>
        <v>0.34147494096034731</v>
      </c>
      <c r="H65" s="261">
        <f t="shared" ref="H65" si="49">H60/H66</f>
        <v>0.42219953743795957</v>
      </c>
      <c r="I65" s="261">
        <f t="shared" ref="I65" si="50">I60/I66</f>
        <v>0.42301264352554652</v>
      </c>
      <c r="J65" s="261">
        <f t="shared" ref="J65" si="51">J60/J66</f>
        <v>0.45455863417647624</v>
      </c>
      <c r="K65" s="261">
        <f t="shared" ref="K65" si="52">K60/K66</f>
        <v>0.44397277261756718</v>
      </c>
      <c r="L65" s="261">
        <f t="shared" ref="L65" si="53">L60/L66</f>
        <v>0.41368258213411058</v>
      </c>
      <c r="M65" s="261">
        <f t="shared" ref="M65" si="54">M60/M66</f>
        <v>0.42361076058590319</v>
      </c>
      <c r="N65" s="261">
        <f t="shared" ref="N65" si="55">N60/N66</f>
        <v>0.39608329944884718</v>
      </c>
      <c r="O65" s="67"/>
      <c r="P65" s="132"/>
      <c r="Q65" s="132"/>
      <c r="U65" s="121"/>
      <c r="W65" s="121"/>
    </row>
    <row r="66" spans="1:23" x14ac:dyDescent="0.2">
      <c r="A66" s="14" t="s">
        <v>758</v>
      </c>
      <c r="C66" s="234">
        <v>49263.202999999987</v>
      </c>
      <c r="D66" s="234">
        <v>49753.36099999999</v>
      </c>
      <c r="E66" s="234">
        <v>50803.63200000002</v>
      </c>
      <c r="F66" s="234">
        <v>52490.52499999998</v>
      </c>
      <c r="G66" s="234">
        <v>52436.363999999965</v>
      </c>
      <c r="H66" s="234">
        <v>50234.846999999987</v>
      </c>
      <c r="I66" s="234">
        <v>50035.74799999997</v>
      </c>
      <c r="J66" s="234">
        <v>50178.143999999986</v>
      </c>
      <c r="K66" s="234">
        <v>54784.913000000044</v>
      </c>
      <c r="L66" s="234">
        <v>50454.57799999998</v>
      </c>
      <c r="M66" s="234">
        <v>49092.997999999992</v>
      </c>
      <c r="N66" s="234">
        <v>48159.349999999969</v>
      </c>
      <c r="O66" s="50">
        <f>SUM(C66:N66)</f>
        <v>607687.66299999983</v>
      </c>
      <c r="P66" s="50">
        <f>MAX(C66:N66)</f>
        <v>54784.913000000044</v>
      </c>
      <c r="Q66" s="50"/>
    </row>
    <row r="67" spans="1:23" x14ac:dyDescent="0.2">
      <c r="C67" s="235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50"/>
      <c r="P67" s="50"/>
      <c r="Q67" s="36"/>
    </row>
    <row r="68" spans="1:23" x14ac:dyDescent="0.2">
      <c r="A68" s="15" t="str">
        <f>A11</f>
        <v>Large Power Rate (500 KW to 4,999 KW)</v>
      </c>
      <c r="B68" s="16" t="str">
        <f>B11</f>
        <v>LP-1</v>
      </c>
      <c r="C68" s="234">
        <v>1</v>
      </c>
      <c r="D68" s="234">
        <v>1</v>
      </c>
      <c r="E68" s="234">
        <v>1</v>
      </c>
      <c r="F68" s="234">
        <v>1</v>
      </c>
      <c r="G68" s="234">
        <v>1</v>
      </c>
      <c r="H68" s="234">
        <v>1</v>
      </c>
      <c r="I68" s="234">
        <v>1</v>
      </c>
      <c r="J68" s="234">
        <v>1</v>
      </c>
      <c r="K68" s="234">
        <v>1</v>
      </c>
      <c r="L68" s="234">
        <v>1</v>
      </c>
      <c r="M68" s="234">
        <v>1</v>
      </c>
      <c r="N68" s="234">
        <v>1</v>
      </c>
      <c r="O68" s="50">
        <f>ROUND(SUM(C68:N68)/12,0)</f>
        <v>1</v>
      </c>
      <c r="P68" s="50"/>
      <c r="Q68" s="36"/>
    </row>
    <row r="69" spans="1:23" x14ac:dyDescent="0.2">
      <c r="A69" s="14" t="s">
        <v>1055</v>
      </c>
      <c r="C69" s="234">
        <v>703090</v>
      </c>
      <c r="D69" s="234">
        <v>741543</v>
      </c>
      <c r="E69" s="234">
        <v>662834</v>
      </c>
      <c r="F69" s="234">
        <v>660723</v>
      </c>
      <c r="G69" s="234">
        <v>709537</v>
      </c>
      <c r="H69" s="234">
        <v>881767</v>
      </c>
      <c r="I69" s="234">
        <v>896522</v>
      </c>
      <c r="J69" s="234">
        <v>1075112</v>
      </c>
      <c r="K69" s="234">
        <v>1084126</v>
      </c>
      <c r="L69" s="234">
        <v>949903</v>
      </c>
      <c r="M69" s="234">
        <v>809726</v>
      </c>
      <c r="N69" s="234">
        <v>660290</v>
      </c>
      <c r="O69" s="50">
        <f>SUM(C69:N69)</f>
        <v>9835173</v>
      </c>
      <c r="P69" s="132"/>
      <c r="Q69" s="132"/>
      <c r="U69" s="121"/>
      <c r="W69" s="121"/>
    </row>
    <row r="70" spans="1:23" x14ac:dyDescent="0.2">
      <c r="A70" s="14" t="s">
        <v>678</v>
      </c>
      <c r="C70" s="234">
        <f>C69/C$33</f>
        <v>945.01344086021504</v>
      </c>
      <c r="D70" s="234">
        <f t="shared" ref="D70:N70" si="56">D69/D$33</f>
        <v>1103.4866071428571</v>
      </c>
      <c r="E70" s="234">
        <f t="shared" si="56"/>
        <v>890.9059139784946</v>
      </c>
      <c r="F70" s="234">
        <f t="shared" si="56"/>
        <v>917.67083333333335</v>
      </c>
      <c r="G70" s="234">
        <f t="shared" si="56"/>
        <v>953.67876344086017</v>
      </c>
      <c r="H70" s="234">
        <f t="shared" si="56"/>
        <v>1224.6763888888888</v>
      </c>
      <c r="I70" s="234">
        <f t="shared" si="56"/>
        <v>1205.002688172043</v>
      </c>
      <c r="J70" s="234">
        <f t="shared" si="56"/>
        <v>1445.0430107526881</v>
      </c>
      <c r="K70" s="234">
        <f t="shared" si="56"/>
        <v>1505.7305555555556</v>
      </c>
      <c r="L70" s="234">
        <f t="shared" si="56"/>
        <v>1276.7513440860216</v>
      </c>
      <c r="M70" s="234">
        <f t="shared" si="56"/>
        <v>1124.6194444444445</v>
      </c>
      <c r="N70" s="234">
        <f t="shared" si="56"/>
        <v>887.48655913978496</v>
      </c>
      <c r="O70" s="50">
        <f>O69/8760</f>
        <v>1122.7366438356164</v>
      </c>
      <c r="P70" s="50"/>
      <c r="Q70" s="50"/>
    </row>
    <row r="71" spans="1:23" x14ac:dyDescent="0.2">
      <c r="A71" s="14" t="s">
        <v>755</v>
      </c>
      <c r="C71" s="261">
        <v>0.6</v>
      </c>
      <c r="D71" s="261">
        <v>0.6</v>
      </c>
      <c r="E71" s="261">
        <v>0.6</v>
      </c>
      <c r="F71" s="261">
        <v>0.6</v>
      </c>
      <c r="G71" s="261">
        <v>0.6</v>
      </c>
      <c r="H71" s="261">
        <v>0.6</v>
      </c>
      <c r="I71" s="261">
        <v>0.6</v>
      </c>
      <c r="J71" s="261">
        <v>0.6</v>
      </c>
      <c r="K71" s="261">
        <v>0.6</v>
      </c>
      <c r="L71" s="261">
        <v>0.6</v>
      </c>
      <c r="M71" s="261">
        <v>0.6</v>
      </c>
      <c r="N71" s="261">
        <v>0.6</v>
      </c>
      <c r="O71" s="67"/>
      <c r="Q71" s="36"/>
    </row>
    <row r="72" spans="1:23" x14ac:dyDescent="0.2">
      <c r="A72" s="14" t="s">
        <v>756</v>
      </c>
      <c r="C72" s="234">
        <f>C70/C71</f>
        <v>1575.0224014336918</v>
      </c>
      <c r="D72" s="234">
        <f t="shared" ref="D72:N72" si="57">D70/D71</f>
        <v>1839.1443452380952</v>
      </c>
      <c r="E72" s="234">
        <f t="shared" si="57"/>
        <v>1484.8431899641578</v>
      </c>
      <c r="F72" s="234">
        <f t="shared" si="57"/>
        <v>1529.4513888888889</v>
      </c>
      <c r="G72" s="234">
        <f t="shared" si="57"/>
        <v>1589.464605734767</v>
      </c>
      <c r="H72" s="234">
        <f t="shared" si="57"/>
        <v>2041.1273148148148</v>
      </c>
      <c r="I72" s="234">
        <f t="shared" si="57"/>
        <v>2008.3378136200718</v>
      </c>
      <c r="J72" s="234">
        <f t="shared" si="57"/>
        <v>2408.4050179211472</v>
      </c>
      <c r="K72" s="234">
        <f t="shared" si="57"/>
        <v>2509.5509259259261</v>
      </c>
      <c r="L72" s="234">
        <f t="shared" si="57"/>
        <v>2127.9189068100363</v>
      </c>
      <c r="M72" s="234">
        <f t="shared" si="57"/>
        <v>1874.3657407407409</v>
      </c>
      <c r="N72" s="234">
        <f t="shared" si="57"/>
        <v>1479.1442652329749</v>
      </c>
      <c r="O72" s="50">
        <f>SUM(C72:N72)</f>
        <v>22466.77591632531</v>
      </c>
      <c r="Q72" s="36">
        <f>MAX(C72:N72)</f>
        <v>2509.5509259259261</v>
      </c>
    </row>
    <row r="73" spans="1:23" x14ac:dyDescent="0.2">
      <c r="A73" s="14" t="s">
        <v>679</v>
      </c>
      <c r="C73" s="261">
        <v>0.6</v>
      </c>
      <c r="D73" s="261">
        <f>C73</f>
        <v>0.6</v>
      </c>
      <c r="E73" s="261">
        <f t="shared" ref="E73" si="58">D73</f>
        <v>0.6</v>
      </c>
      <c r="F73" s="261">
        <f t="shared" ref="F73" si="59">E73</f>
        <v>0.6</v>
      </c>
      <c r="G73" s="261">
        <f t="shared" ref="G73" si="60">F73</f>
        <v>0.6</v>
      </c>
      <c r="H73" s="261">
        <f t="shared" ref="H73" si="61">G73</f>
        <v>0.6</v>
      </c>
      <c r="I73" s="261">
        <f t="shared" ref="I73" si="62">H73</f>
        <v>0.6</v>
      </c>
      <c r="J73" s="261">
        <f t="shared" ref="J73" si="63">I73</f>
        <v>0.6</v>
      </c>
      <c r="K73" s="261">
        <f t="shared" ref="K73" si="64">J73</f>
        <v>0.6</v>
      </c>
      <c r="L73" s="261">
        <f t="shared" ref="L73" si="65">K73</f>
        <v>0.6</v>
      </c>
      <c r="M73" s="261">
        <f t="shared" ref="M73" si="66">L73</f>
        <v>0.6</v>
      </c>
      <c r="N73" s="261">
        <f t="shared" ref="N73" si="67">M73</f>
        <v>0.6</v>
      </c>
      <c r="O73" s="67"/>
      <c r="P73" s="50"/>
      <c r="Q73" s="36"/>
    </row>
    <row r="74" spans="1:23" x14ac:dyDescent="0.2">
      <c r="A74" s="14" t="s">
        <v>680</v>
      </c>
      <c r="C74" s="234">
        <f>C72*C73</f>
        <v>945.01344086021504</v>
      </c>
      <c r="D74" s="234">
        <f t="shared" ref="D74:N74" si="68">D72*D73</f>
        <v>1103.4866071428571</v>
      </c>
      <c r="E74" s="234">
        <f t="shared" si="68"/>
        <v>890.9059139784946</v>
      </c>
      <c r="F74" s="234">
        <f t="shared" si="68"/>
        <v>917.67083333333335</v>
      </c>
      <c r="G74" s="234">
        <f t="shared" si="68"/>
        <v>953.67876344086017</v>
      </c>
      <c r="H74" s="234">
        <f t="shared" si="68"/>
        <v>1224.6763888888888</v>
      </c>
      <c r="I74" s="234">
        <f t="shared" si="68"/>
        <v>1205.002688172043</v>
      </c>
      <c r="J74" s="234">
        <f t="shared" si="68"/>
        <v>1445.0430107526884</v>
      </c>
      <c r="K74" s="234">
        <f t="shared" si="68"/>
        <v>1505.7305555555556</v>
      </c>
      <c r="L74" s="234">
        <f t="shared" si="68"/>
        <v>1276.7513440860218</v>
      </c>
      <c r="M74" s="234">
        <f t="shared" si="68"/>
        <v>1124.6194444444445</v>
      </c>
      <c r="N74" s="234">
        <f t="shared" si="68"/>
        <v>887.48655913978496</v>
      </c>
      <c r="O74" s="50">
        <f>SUM(C74:N74)</f>
        <v>13480.065549795188</v>
      </c>
      <c r="P74" s="50"/>
      <c r="Q74" s="36"/>
      <c r="R74" s="36">
        <f>O74</f>
        <v>13480.065549795188</v>
      </c>
      <c r="S74" s="36">
        <f>H74+I74+J74</f>
        <v>3874.7220878136204</v>
      </c>
      <c r="T74" s="36">
        <f>R74-S74</f>
        <v>9605.3434619815671</v>
      </c>
    </row>
    <row r="75" spans="1:23" x14ac:dyDescent="0.2">
      <c r="A75" s="14" t="s">
        <v>757</v>
      </c>
      <c r="C75" s="261">
        <f>C70/C76</f>
        <v>0.53497373053683706</v>
      </c>
      <c r="D75" s="261">
        <f t="shared" ref="D75" si="69">D70/D76</f>
        <v>0.63197940938723152</v>
      </c>
      <c r="E75" s="261">
        <f t="shared" ref="E75" si="70">E70/E76</f>
        <v>0.4958940611547562</v>
      </c>
      <c r="F75" s="261">
        <f t="shared" ref="F75" si="71">F70/F76</f>
        <v>0.52462496060090158</v>
      </c>
      <c r="G75" s="261">
        <f t="shared" ref="G75" si="72">G70/G76</f>
        <v>0.53623822138402821</v>
      </c>
      <c r="H75" s="261">
        <f t="shared" ref="H75" si="73">H70/H76</f>
        <v>0.69427004370742296</v>
      </c>
      <c r="I75" s="261">
        <f t="shared" ref="I75" si="74">I70/I76</f>
        <v>0.7082489293545563</v>
      </c>
      <c r="J75" s="261">
        <f t="shared" ref="J75" si="75">J70/J76</f>
        <v>0.84629066950005805</v>
      </c>
      <c r="K75" s="261">
        <f t="shared" ref="K75" si="76">K70/K76</f>
        <v>0.8795083191817098</v>
      </c>
      <c r="L75" s="261">
        <f t="shared" ref="L75" si="77">L70/L76</f>
        <v>0.75349146009643364</v>
      </c>
      <c r="M75" s="261">
        <f t="shared" ref="M75" si="78">M70/M76</f>
        <v>0.65381468310328394</v>
      </c>
      <c r="N75" s="261">
        <f t="shared" ref="N75" si="79">N70/N76</f>
        <v>0.51132541538388876</v>
      </c>
      <c r="O75" s="67"/>
      <c r="P75" s="132"/>
      <c r="Q75" s="132"/>
      <c r="U75" s="121"/>
      <c r="W75" s="121"/>
    </row>
    <row r="76" spans="1:23" x14ac:dyDescent="0.2">
      <c r="A76" s="14" t="s">
        <v>758</v>
      </c>
      <c r="C76" s="234">
        <v>1766.4670000000001</v>
      </c>
      <c r="D76" s="234">
        <v>1746.08</v>
      </c>
      <c r="E76" s="234">
        <v>1796.5650000000001</v>
      </c>
      <c r="F76" s="234">
        <v>1749.194</v>
      </c>
      <c r="G76" s="234">
        <v>1778.461</v>
      </c>
      <c r="H76" s="234">
        <v>1763.9770000000001</v>
      </c>
      <c r="I76" s="234">
        <v>1701.383</v>
      </c>
      <c r="J76" s="234">
        <v>1707.502</v>
      </c>
      <c r="K76" s="234">
        <v>1712.0139999999999</v>
      </c>
      <c r="L76" s="234">
        <v>1694.4469999999999</v>
      </c>
      <c r="M76" s="234">
        <v>1720.0889999999999</v>
      </c>
      <c r="N76" s="234">
        <v>1735.6590000000001</v>
      </c>
      <c r="O76" s="50">
        <f>SUM(C76:N76)</f>
        <v>20871.838</v>
      </c>
      <c r="P76" s="50">
        <f>MAX(C76:N76)</f>
        <v>1796.5650000000001</v>
      </c>
      <c r="Q76" s="50"/>
    </row>
    <row r="77" spans="1:23" x14ac:dyDescent="0.2">
      <c r="C77" s="234"/>
      <c r="D77" s="232"/>
      <c r="E77" s="232"/>
      <c r="F77" s="232"/>
      <c r="G77" s="232"/>
      <c r="H77" s="263"/>
      <c r="I77" s="232"/>
      <c r="J77" s="232"/>
      <c r="K77" s="232"/>
      <c r="L77" s="232"/>
      <c r="M77" s="234"/>
      <c r="N77" s="232"/>
    </row>
    <row r="78" spans="1:23" x14ac:dyDescent="0.2">
      <c r="A78" s="15" t="str">
        <f>A12</f>
        <v>Large Power Rate (5,000 KW to 9,999 KW)</v>
      </c>
      <c r="B78" s="16" t="str">
        <f>B12</f>
        <v>LP-2</v>
      </c>
      <c r="C78" s="234">
        <v>2</v>
      </c>
      <c r="D78" s="234">
        <v>2</v>
      </c>
      <c r="E78" s="234">
        <v>2</v>
      </c>
      <c r="F78" s="234">
        <v>2</v>
      </c>
      <c r="G78" s="234">
        <v>2</v>
      </c>
      <c r="H78" s="234">
        <v>2</v>
      </c>
      <c r="I78" s="234">
        <v>2</v>
      </c>
      <c r="J78" s="234">
        <v>2</v>
      </c>
      <c r="K78" s="234">
        <v>2</v>
      </c>
      <c r="L78" s="234">
        <v>2</v>
      </c>
      <c r="M78" s="234">
        <v>2</v>
      </c>
      <c r="N78" s="234">
        <v>2</v>
      </c>
      <c r="O78" s="50">
        <f>ROUND(SUM(C78:N78)/12,0)</f>
        <v>2</v>
      </c>
      <c r="P78" s="50"/>
      <c r="Q78" s="36"/>
    </row>
    <row r="79" spans="1:23" x14ac:dyDescent="0.2">
      <c r="A79" s="14" t="s">
        <v>1055</v>
      </c>
      <c r="C79" s="234">
        <v>5941558</v>
      </c>
      <c r="D79" s="234">
        <v>6070298</v>
      </c>
      <c r="E79" s="234">
        <v>5847925</v>
      </c>
      <c r="F79" s="234">
        <v>6056306</v>
      </c>
      <c r="G79" s="234">
        <v>5974417</v>
      </c>
      <c r="H79" s="234">
        <v>6452834</v>
      </c>
      <c r="I79" s="234">
        <v>6782840</v>
      </c>
      <c r="J79" s="234">
        <v>6188476</v>
      </c>
      <c r="K79" s="234">
        <v>7334155</v>
      </c>
      <c r="L79" s="234">
        <v>6531964</v>
      </c>
      <c r="M79" s="234">
        <v>6440265</v>
      </c>
      <c r="N79" s="234">
        <v>5874023</v>
      </c>
      <c r="O79" s="50">
        <f>SUM(C79:N79)</f>
        <v>75495061</v>
      </c>
      <c r="P79" s="132"/>
      <c r="Q79" s="132"/>
      <c r="U79" s="121"/>
      <c r="W79" s="121"/>
    </row>
    <row r="80" spans="1:23" x14ac:dyDescent="0.2">
      <c r="A80" s="14" t="s">
        <v>678</v>
      </c>
      <c r="C80" s="234">
        <f>C79/C$33</f>
        <v>7985.9650537634407</v>
      </c>
      <c r="D80" s="234">
        <f t="shared" ref="D80:N80" si="80">D79/D$33</f>
        <v>9033.1815476190477</v>
      </c>
      <c r="E80" s="234">
        <f t="shared" si="80"/>
        <v>7860.114247311828</v>
      </c>
      <c r="F80" s="234">
        <f t="shared" si="80"/>
        <v>8411.5361111111106</v>
      </c>
      <c r="G80" s="234">
        <f t="shared" si="80"/>
        <v>8030.1303763440865</v>
      </c>
      <c r="H80" s="234">
        <f t="shared" si="80"/>
        <v>8962.2694444444442</v>
      </c>
      <c r="I80" s="234">
        <f t="shared" si="80"/>
        <v>9116.7204301075271</v>
      </c>
      <c r="J80" s="234">
        <f t="shared" si="80"/>
        <v>8317.8440860215051</v>
      </c>
      <c r="K80" s="234">
        <f t="shared" si="80"/>
        <v>10186.326388888889</v>
      </c>
      <c r="L80" s="234">
        <f t="shared" si="80"/>
        <v>8779.5215053763441</v>
      </c>
      <c r="M80" s="234">
        <f t="shared" si="80"/>
        <v>8944.8125</v>
      </c>
      <c r="N80" s="234">
        <f t="shared" si="80"/>
        <v>7895.1922043010754</v>
      </c>
      <c r="O80" s="50">
        <f>O79/8760</f>
        <v>8618.157648401826</v>
      </c>
      <c r="P80" s="50"/>
      <c r="Q80" s="50"/>
    </row>
    <row r="81" spans="1:23" x14ac:dyDescent="0.2">
      <c r="A81" s="14" t="s">
        <v>755</v>
      </c>
      <c r="C81" s="261">
        <v>0.6</v>
      </c>
      <c r="D81" s="261">
        <f>C81</f>
        <v>0.6</v>
      </c>
      <c r="E81" s="261">
        <f t="shared" ref="E81" si="81">D81</f>
        <v>0.6</v>
      </c>
      <c r="F81" s="261">
        <f t="shared" ref="F81" si="82">E81</f>
        <v>0.6</v>
      </c>
      <c r="G81" s="261">
        <f t="shared" ref="G81" si="83">F81</f>
        <v>0.6</v>
      </c>
      <c r="H81" s="261">
        <f t="shared" ref="H81" si="84">G81</f>
        <v>0.6</v>
      </c>
      <c r="I81" s="261">
        <f t="shared" ref="I81" si="85">H81</f>
        <v>0.6</v>
      </c>
      <c r="J81" s="261">
        <f t="shared" ref="J81" si="86">I81</f>
        <v>0.6</v>
      </c>
      <c r="K81" s="261">
        <f t="shared" ref="K81" si="87">J81</f>
        <v>0.6</v>
      </c>
      <c r="L81" s="261">
        <f t="shared" ref="L81" si="88">K81</f>
        <v>0.6</v>
      </c>
      <c r="M81" s="261">
        <f t="shared" ref="M81" si="89">L81</f>
        <v>0.6</v>
      </c>
      <c r="N81" s="261">
        <f t="shared" ref="N81" si="90">M81</f>
        <v>0.6</v>
      </c>
      <c r="O81" s="67"/>
      <c r="Q81" s="36"/>
    </row>
    <row r="82" spans="1:23" x14ac:dyDescent="0.2">
      <c r="A82" s="14" t="s">
        <v>756</v>
      </c>
      <c r="C82" s="234">
        <f t="shared" ref="C82:N82" si="91">C80/C81</f>
        <v>13309.941756272401</v>
      </c>
      <c r="D82" s="234">
        <f t="shared" si="91"/>
        <v>15055.30257936508</v>
      </c>
      <c r="E82" s="234">
        <f t="shared" si="91"/>
        <v>13100.190412186381</v>
      </c>
      <c r="F82" s="234">
        <f t="shared" si="91"/>
        <v>14019.226851851852</v>
      </c>
      <c r="G82" s="234">
        <f t="shared" si="91"/>
        <v>13383.550627240145</v>
      </c>
      <c r="H82" s="234">
        <f t="shared" si="91"/>
        <v>14937.115740740741</v>
      </c>
      <c r="I82" s="234">
        <f t="shared" si="91"/>
        <v>15194.534050179212</v>
      </c>
      <c r="J82" s="234">
        <f t="shared" si="91"/>
        <v>13863.07347670251</v>
      </c>
      <c r="K82" s="234">
        <f t="shared" si="91"/>
        <v>16977.21064814815</v>
      </c>
      <c r="L82" s="234">
        <f t="shared" si="91"/>
        <v>14632.535842293908</v>
      </c>
      <c r="M82" s="234">
        <f t="shared" si="91"/>
        <v>14908.020833333334</v>
      </c>
      <c r="N82" s="234">
        <f t="shared" si="91"/>
        <v>13158.653673835126</v>
      </c>
      <c r="O82" s="50">
        <f>SUM(C82:N82)</f>
        <v>172539.35649214886</v>
      </c>
      <c r="Q82" s="36">
        <f>MAX(C82:N82)</f>
        <v>16977.21064814815</v>
      </c>
    </row>
    <row r="83" spans="1:23" x14ac:dyDescent="0.2">
      <c r="A83" s="14" t="s">
        <v>679</v>
      </c>
      <c r="C83" s="261">
        <v>0.7</v>
      </c>
      <c r="D83" s="261">
        <f>C83</f>
        <v>0.7</v>
      </c>
      <c r="E83" s="261">
        <f t="shared" ref="E83" si="92">D83</f>
        <v>0.7</v>
      </c>
      <c r="F83" s="261">
        <f t="shared" ref="F83" si="93">E83</f>
        <v>0.7</v>
      </c>
      <c r="G83" s="261">
        <f t="shared" ref="G83" si="94">F83</f>
        <v>0.7</v>
      </c>
      <c r="H83" s="261">
        <f t="shared" ref="H83" si="95">G83</f>
        <v>0.7</v>
      </c>
      <c r="I83" s="261">
        <f t="shared" ref="I83" si="96">H83</f>
        <v>0.7</v>
      </c>
      <c r="J83" s="261">
        <f t="shared" ref="J83" si="97">I83</f>
        <v>0.7</v>
      </c>
      <c r="K83" s="261">
        <f t="shared" ref="K83" si="98">J83</f>
        <v>0.7</v>
      </c>
      <c r="L83" s="261">
        <f t="shared" ref="L83" si="99">K83</f>
        <v>0.7</v>
      </c>
      <c r="M83" s="261">
        <f t="shared" ref="M83" si="100">L83</f>
        <v>0.7</v>
      </c>
      <c r="N83" s="261">
        <f t="shared" ref="N83" si="101">M83</f>
        <v>0.7</v>
      </c>
      <c r="O83" s="67"/>
      <c r="P83" s="50"/>
      <c r="Q83" s="36"/>
    </row>
    <row r="84" spans="1:23" x14ac:dyDescent="0.2">
      <c r="A84" s="14" t="s">
        <v>680</v>
      </c>
      <c r="C84" s="234">
        <f t="shared" ref="C84:N84" si="102">C82*C83</f>
        <v>9316.9592293906808</v>
      </c>
      <c r="D84" s="234">
        <f t="shared" si="102"/>
        <v>10538.711805555555</v>
      </c>
      <c r="E84" s="234">
        <f t="shared" si="102"/>
        <v>9170.1332885304655</v>
      </c>
      <c r="F84" s="234">
        <f t="shared" si="102"/>
        <v>9813.458796296296</v>
      </c>
      <c r="G84" s="234">
        <f t="shared" si="102"/>
        <v>9368.4854390681012</v>
      </c>
      <c r="H84" s="234">
        <f t="shared" si="102"/>
        <v>10455.981018518518</v>
      </c>
      <c r="I84" s="234">
        <f t="shared" si="102"/>
        <v>10636.173835125448</v>
      </c>
      <c r="J84" s="234">
        <f t="shared" si="102"/>
        <v>9704.1514336917553</v>
      </c>
      <c r="K84" s="234">
        <f t="shared" si="102"/>
        <v>11884.047453703704</v>
      </c>
      <c r="L84" s="234">
        <f t="shared" si="102"/>
        <v>10242.775089605735</v>
      </c>
      <c r="M84" s="234">
        <f t="shared" si="102"/>
        <v>10435.614583333334</v>
      </c>
      <c r="N84" s="234">
        <f t="shared" si="102"/>
        <v>9211.0575716845869</v>
      </c>
      <c r="O84" s="50">
        <f>SUM(C84:N84)</f>
        <v>120777.5495445042</v>
      </c>
      <c r="P84" s="50"/>
      <c r="Q84" s="36"/>
      <c r="R84" s="36">
        <f>O84</f>
        <v>120777.5495445042</v>
      </c>
      <c r="S84" s="36">
        <f>H84+I84+J84</f>
        <v>30796.306287335719</v>
      </c>
      <c r="T84" s="36">
        <f>R84-S84</f>
        <v>89981.243257168477</v>
      </c>
    </row>
    <row r="85" spans="1:23" x14ac:dyDescent="0.2">
      <c r="A85" s="14" t="s">
        <v>757</v>
      </c>
      <c r="C85" s="261">
        <f>C80/C86</f>
        <v>0.58169542697428334</v>
      </c>
      <c r="D85" s="261">
        <f t="shared" ref="D85:N85" si="103">D80/D86</f>
        <v>0.64261968631989907</v>
      </c>
      <c r="E85" s="261">
        <f t="shared" si="103"/>
        <v>0.55976040945606953</v>
      </c>
      <c r="F85" s="261">
        <f t="shared" si="103"/>
        <v>0.59917512080228297</v>
      </c>
      <c r="G85" s="261">
        <f t="shared" si="103"/>
        <v>0.57202283697094436</v>
      </c>
      <c r="H85" s="261">
        <f t="shared" si="103"/>
        <v>0.6549660194116419</v>
      </c>
      <c r="I85" s="261">
        <f t="shared" si="103"/>
        <v>0.66279599216830776</v>
      </c>
      <c r="J85" s="261">
        <f t="shared" si="103"/>
        <v>0.60864980065002683</v>
      </c>
      <c r="K85" s="261">
        <f t="shared" si="103"/>
        <v>0.74473051239845112</v>
      </c>
      <c r="L85" s="261">
        <f t="shared" si="103"/>
        <v>0.63879999649123576</v>
      </c>
      <c r="M85" s="261">
        <f t="shared" si="103"/>
        <v>0.64719052646598052</v>
      </c>
      <c r="N85" s="261">
        <f t="shared" si="103"/>
        <v>0.57444842865084556</v>
      </c>
      <c r="O85" s="67"/>
      <c r="P85" s="132"/>
      <c r="Q85" s="132"/>
      <c r="U85" s="121"/>
      <c r="W85" s="121"/>
    </row>
    <row r="86" spans="1:23" x14ac:dyDescent="0.2">
      <c r="A86" s="14" t="s">
        <v>758</v>
      </c>
      <c r="C86" s="234">
        <v>13728.774000000001</v>
      </c>
      <c r="D86" s="234">
        <v>14056.808000000001</v>
      </c>
      <c r="E86" s="234">
        <v>14041.925999999999</v>
      </c>
      <c r="F86" s="234">
        <v>14038.527</v>
      </c>
      <c r="G86" s="234">
        <v>14038.129000000001</v>
      </c>
      <c r="H86" s="234">
        <v>13683.564</v>
      </c>
      <c r="I86" s="234">
        <v>13754.941999999999</v>
      </c>
      <c r="J86" s="234">
        <v>13666.059000000001</v>
      </c>
      <c r="K86" s="234">
        <v>13677.868999999999</v>
      </c>
      <c r="L86" s="234">
        <v>13743.772000000001</v>
      </c>
      <c r="M86" s="234">
        <v>13820.988000000001</v>
      </c>
      <c r="N86" s="234">
        <v>13743.953000000001</v>
      </c>
      <c r="O86" s="50">
        <f>SUM(C86:N86)</f>
        <v>165995.31100000002</v>
      </c>
      <c r="P86" s="50">
        <f>MAX(C86:N86)</f>
        <v>14056.808000000001</v>
      </c>
      <c r="Q86" s="50"/>
    </row>
    <row r="87" spans="1:23" x14ac:dyDescent="0.2"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</row>
    <row r="88" spans="1:23" x14ac:dyDescent="0.2">
      <c r="A88" s="15" t="str">
        <f>A13</f>
        <v>Large Power Rate (500 KW to 2,999 KW)</v>
      </c>
      <c r="B88" s="16" t="str">
        <f>B13</f>
        <v>LP-3</v>
      </c>
      <c r="C88" s="234">
        <v>9</v>
      </c>
      <c r="D88" s="234">
        <v>9</v>
      </c>
      <c r="E88" s="234">
        <v>9</v>
      </c>
      <c r="F88" s="234">
        <v>9</v>
      </c>
      <c r="G88" s="234">
        <v>9</v>
      </c>
      <c r="H88" s="234">
        <v>9</v>
      </c>
      <c r="I88" s="234">
        <v>9</v>
      </c>
      <c r="J88" s="234">
        <v>9</v>
      </c>
      <c r="K88" s="234">
        <v>9</v>
      </c>
      <c r="L88" s="234">
        <v>9</v>
      </c>
      <c r="M88" s="234">
        <v>9</v>
      </c>
      <c r="N88" s="234">
        <v>9</v>
      </c>
      <c r="O88" s="50">
        <f>ROUND(SUM(C88:N88)/12,0)</f>
        <v>9</v>
      </c>
      <c r="P88" s="50"/>
      <c r="Q88" s="36"/>
    </row>
    <row r="89" spans="1:23" x14ac:dyDescent="0.2">
      <c r="A89" s="14" t="s">
        <v>1055</v>
      </c>
      <c r="C89" s="234">
        <v>8865523</v>
      </c>
      <c r="D89" s="234">
        <v>9174797</v>
      </c>
      <c r="E89" s="234">
        <v>8123534</v>
      </c>
      <c r="F89" s="234">
        <v>6983141</v>
      </c>
      <c r="G89" s="234">
        <v>5294023</v>
      </c>
      <c r="H89" s="234">
        <v>5459753</v>
      </c>
      <c r="I89" s="234">
        <v>5399071</v>
      </c>
      <c r="J89" s="234">
        <v>5285908</v>
      </c>
      <c r="K89" s="234">
        <v>5734784</v>
      </c>
      <c r="L89" s="234">
        <v>5519998</v>
      </c>
      <c r="M89" s="234">
        <v>7893524</v>
      </c>
      <c r="N89" s="234">
        <v>7677927</v>
      </c>
      <c r="O89" s="50">
        <f>SUM(C89:N89)</f>
        <v>81411983</v>
      </c>
      <c r="P89" s="132"/>
      <c r="Q89" s="132"/>
      <c r="U89" s="121"/>
      <c r="W89" s="121"/>
    </row>
    <row r="90" spans="1:23" x14ac:dyDescent="0.2">
      <c r="A90" s="14" t="s">
        <v>678</v>
      </c>
      <c r="C90" s="234">
        <f>C89/C$33</f>
        <v>11916.025537634408</v>
      </c>
      <c r="D90" s="234">
        <f t="shared" ref="D90:N90" si="104">D89/D$33</f>
        <v>13652.971726190477</v>
      </c>
      <c r="E90" s="234">
        <f t="shared" si="104"/>
        <v>10918.728494623656</v>
      </c>
      <c r="F90" s="234">
        <f t="shared" si="104"/>
        <v>9698.8069444444445</v>
      </c>
      <c r="G90" s="234">
        <f t="shared" si="104"/>
        <v>7115.6223118279568</v>
      </c>
      <c r="H90" s="234">
        <f t="shared" si="104"/>
        <v>7582.9902777777779</v>
      </c>
      <c r="I90" s="234">
        <f t="shared" si="104"/>
        <v>7256.8158602150534</v>
      </c>
      <c r="J90" s="234">
        <f t="shared" si="104"/>
        <v>7104.7150537634407</v>
      </c>
      <c r="K90" s="234">
        <f t="shared" si="104"/>
        <v>7964.9777777777781</v>
      </c>
      <c r="L90" s="234">
        <f t="shared" si="104"/>
        <v>7419.3521505376348</v>
      </c>
      <c r="M90" s="234">
        <f t="shared" si="104"/>
        <v>10963.227777777778</v>
      </c>
      <c r="N90" s="234">
        <f t="shared" si="104"/>
        <v>10319.79435483871</v>
      </c>
      <c r="O90" s="50">
        <f>O89/8760</f>
        <v>9293.6053652968039</v>
      </c>
      <c r="P90" s="50"/>
      <c r="Q90" s="50"/>
    </row>
    <row r="91" spans="1:23" x14ac:dyDescent="0.2">
      <c r="A91" s="14" t="s">
        <v>755</v>
      </c>
      <c r="C91" s="261">
        <v>0.6</v>
      </c>
      <c r="D91" s="261">
        <v>0.5</v>
      </c>
      <c r="E91" s="261">
        <v>0.5</v>
      </c>
      <c r="F91" s="261">
        <v>0.5</v>
      </c>
      <c r="G91" s="261">
        <v>0.5</v>
      </c>
      <c r="H91" s="261">
        <v>0.5</v>
      </c>
      <c r="I91" s="261">
        <v>0.5</v>
      </c>
      <c r="J91" s="261">
        <v>0.5</v>
      </c>
      <c r="K91" s="261">
        <v>0.5</v>
      </c>
      <c r="L91" s="261">
        <v>0.5</v>
      </c>
      <c r="M91" s="261">
        <v>0.5</v>
      </c>
      <c r="N91" s="261">
        <v>0.5</v>
      </c>
      <c r="O91" s="67"/>
      <c r="Q91" s="36"/>
    </row>
    <row r="92" spans="1:23" x14ac:dyDescent="0.2">
      <c r="A92" s="14" t="s">
        <v>756</v>
      </c>
      <c r="C92" s="234">
        <f>C90/C91</f>
        <v>19860.042562724015</v>
      </c>
      <c r="D92" s="234">
        <f t="shared" ref="D92:N92" si="105">D90/D91</f>
        <v>27305.943452380954</v>
      </c>
      <c r="E92" s="234">
        <f t="shared" si="105"/>
        <v>21837.456989247312</v>
      </c>
      <c r="F92" s="234">
        <f t="shared" si="105"/>
        <v>19397.613888888889</v>
      </c>
      <c r="G92" s="234">
        <f t="shared" si="105"/>
        <v>14231.244623655914</v>
      </c>
      <c r="H92" s="234">
        <f t="shared" si="105"/>
        <v>15165.980555555556</v>
      </c>
      <c r="I92" s="234">
        <f t="shared" si="105"/>
        <v>14513.631720430107</v>
      </c>
      <c r="J92" s="234">
        <f t="shared" si="105"/>
        <v>14209.430107526881</v>
      </c>
      <c r="K92" s="234">
        <f t="shared" si="105"/>
        <v>15929.955555555556</v>
      </c>
      <c r="L92" s="234">
        <f t="shared" si="105"/>
        <v>14838.70430107527</v>
      </c>
      <c r="M92" s="234">
        <f t="shared" si="105"/>
        <v>21926.455555555556</v>
      </c>
      <c r="N92" s="234">
        <f t="shared" si="105"/>
        <v>20639.58870967742</v>
      </c>
      <c r="O92" s="50">
        <f>SUM(C92:N92)</f>
        <v>219856.04802227343</v>
      </c>
      <c r="Q92" s="36">
        <f>MAX(C92:N92)</f>
        <v>27305.943452380954</v>
      </c>
    </row>
    <row r="93" spans="1:23" x14ac:dyDescent="0.2">
      <c r="A93" s="14" t="s">
        <v>679</v>
      </c>
      <c r="C93" s="261">
        <v>0.7</v>
      </c>
      <c r="D93" s="261">
        <f>C93</f>
        <v>0.7</v>
      </c>
      <c r="E93" s="261">
        <f t="shared" ref="E93:N93" si="106">D93</f>
        <v>0.7</v>
      </c>
      <c r="F93" s="261">
        <f t="shared" si="106"/>
        <v>0.7</v>
      </c>
      <c r="G93" s="261">
        <f t="shared" si="106"/>
        <v>0.7</v>
      </c>
      <c r="H93" s="261">
        <f t="shared" si="106"/>
        <v>0.7</v>
      </c>
      <c r="I93" s="261">
        <f t="shared" si="106"/>
        <v>0.7</v>
      </c>
      <c r="J93" s="261">
        <f t="shared" si="106"/>
        <v>0.7</v>
      </c>
      <c r="K93" s="261">
        <f t="shared" si="106"/>
        <v>0.7</v>
      </c>
      <c r="L93" s="261">
        <f t="shared" si="106"/>
        <v>0.7</v>
      </c>
      <c r="M93" s="261">
        <f t="shared" si="106"/>
        <v>0.7</v>
      </c>
      <c r="N93" s="261">
        <f t="shared" si="106"/>
        <v>0.7</v>
      </c>
      <c r="O93" s="67"/>
      <c r="P93" s="50"/>
      <c r="Q93" s="36"/>
    </row>
    <row r="94" spans="1:23" x14ac:dyDescent="0.2">
      <c r="A94" s="14" t="s">
        <v>680</v>
      </c>
      <c r="C94" s="234">
        <f t="shared" ref="C94:N94" si="107">C92*C93</f>
        <v>13902.02979390681</v>
      </c>
      <c r="D94" s="234">
        <f t="shared" si="107"/>
        <v>19114.160416666666</v>
      </c>
      <c r="E94" s="234">
        <f t="shared" si="107"/>
        <v>15286.219892473116</v>
      </c>
      <c r="F94" s="234">
        <f t="shared" si="107"/>
        <v>13578.329722222221</v>
      </c>
      <c r="G94" s="234">
        <f t="shared" si="107"/>
        <v>9961.8712365591382</v>
      </c>
      <c r="H94" s="234">
        <f t="shared" si="107"/>
        <v>10616.186388888889</v>
      </c>
      <c r="I94" s="234">
        <f t="shared" si="107"/>
        <v>10159.542204301075</v>
      </c>
      <c r="J94" s="234">
        <f t="shared" si="107"/>
        <v>9946.6010752688162</v>
      </c>
      <c r="K94" s="234">
        <f t="shared" si="107"/>
        <v>11150.968888888889</v>
      </c>
      <c r="L94" s="234">
        <f t="shared" si="107"/>
        <v>10387.093010752687</v>
      </c>
      <c r="M94" s="234">
        <f t="shared" si="107"/>
        <v>15348.518888888888</v>
      </c>
      <c r="N94" s="234">
        <f t="shared" si="107"/>
        <v>14447.712096774194</v>
      </c>
      <c r="O94" s="50">
        <f>SUM(C94:N94)</f>
        <v>153899.23361559139</v>
      </c>
      <c r="P94" s="50"/>
      <c r="Q94" s="36"/>
      <c r="R94" s="36">
        <f>O94</f>
        <v>153899.23361559139</v>
      </c>
      <c r="S94" s="36">
        <f>H94+I94+J94</f>
        <v>30722.32966845878</v>
      </c>
      <c r="T94" s="36">
        <f>R94-S94</f>
        <v>123176.90394713261</v>
      </c>
    </row>
    <row r="95" spans="1:23" x14ac:dyDescent="0.2">
      <c r="A95" s="14" t="s">
        <v>757</v>
      </c>
      <c r="C95" s="261">
        <f>C90/C96</f>
        <v>1.0124584579511089</v>
      </c>
      <c r="D95" s="261">
        <f t="shared" ref="D95" si="108">D90/D96</f>
        <v>1.1883064179898872</v>
      </c>
      <c r="E95" s="261">
        <f t="shared" ref="E95" si="109">E90/E96</f>
        <v>0.95877174541396937</v>
      </c>
      <c r="F95" s="261">
        <f t="shared" ref="F95" si="110">F90/F96</f>
        <v>0.85665459999240789</v>
      </c>
      <c r="G95" s="261">
        <f t="shared" ref="G95" si="111">G90/G96</f>
        <v>0.65577287818915575</v>
      </c>
      <c r="H95" s="261">
        <f t="shared" ref="H95" si="112">H90/H96</f>
        <v>0.40037822817056895</v>
      </c>
      <c r="I95" s="261">
        <f t="shared" ref="I95" si="113">I90/I96</f>
        <v>0.42313057400428145</v>
      </c>
      <c r="J95" s="261">
        <f t="shared" ref="J95" si="114">J90/J96</f>
        <v>0.36925025853821863</v>
      </c>
      <c r="K95" s="261">
        <f t="shared" ref="K95" si="115">K90/K96</f>
        <v>0.42212052201364814</v>
      </c>
      <c r="L95" s="261">
        <f t="shared" ref="L95" si="116">L90/L96</f>
        <v>0.39445346547460619</v>
      </c>
      <c r="M95" s="261">
        <f t="shared" ref="M95" si="117">M90/M96</f>
        <v>0.57467213509131465</v>
      </c>
      <c r="N95" s="261">
        <f t="shared" ref="N95" si="118">N90/N96</f>
        <v>0.94945341902861347</v>
      </c>
      <c r="O95" s="67"/>
      <c r="P95" s="132"/>
      <c r="Q95" s="132"/>
      <c r="U95" s="121"/>
      <c r="W95" s="121"/>
    </row>
    <row r="96" spans="1:23" x14ac:dyDescent="0.2">
      <c r="A96" s="14" t="s">
        <v>758</v>
      </c>
      <c r="C96" s="234">
        <v>11769.397000000001</v>
      </c>
      <c r="D96" s="234">
        <v>11489.437</v>
      </c>
      <c r="E96" s="234">
        <v>11388.246000000001</v>
      </c>
      <c r="F96" s="234">
        <v>11321.724</v>
      </c>
      <c r="G96" s="234">
        <v>10850.742</v>
      </c>
      <c r="H96" s="234">
        <v>18939.566999999999</v>
      </c>
      <c r="I96" s="234">
        <v>17150.298999999999</v>
      </c>
      <c r="J96" s="234">
        <v>19240.921000000002</v>
      </c>
      <c r="K96" s="234">
        <v>18868.966</v>
      </c>
      <c r="L96" s="234">
        <v>18809.195</v>
      </c>
      <c r="M96" s="234">
        <v>19077.361000000001</v>
      </c>
      <c r="N96" s="234">
        <v>10869.195</v>
      </c>
      <c r="O96" s="50">
        <f>SUM(C96:N96)</f>
        <v>179775.05000000002</v>
      </c>
      <c r="P96" s="50">
        <f>MAX(C96:N96)</f>
        <v>19240.921000000002</v>
      </c>
      <c r="Q96" s="50"/>
    </row>
    <row r="97" spans="1:23" ht="16.5" customHeight="1" x14ac:dyDescent="0.2">
      <c r="C97" s="234"/>
      <c r="D97" s="232"/>
      <c r="E97" s="232"/>
      <c r="F97" s="232"/>
      <c r="G97" s="232"/>
      <c r="H97" s="263"/>
      <c r="I97" s="232"/>
      <c r="J97" s="232"/>
      <c r="K97" s="232"/>
      <c r="L97" s="232"/>
      <c r="M97" s="234"/>
      <c r="N97" s="232"/>
    </row>
    <row r="98" spans="1:23" ht="14.25" customHeight="1" x14ac:dyDescent="0.2">
      <c r="A98" s="15" t="str">
        <f>A14</f>
        <v>Optional Power Service</v>
      </c>
      <c r="B98" s="207" t="str">
        <f>B14</f>
        <v>OPS</v>
      </c>
      <c r="C98" s="234">
        <v>157</v>
      </c>
      <c r="D98" s="234">
        <v>157</v>
      </c>
      <c r="E98" s="234">
        <v>90</v>
      </c>
      <c r="F98" s="234">
        <v>89</v>
      </c>
      <c r="G98" s="234">
        <v>89</v>
      </c>
      <c r="H98" s="234">
        <v>160</v>
      </c>
      <c r="I98" s="234">
        <v>160</v>
      </c>
      <c r="J98" s="234">
        <v>160</v>
      </c>
      <c r="K98" s="234">
        <v>160</v>
      </c>
      <c r="L98" s="234">
        <v>160</v>
      </c>
      <c r="M98" s="234">
        <v>160</v>
      </c>
      <c r="N98" s="234">
        <v>159</v>
      </c>
      <c r="O98" s="50">
        <f>ROUND(SUM(C98:N98)/12,0)</f>
        <v>142</v>
      </c>
      <c r="P98" s="50"/>
      <c r="Q98" s="36"/>
    </row>
    <row r="99" spans="1:23" x14ac:dyDescent="0.2">
      <c r="A99" s="14" t="s">
        <v>1055</v>
      </c>
      <c r="C99" s="234">
        <v>1018260</v>
      </c>
      <c r="D99" s="234">
        <v>1326624</v>
      </c>
      <c r="E99" s="234">
        <v>1011725</v>
      </c>
      <c r="F99" s="234">
        <v>744077</v>
      </c>
      <c r="G99" s="234">
        <v>718243</v>
      </c>
      <c r="H99" s="234">
        <v>954768</v>
      </c>
      <c r="I99" s="234">
        <v>1014496</v>
      </c>
      <c r="J99" s="234">
        <v>1206061</v>
      </c>
      <c r="K99" s="234">
        <v>1148060</v>
      </c>
      <c r="L99" s="234">
        <v>999375</v>
      </c>
      <c r="M99" s="234">
        <v>890641</v>
      </c>
      <c r="N99" s="234">
        <v>896384</v>
      </c>
      <c r="O99" s="50">
        <f>SUM(C99:N99)</f>
        <v>11928714</v>
      </c>
      <c r="P99" s="132"/>
      <c r="Q99" s="132"/>
      <c r="U99" s="121"/>
      <c r="W99" s="121"/>
    </row>
    <row r="100" spans="1:23" x14ac:dyDescent="0.2">
      <c r="A100" s="14" t="s">
        <v>678</v>
      </c>
      <c r="C100" s="234">
        <f>C99/C$33</f>
        <v>1368.6290322580646</v>
      </c>
      <c r="D100" s="234">
        <f t="shared" ref="D100:N100" si="119">D99/D$33</f>
        <v>1974.1428571428571</v>
      </c>
      <c r="E100" s="234">
        <f t="shared" si="119"/>
        <v>1359.8454301075269</v>
      </c>
      <c r="F100" s="234">
        <f t="shared" si="119"/>
        <v>1033.4402777777777</v>
      </c>
      <c r="G100" s="234">
        <f t="shared" si="119"/>
        <v>965.38037634408602</v>
      </c>
      <c r="H100" s="234">
        <f t="shared" si="119"/>
        <v>1326.0666666666666</v>
      </c>
      <c r="I100" s="234">
        <f t="shared" si="119"/>
        <v>1363.5698924731182</v>
      </c>
      <c r="J100" s="234">
        <f t="shared" si="119"/>
        <v>1621.0497311827958</v>
      </c>
      <c r="K100" s="234">
        <f t="shared" si="119"/>
        <v>1594.5277777777778</v>
      </c>
      <c r="L100" s="234">
        <f t="shared" si="119"/>
        <v>1343.2459677419354</v>
      </c>
      <c r="M100" s="234">
        <f t="shared" si="119"/>
        <v>1237.0013888888889</v>
      </c>
      <c r="N100" s="234">
        <f t="shared" si="119"/>
        <v>1204.8172043010752</v>
      </c>
      <c r="O100" s="50">
        <f>O99/8760</f>
        <v>1361.7253424657533</v>
      </c>
      <c r="P100" s="50"/>
      <c r="Q100" s="50"/>
    </row>
    <row r="101" spans="1:23" x14ac:dyDescent="0.2">
      <c r="A101" s="14" t="s">
        <v>755</v>
      </c>
      <c r="C101" s="261">
        <v>0.4</v>
      </c>
      <c r="D101" s="261">
        <f>C101</f>
        <v>0.4</v>
      </c>
      <c r="E101" s="261">
        <f t="shared" ref="E101" si="120">D101</f>
        <v>0.4</v>
      </c>
      <c r="F101" s="261">
        <f t="shared" ref="F101" si="121">E101</f>
        <v>0.4</v>
      </c>
      <c r="G101" s="261">
        <f t="shared" ref="G101" si="122">F101</f>
        <v>0.4</v>
      </c>
      <c r="H101" s="261">
        <f t="shared" ref="H101" si="123">G101</f>
        <v>0.4</v>
      </c>
      <c r="I101" s="261">
        <f t="shared" ref="I101" si="124">H101</f>
        <v>0.4</v>
      </c>
      <c r="J101" s="261">
        <f t="shared" ref="J101" si="125">I101</f>
        <v>0.4</v>
      </c>
      <c r="K101" s="261">
        <f t="shared" ref="K101" si="126">J101</f>
        <v>0.4</v>
      </c>
      <c r="L101" s="261">
        <f t="shared" ref="L101" si="127">K101</f>
        <v>0.4</v>
      </c>
      <c r="M101" s="261">
        <f t="shared" ref="M101" si="128">L101</f>
        <v>0.4</v>
      </c>
      <c r="N101" s="261">
        <f t="shared" ref="N101" si="129">M101</f>
        <v>0.4</v>
      </c>
      <c r="O101" s="67"/>
      <c r="Q101" s="36"/>
    </row>
    <row r="102" spans="1:23" x14ac:dyDescent="0.2">
      <c r="A102" s="14" t="s">
        <v>756</v>
      </c>
      <c r="C102" s="234">
        <f>C100/C101</f>
        <v>3421.5725806451615</v>
      </c>
      <c r="D102" s="234">
        <f t="shared" ref="D102:N102" si="130">D100/D101</f>
        <v>4935.3571428571422</v>
      </c>
      <c r="E102" s="234">
        <f t="shared" si="130"/>
        <v>3399.6135752688169</v>
      </c>
      <c r="F102" s="234">
        <f t="shared" si="130"/>
        <v>2583.6006944444443</v>
      </c>
      <c r="G102" s="234">
        <f t="shared" si="130"/>
        <v>2413.4509408602148</v>
      </c>
      <c r="H102" s="234">
        <f t="shared" si="130"/>
        <v>3315.1666666666665</v>
      </c>
      <c r="I102" s="234">
        <f t="shared" si="130"/>
        <v>3408.9247311827953</v>
      </c>
      <c r="J102" s="234">
        <f t="shared" si="130"/>
        <v>4052.6243279569894</v>
      </c>
      <c r="K102" s="234">
        <f t="shared" si="130"/>
        <v>3986.3194444444443</v>
      </c>
      <c r="L102" s="234">
        <f t="shared" si="130"/>
        <v>3358.1149193548381</v>
      </c>
      <c r="M102" s="234">
        <f t="shared" si="130"/>
        <v>3092.5034722222222</v>
      </c>
      <c r="N102" s="234">
        <f t="shared" si="130"/>
        <v>3012.0430107526877</v>
      </c>
      <c r="O102" s="50">
        <f>SUM(C102:N102)</f>
        <v>40979.291506656424</v>
      </c>
      <c r="P102" s="50"/>
      <c r="Q102" s="50">
        <f>MAX(C102:N102)</f>
        <v>4935.3571428571422</v>
      </c>
    </row>
    <row r="103" spans="1:23" x14ac:dyDescent="0.2">
      <c r="A103" s="14" t="s">
        <v>679</v>
      </c>
      <c r="C103" s="261">
        <f>C93-0.05</f>
        <v>0.64999999999999991</v>
      </c>
      <c r="D103" s="261">
        <f t="shared" ref="D103" si="131">D93-0.05</f>
        <v>0.64999999999999991</v>
      </c>
      <c r="E103" s="261">
        <v>0.5</v>
      </c>
      <c r="F103" s="261">
        <v>0.5</v>
      </c>
      <c r="G103" s="261">
        <v>0.5</v>
      </c>
      <c r="H103" s="261">
        <v>0.5</v>
      </c>
      <c r="I103" s="261">
        <v>0.5</v>
      </c>
      <c r="J103" s="261">
        <v>0.5</v>
      </c>
      <c r="K103" s="261">
        <f t="shared" ref="K103:N103" si="132">K93-0.05</f>
        <v>0.64999999999999991</v>
      </c>
      <c r="L103" s="261">
        <f t="shared" si="132"/>
        <v>0.64999999999999991</v>
      </c>
      <c r="M103" s="261">
        <f t="shared" si="132"/>
        <v>0.64999999999999991</v>
      </c>
      <c r="N103" s="261">
        <f t="shared" si="132"/>
        <v>0.64999999999999991</v>
      </c>
      <c r="O103" s="67"/>
      <c r="P103" s="50"/>
      <c r="Q103" s="36"/>
    </row>
    <row r="104" spans="1:23" x14ac:dyDescent="0.2">
      <c r="A104" s="14" t="s">
        <v>680</v>
      </c>
      <c r="C104" s="234">
        <f>C102*C103</f>
        <v>2224.0221774193546</v>
      </c>
      <c r="D104" s="234">
        <f t="shared" ref="D104:N104" si="133">D102*D103</f>
        <v>3207.9821428571422</v>
      </c>
      <c r="E104" s="234">
        <f t="shared" si="133"/>
        <v>1699.8067876344085</v>
      </c>
      <c r="F104" s="234">
        <f t="shared" si="133"/>
        <v>1291.8003472222222</v>
      </c>
      <c r="G104" s="234">
        <f t="shared" si="133"/>
        <v>1206.7254704301074</v>
      </c>
      <c r="H104" s="234">
        <f t="shared" si="133"/>
        <v>1657.5833333333333</v>
      </c>
      <c r="I104" s="234">
        <f t="shared" si="133"/>
        <v>1704.4623655913977</v>
      </c>
      <c r="J104" s="234">
        <f t="shared" si="133"/>
        <v>2026.3121639784947</v>
      </c>
      <c r="K104" s="234">
        <f t="shared" si="133"/>
        <v>2591.1076388888887</v>
      </c>
      <c r="L104" s="234">
        <f t="shared" si="133"/>
        <v>2182.7746975806444</v>
      </c>
      <c r="M104" s="234">
        <f t="shared" si="133"/>
        <v>2010.1272569444441</v>
      </c>
      <c r="N104" s="234">
        <f t="shared" si="133"/>
        <v>1957.8279569892468</v>
      </c>
      <c r="O104" s="50">
        <f>SUM(C104:N104)</f>
        <v>23760.532338869689</v>
      </c>
      <c r="P104" s="50"/>
      <c r="Q104" s="36"/>
      <c r="R104" s="36">
        <f>O104</f>
        <v>23760.532338869689</v>
      </c>
      <c r="S104" s="36">
        <f>H104+I104+J104</f>
        <v>5388.3578629032254</v>
      </c>
      <c r="T104" s="36">
        <f>R104-S104</f>
        <v>18372.174475966465</v>
      </c>
    </row>
    <row r="105" spans="1:23" x14ac:dyDescent="0.2">
      <c r="A105" s="14" t="s">
        <v>757</v>
      </c>
      <c r="C105" s="261">
        <f>C100/C106</f>
        <v>0.25235436916490178</v>
      </c>
      <c r="D105" s="261">
        <f t="shared" ref="D105" si="134">D100/D106</f>
        <v>0.35883289542338626</v>
      </c>
      <c r="E105" s="261">
        <f t="shared" ref="E105" si="135">E100/E106</f>
        <v>0.23806634369544891</v>
      </c>
      <c r="F105" s="261">
        <f t="shared" ref="F105" si="136">F100/F106</f>
        <v>0.18818338146889813</v>
      </c>
      <c r="G105" s="261">
        <f t="shared" ref="G105" si="137">G100/G106</f>
        <v>0.17240012792658224</v>
      </c>
      <c r="H105" s="261">
        <f t="shared" ref="H105" si="138">H100/H106</f>
        <v>0.23908536715457945</v>
      </c>
      <c r="I105" s="261">
        <f t="shared" ref="I105" si="139">I100/I106</f>
        <v>0.23603805504798983</v>
      </c>
      <c r="J105" s="261">
        <f t="shared" ref="J105" si="140">J100/J106</f>
        <v>0.29353346797845403</v>
      </c>
      <c r="K105" s="261">
        <f t="shared" ref="K105" si="141">K100/K106</f>
        <v>0.25607898397880513</v>
      </c>
      <c r="L105" s="261">
        <f t="shared" ref="L105" si="142">L100/L106</f>
        <v>0.23674530195835802</v>
      </c>
      <c r="M105" s="261">
        <f t="shared" ref="M105" si="143">M100/M106</f>
        <v>0.22324112340309482</v>
      </c>
      <c r="N105" s="261">
        <f t="shared" ref="N105" si="144">N100/N106</f>
        <v>0.22242929723851831</v>
      </c>
      <c r="O105" s="67"/>
      <c r="P105" s="132"/>
      <c r="Q105" s="132"/>
      <c r="U105" s="121"/>
      <c r="W105" s="121"/>
    </row>
    <row r="106" spans="1:23" x14ac:dyDescent="0.2">
      <c r="A106" s="14" t="s">
        <v>758</v>
      </c>
      <c r="C106" s="234">
        <v>5423.4410000000016</v>
      </c>
      <c r="D106" s="234">
        <v>5501.5659999999989</v>
      </c>
      <c r="E106" s="234">
        <v>5712.0440000000008</v>
      </c>
      <c r="F106" s="234">
        <v>5491.6659999999993</v>
      </c>
      <c r="G106" s="234">
        <v>5599.6499999999987</v>
      </c>
      <c r="H106" s="234">
        <v>5546.4149999999991</v>
      </c>
      <c r="I106" s="234">
        <v>5776.907000000002</v>
      </c>
      <c r="J106" s="234">
        <v>5522.5380000000005</v>
      </c>
      <c r="K106" s="234">
        <v>6226.7029999999995</v>
      </c>
      <c r="L106" s="234">
        <v>5673.8019999999988</v>
      </c>
      <c r="M106" s="234">
        <v>5541.1</v>
      </c>
      <c r="N106" s="234">
        <v>5416.6299999999992</v>
      </c>
      <c r="O106" s="50">
        <f>SUM(C106:N106)</f>
        <v>67432.462</v>
      </c>
      <c r="P106" s="50">
        <f>MAX(C106:N106)</f>
        <v>6226.7029999999995</v>
      </c>
      <c r="Q106" s="50"/>
    </row>
    <row r="107" spans="1:23" x14ac:dyDescent="0.2"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</row>
    <row r="108" spans="1:23" x14ac:dyDescent="0.2">
      <c r="A108" s="15" t="str">
        <f>A15</f>
        <v>All Electric Schools</v>
      </c>
      <c r="B108" s="16" t="str">
        <f>B15</f>
        <v>AES</v>
      </c>
      <c r="C108" s="234">
        <v>17</v>
      </c>
      <c r="D108" s="234">
        <v>17</v>
      </c>
      <c r="E108" s="234">
        <v>17</v>
      </c>
      <c r="F108" s="234">
        <v>17</v>
      </c>
      <c r="G108" s="234">
        <v>17</v>
      </c>
      <c r="H108" s="234">
        <v>17</v>
      </c>
      <c r="I108" s="234">
        <v>17</v>
      </c>
      <c r="J108" s="234">
        <v>17</v>
      </c>
      <c r="K108" s="234">
        <v>17</v>
      </c>
      <c r="L108" s="234">
        <v>17</v>
      </c>
      <c r="M108" s="234">
        <v>17</v>
      </c>
      <c r="N108" s="234">
        <v>17</v>
      </c>
      <c r="O108" s="50">
        <f>ROUND(SUM(C108:N108)/12,0)</f>
        <v>17</v>
      </c>
      <c r="P108" s="50"/>
      <c r="Q108" s="36"/>
    </row>
    <row r="109" spans="1:23" x14ac:dyDescent="0.2">
      <c r="A109" s="14" t="s">
        <v>1055</v>
      </c>
      <c r="C109" s="234">
        <v>874640</v>
      </c>
      <c r="D109" s="234">
        <v>1282720</v>
      </c>
      <c r="E109" s="234">
        <v>910240</v>
      </c>
      <c r="F109" s="234">
        <v>822900</v>
      </c>
      <c r="G109" s="234">
        <v>723800</v>
      </c>
      <c r="H109" s="234">
        <v>854400</v>
      </c>
      <c r="I109" s="234">
        <v>658860</v>
      </c>
      <c r="J109" s="234">
        <v>735160</v>
      </c>
      <c r="K109" s="234">
        <v>1057520</v>
      </c>
      <c r="L109" s="234">
        <v>930680</v>
      </c>
      <c r="M109" s="234">
        <v>776460</v>
      </c>
      <c r="N109" s="234">
        <v>835660</v>
      </c>
      <c r="O109" s="50">
        <f>SUM(C109:N109)</f>
        <v>10463040</v>
      </c>
      <c r="P109" s="132"/>
      <c r="Q109" s="132"/>
      <c r="U109" s="121"/>
      <c r="W109" s="121"/>
    </row>
    <row r="110" spans="1:23" x14ac:dyDescent="0.2">
      <c r="A110" s="14" t="s">
        <v>678</v>
      </c>
      <c r="C110" s="234">
        <f>C109/C$33</f>
        <v>1175.5913978494623</v>
      </c>
      <c r="D110" s="234">
        <f t="shared" ref="D110:N110" si="145">D109/D$33</f>
        <v>1908.8095238095239</v>
      </c>
      <c r="E110" s="234">
        <f t="shared" si="145"/>
        <v>1223.4408602150538</v>
      </c>
      <c r="F110" s="234">
        <f t="shared" si="145"/>
        <v>1142.9166666666667</v>
      </c>
      <c r="G110" s="234">
        <f t="shared" si="145"/>
        <v>972.84946236559142</v>
      </c>
      <c r="H110" s="234">
        <f t="shared" si="145"/>
        <v>1186.6666666666667</v>
      </c>
      <c r="I110" s="234">
        <f t="shared" si="145"/>
        <v>885.56451612903231</v>
      </c>
      <c r="J110" s="234">
        <f t="shared" si="145"/>
        <v>988.11827956989248</v>
      </c>
      <c r="K110" s="234">
        <f t="shared" si="145"/>
        <v>1468.7777777777778</v>
      </c>
      <c r="L110" s="234">
        <f t="shared" si="145"/>
        <v>1250.9139784946237</v>
      </c>
      <c r="M110" s="234">
        <f t="shared" si="145"/>
        <v>1078.4166666666667</v>
      </c>
      <c r="N110" s="234">
        <f t="shared" si="145"/>
        <v>1123.1989247311828</v>
      </c>
      <c r="O110" s="50">
        <f>O109/8760</f>
        <v>1194.4109589041095</v>
      </c>
      <c r="P110" s="50"/>
      <c r="Q110" s="50"/>
    </row>
    <row r="111" spans="1:23" x14ac:dyDescent="0.2">
      <c r="A111" s="14" t="s">
        <v>755</v>
      </c>
      <c r="C111" s="261">
        <v>0.35</v>
      </c>
      <c r="D111" s="261">
        <f>C111</f>
        <v>0.35</v>
      </c>
      <c r="E111" s="261">
        <f t="shared" ref="E111" si="146">D111</f>
        <v>0.35</v>
      </c>
      <c r="F111" s="261">
        <f t="shared" ref="F111" si="147">E111</f>
        <v>0.35</v>
      </c>
      <c r="G111" s="261">
        <f t="shared" ref="G111" si="148">F111</f>
        <v>0.35</v>
      </c>
      <c r="H111" s="261">
        <f t="shared" ref="H111" si="149">G111</f>
        <v>0.35</v>
      </c>
      <c r="I111" s="261">
        <f t="shared" ref="I111" si="150">H111</f>
        <v>0.35</v>
      </c>
      <c r="J111" s="261">
        <f t="shared" ref="J111" si="151">I111</f>
        <v>0.35</v>
      </c>
      <c r="K111" s="261">
        <f t="shared" ref="K111" si="152">J111</f>
        <v>0.35</v>
      </c>
      <c r="L111" s="261">
        <f t="shared" ref="L111" si="153">K111</f>
        <v>0.35</v>
      </c>
      <c r="M111" s="261">
        <f t="shared" ref="M111" si="154">L111</f>
        <v>0.35</v>
      </c>
      <c r="N111" s="261">
        <f t="shared" ref="N111" si="155">M111</f>
        <v>0.35</v>
      </c>
      <c r="O111" s="67"/>
      <c r="Q111" s="36"/>
    </row>
    <row r="112" spans="1:23" x14ac:dyDescent="0.2">
      <c r="A112" s="14" t="s">
        <v>756</v>
      </c>
      <c r="C112" s="234">
        <f>C110/C111</f>
        <v>3358.8325652841781</v>
      </c>
      <c r="D112" s="234">
        <f t="shared" ref="D112:N112" si="156">D110/D111</f>
        <v>5453.74149659864</v>
      </c>
      <c r="E112" s="234">
        <f t="shared" si="156"/>
        <v>3495.5453149001542</v>
      </c>
      <c r="F112" s="234">
        <f t="shared" si="156"/>
        <v>3265.4761904761908</v>
      </c>
      <c r="G112" s="234">
        <f t="shared" si="156"/>
        <v>2779.5698924731187</v>
      </c>
      <c r="H112" s="234">
        <f t="shared" si="156"/>
        <v>3390.4761904761908</v>
      </c>
      <c r="I112" s="234">
        <f t="shared" si="156"/>
        <v>2530.1843317972352</v>
      </c>
      <c r="J112" s="234">
        <f t="shared" si="156"/>
        <v>2823.1950844854073</v>
      </c>
      <c r="K112" s="234">
        <f t="shared" si="156"/>
        <v>4196.5079365079373</v>
      </c>
      <c r="L112" s="234">
        <f t="shared" si="156"/>
        <v>3574.0399385560681</v>
      </c>
      <c r="M112" s="234">
        <f t="shared" si="156"/>
        <v>3081.1904761904766</v>
      </c>
      <c r="N112" s="234">
        <f t="shared" si="156"/>
        <v>3209.1397849462369</v>
      </c>
      <c r="O112" s="50">
        <f>SUM(C112:N112)</f>
        <v>41157.899202691828</v>
      </c>
      <c r="Q112" s="36">
        <f>MAX(C112:N112)</f>
        <v>5453.74149659864</v>
      </c>
    </row>
    <row r="113" spans="1:23" x14ac:dyDescent="0.2">
      <c r="A113" s="14" t="s">
        <v>679</v>
      </c>
      <c r="C113" s="261">
        <v>0.75</v>
      </c>
      <c r="D113" s="261">
        <v>0.75</v>
      </c>
      <c r="E113" s="261">
        <v>0.5</v>
      </c>
      <c r="F113" s="261">
        <v>0.25</v>
      </c>
      <c r="G113" s="261">
        <v>0.25</v>
      </c>
      <c r="H113" s="261">
        <v>0.25</v>
      </c>
      <c r="I113" s="261">
        <v>0.25</v>
      </c>
      <c r="J113" s="261">
        <v>0.25</v>
      </c>
      <c r="K113" s="261">
        <v>0.5</v>
      </c>
      <c r="L113" s="261">
        <v>0.6</v>
      </c>
      <c r="M113" s="261">
        <v>0.75</v>
      </c>
      <c r="N113" s="261">
        <v>0.75</v>
      </c>
      <c r="O113" s="67"/>
      <c r="P113" s="50"/>
      <c r="Q113" s="36"/>
    </row>
    <row r="114" spans="1:23" x14ac:dyDescent="0.2">
      <c r="A114" s="14" t="s">
        <v>680</v>
      </c>
      <c r="C114" s="234">
        <f>C112*C113</f>
        <v>2519.1244239631337</v>
      </c>
      <c r="D114" s="234">
        <f t="shared" ref="D114:N114" si="157">D112*D113</f>
        <v>4090.3061224489802</v>
      </c>
      <c r="E114" s="234">
        <f t="shared" si="157"/>
        <v>1747.7726574500771</v>
      </c>
      <c r="F114" s="234">
        <f t="shared" si="157"/>
        <v>816.36904761904771</v>
      </c>
      <c r="G114" s="234">
        <f t="shared" si="157"/>
        <v>694.89247311827967</v>
      </c>
      <c r="H114" s="234">
        <f t="shared" si="157"/>
        <v>847.61904761904771</v>
      </c>
      <c r="I114" s="234">
        <f t="shared" si="157"/>
        <v>632.54608294930881</v>
      </c>
      <c r="J114" s="234">
        <f t="shared" si="157"/>
        <v>705.79877112135182</v>
      </c>
      <c r="K114" s="234">
        <f t="shared" si="157"/>
        <v>2098.2539682539687</v>
      </c>
      <c r="L114" s="234">
        <f t="shared" si="157"/>
        <v>2144.4239631336409</v>
      </c>
      <c r="M114" s="234">
        <f t="shared" si="157"/>
        <v>2310.8928571428573</v>
      </c>
      <c r="N114" s="234">
        <f t="shared" si="157"/>
        <v>2406.8548387096776</v>
      </c>
      <c r="O114" s="50">
        <f>SUM(C114:N114)</f>
        <v>21014.854253529371</v>
      </c>
      <c r="P114" s="50"/>
      <c r="Q114" s="36"/>
      <c r="R114" s="36">
        <f>O114</f>
        <v>21014.854253529371</v>
      </c>
      <c r="S114" s="36">
        <f>H114+I114+J114</f>
        <v>2185.9639016897081</v>
      </c>
      <c r="T114" s="36">
        <f>R114-S114</f>
        <v>18828.890351839662</v>
      </c>
    </row>
    <row r="115" spans="1:23" x14ac:dyDescent="0.2">
      <c r="A115" s="14" t="s">
        <v>757</v>
      </c>
      <c r="C115" s="261">
        <f>C110/C116</f>
        <v>0.34422127940497604</v>
      </c>
      <c r="D115" s="261">
        <f t="shared" ref="D115" si="158">D110/D116</f>
        <v>0.81994240663988671</v>
      </c>
      <c r="E115" s="261">
        <f t="shared" ref="E115" si="159">E110/E116</f>
        <v>0.46982053417166036</v>
      </c>
      <c r="F115" s="261">
        <f t="shared" ref="F115" si="160">F110/F116</f>
        <v>0.30054766951195355</v>
      </c>
      <c r="G115" s="261">
        <f t="shared" ref="G115" si="161">G110/G116</f>
        <v>0.27094191598264128</v>
      </c>
      <c r="H115" s="261">
        <f t="shared" ref="H115" si="162">H110/H116</f>
        <v>0.34510971774678256</v>
      </c>
      <c r="I115" s="261">
        <f t="shared" ref="I115" si="163">I110/I116</f>
        <v>0.18690760959924532</v>
      </c>
      <c r="J115" s="261">
        <f t="shared" ref="J115" si="164">J110/J116</f>
        <v>0.20679458203820897</v>
      </c>
      <c r="K115" s="261">
        <f t="shared" ref="K115" si="165">K110/K116</f>
        <v>0.27324674766296414</v>
      </c>
      <c r="L115" s="261">
        <f t="shared" ref="L115" si="166">L110/L116</f>
        <v>0.24960769955914047</v>
      </c>
      <c r="M115" s="261">
        <f t="shared" ref="M115" si="167">M110/M116</f>
        <v>0.23035707928370533</v>
      </c>
      <c r="N115" s="261">
        <f t="shared" ref="N115" si="168">N110/N116</f>
        <v>0.30498007655224008</v>
      </c>
      <c r="O115" s="67"/>
      <c r="P115" s="132"/>
      <c r="Q115" s="132"/>
      <c r="U115" s="121"/>
      <c r="W115" s="121"/>
    </row>
    <row r="116" spans="1:23" x14ac:dyDescent="0.2">
      <c r="A116" s="14" t="s">
        <v>758</v>
      </c>
      <c r="C116" s="234">
        <v>3415.22</v>
      </c>
      <c r="D116" s="234">
        <v>2327.9800000000005</v>
      </c>
      <c r="E116" s="234">
        <v>2604.06</v>
      </c>
      <c r="F116" s="234">
        <v>3802.7799999999997</v>
      </c>
      <c r="G116" s="234">
        <v>3590.62</v>
      </c>
      <c r="H116" s="234">
        <v>3438.52</v>
      </c>
      <c r="I116" s="234">
        <v>4737.9799999999996</v>
      </c>
      <c r="J116" s="234">
        <v>4778.26</v>
      </c>
      <c r="K116" s="234">
        <v>5375.28</v>
      </c>
      <c r="L116" s="234">
        <v>5011.5200000000004</v>
      </c>
      <c r="M116" s="234">
        <v>4681.5000000000009</v>
      </c>
      <c r="N116" s="234">
        <v>3682.8599999999997</v>
      </c>
      <c r="O116" s="50">
        <f>SUM(C116:N116)</f>
        <v>47446.58</v>
      </c>
      <c r="P116" s="50">
        <f>MAX(C116:N116)</f>
        <v>5375.28</v>
      </c>
      <c r="Q116" s="50"/>
    </row>
    <row r="117" spans="1:23" x14ac:dyDescent="0.2">
      <c r="C117" s="232"/>
      <c r="D117" s="232"/>
      <c r="E117" s="232"/>
      <c r="F117" s="232"/>
      <c r="G117" s="232"/>
      <c r="H117" s="232"/>
      <c r="I117" s="232"/>
      <c r="J117" s="232"/>
      <c r="K117" s="232"/>
      <c r="L117" s="234"/>
      <c r="M117" s="232"/>
      <c r="N117" s="232"/>
    </row>
    <row r="118" spans="1:23" x14ac:dyDescent="0.2">
      <c r="A118" s="15" t="str">
        <f>A16</f>
        <v>Lighting</v>
      </c>
      <c r="B118" s="16" t="str">
        <f>B16</f>
        <v>Lights</v>
      </c>
      <c r="C118" s="234">
        <v>23</v>
      </c>
      <c r="D118" s="234">
        <v>24</v>
      </c>
      <c r="E118" s="234">
        <v>24</v>
      </c>
      <c r="F118" s="234">
        <v>24</v>
      </c>
      <c r="G118" s="234">
        <v>24</v>
      </c>
      <c r="H118" s="234">
        <v>21</v>
      </c>
      <c r="I118" s="234">
        <v>21</v>
      </c>
      <c r="J118" s="234">
        <v>21</v>
      </c>
      <c r="K118" s="234">
        <v>21</v>
      </c>
      <c r="L118" s="234">
        <v>22</v>
      </c>
      <c r="M118" s="234">
        <v>22</v>
      </c>
      <c r="N118" s="234">
        <v>23</v>
      </c>
      <c r="O118" s="50">
        <f>ROUND(SUM(C118:N118)/12,0)</f>
        <v>23</v>
      </c>
      <c r="P118" s="50"/>
      <c r="Q118" s="36"/>
    </row>
    <row r="119" spans="1:23" ht="15" x14ac:dyDescent="0.25">
      <c r="A119" s="14" t="s">
        <v>677</v>
      </c>
      <c r="C119" s="264">
        <v>1102313</v>
      </c>
      <c r="D119" s="264">
        <v>1092233</v>
      </c>
      <c r="E119" s="264">
        <v>1085078</v>
      </c>
      <c r="F119" s="264">
        <v>1093069</v>
      </c>
      <c r="G119" s="264">
        <v>1087262</v>
      </c>
      <c r="H119" s="264">
        <v>1111559</v>
      </c>
      <c r="I119" s="264">
        <v>1116953</v>
      </c>
      <c r="J119" s="264">
        <v>1104844</v>
      </c>
      <c r="K119" s="264">
        <v>1104154</v>
      </c>
      <c r="L119" s="264">
        <v>1142822</v>
      </c>
      <c r="M119" s="264">
        <v>1097357</v>
      </c>
      <c r="N119" s="264">
        <v>1093699</v>
      </c>
      <c r="O119" s="50">
        <f>SUM(C119:N119)</f>
        <v>13231343</v>
      </c>
      <c r="P119" s="132"/>
      <c r="Q119" s="132"/>
      <c r="U119" s="121"/>
      <c r="W119" s="121"/>
    </row>
    <row r="120" spans="1:23" x14ac:dyDescent="0.2">
      <c r="A120" s="14" t="s">
        <v>678</v>
      </c>
      <c r="C120" s="234">
        <f>C119/C$33</f>
        <v>1481.6034946236559</v>
      </c>
      <c r="D120" s="234">
        <f t="shared" ref="D120:N120" si="169">D119/D$33</f>
        <v>1625.3467261904761</v>
      </c>
      <c r="E120" s="234">
        <f t="shared" si="169"/>
        <v>1458.4381720430108</v>
      </c>
      <c r="F120" s="234">
        <f t="shared" si="169"/>
        <v>1518.151388888889</v>
      </c>
      <c r="G120" s="234">
        <f t="shared" si="169"/>
        <v>1461.3736559139784</v>
      </c>
      <c r="H120" s="234">
        <f t="shared" si="169"/>
        <v>1543.8319444444444</v>
      </c>
      <c r="I120" s="234">
        <f t="shared" si="169"/>
        <v>1501.2809139784947</v>
      </c>
      <c r="J120" s="234">
        <f t="shared" si="169"/>
        <v>1485.005376344086</v>
      </c>
      <c r="K120" s="234">
        <f t="shared" si="169"/>
        <v>1533.5472222222222</v>
      </c>
      <c r="L120" s="234">
        <f t="shared" si="169"/>
        <v>1536.0510752688172</v>
      </c>
      <c r="M120" s="234">
        <f t="shared" si="169"/>
        <v>1524.1069444444445</v>
      </c>
      <c r="N120" s="234">
        <f t="shared" si="169"/>
        <v>1470.0255376344087</v>
      </c>
      <c r="O120" s="50">
        <f>O119/8760</f>
        <v>1510.4272831050228</v>
      </c>
      <c r="P120" s="50"/>
      <c r="Q120" s="50"/>
    </row>
    <row r="121" spans="1:23" x14ac:dyDescent="0.2">
      <c r="A121" s="14" t="s">
        <v>755</v>
      </c>
      <c r="C121" s="261">
        <v>0.5</v>
      </c>
      <c r="D121" s="261">
        <v>0.5</v>
      </c>
      <c r="E121" s="261">
        <v>0.5</v>
      </c>
      <c r="F121" s="261">
        <v>0.5</v>
      </c>
      <c r="G121" s="261">
        <v>0.5</v>
      </c>
      <c r="H121" s="261">
        <v>0.5</v>
      </c>
      <c r="I121" s="261">
        <v>0.5</v>
      </c>
      <c r="J121" s="261">
        <v>0.5</v>
      </c>
      <c r="K121" s="261">
        <v>0.5</v>
      </c>
      <c r="L121" s="261">
        <v>0.5</v>
      </c>
      <c r="M121" s="261">
        <v>0.5</v>
      </c>
      <c r="N121" s="261">
        <v>0.5</v>
      </c>
      <c r="O121" s="67"/>
      <c r="Q121" s="36"/>
    </row>
    <row r="122" spans="1:23" x14ac:dyDescent="0.2">
      <c r="A122" s="14" t="s">
        <v>756</v>
      </c>
      <c r="C122" s="234">
        <f>C120/C121</f>
        <v>2963.2069892473119</v>
      </c>
      <c r="D122" s="234">
        <f t="shared" ref="D122:N122" si="170">D120/D121</f>
        <v>3250.6934523809523</v>
      </c>
      <c r="E122" s="234">
        <f t="shared" si="170"/>
        <v>2916.8763440860216</v>
      </c>
      <c r="F122" s="234">
        <f t="shared" si="170"/>
        <v>3036.3027777777779</v>
      </c>
      <c r="G122" s="234">
        <f t="shared" si="170"/>
        <v>2922.7473118279568</v>
      </c>
      <c r="H122" s="234">
        <f t="shared" si="170"/>
        <v>3087.6638888888888</v>
      </c>
      <c r="I122" s="234">
        <f t="shared" si="170"/>
        <v>3002.5618279569894</v>
      </c>
      <c r="J122" s="234">
        <f t="shared" si="170"/>
        <v>2970.010752688172</v>
      </c>
      <c r="K122" s="234">
        <f t="shared" si="170"/>
        <v>3067.0944444444444</v>
      </c>
      <c r="L122" s="234">
        <f t="shared" si="170"/>
        <v>3072.1021505376343</v>
      </c>
      <c r="M122" s="234">
        <f t="shared" si="170"/>
        <v>3048.213888888889</v>
      </c>
      <c r="N122" s="234">
        <f t="shared" si="170"/>
        <v>2940.0510752688174</v>
      </c>
      <c r="O122" s="50">
        <f>SUM(C122:N122)</f>
        <v>36277.524903993857</v>
      </c>
      <c r="Q122" s="36">
        <f>MAX(C122:N122)</f>
        <v>3250.6934523809523</v>
      </c>
    </row>
    <row r="123" spans="1:23" x14ac:dyDescent="0.2">
      <c r="A123" s="14" t="s">
        <v>679</v>
      </c>
      <c r="C123" s="261">
        <v>1</v>
      </c>
      <c r="D123" s="261">
        <v>1</v>
      </c>
      <c r="E123" s="261">
        <v>1</v>
      </c>
      <c r="F123" s="261">
        <v>1</v>
      </c>
      <c r="G123" s="261">
        <v>0</v>
      </c>
      <c r="H123" s="261">
        <v>0</v>
      </c>
      <c r="I123" s="261">
        <v>0</v>
      </c>
      <c r="J123" s="261">
        <v>0</v>
      </c>
      <c r="K123" s="261">
        <v>0</v>
      </c>
      <c r="L123" s="261">
        <v>0</v>
      </c>
      <c r="M123" s="261">
        <v>1</v>
      </c>
      <c r="N123" s="261">
        <v>1</v>
      </c>
      <c r="O123" s="67"/>
      <c r="P123" s="50"/>
      <c r="Q123" s="36"/>
    </row>
    <row r="124" spans="1:23" x14ac:dyDescent="0.2">
      <c r="A124" s="14" t="s">
        <v>680</v>
      </c>
      <c r="C124" s="234">
        <f>C122*C123</f>
        <v>2963.2069892473119</v>
      </c>
      <c r="D124" s="234">
        <f t="shared" ref="D124:N124" si="171">D122*D123</f>
        <v>3250.6934523809523</v>
      </c>
      <c r="E124" s="234">
        <f t="shared" si="171"/>
        <v>2916.8763440860216</v>
      </c>
      <c r="F124" s="234">
        <f t="shared" si="171"/>
        <v>3036.3027777777779</v>
      </c>
      <c r="G124" s="234">
        <f t="shared" si="171"/>
        <v>0</v>
      </c>
      <c r="H124" s="234">
        <f t="shared" si="171"/>
        <v>0</v>
      </c>
      <c r="I124" s="234">
        <f t="shared" si="171"/>
        <v>0</v>
      </c>
      <c r="J124" s="234">
        <f t="shared" si="171"/>
        <v>0</v>
      </c>
      <c r="K124" s="234">
        <f t="shared" si="171"/>
        <v>0</v>
      </c>
      <c r="L124" s="234">
        <f t="shared" si="171"/>
        <v>0</v>
      </c>
      <c r="M124" s="234">
        <f t="shared" si="171"/>
        <v>3048.213888888889</v>
      </c>
      <c r="N124" s="234">
        <f t="shared" si="171"/>
        <v>2940.0510752688174</v>
      </c>
      <c r="O124" s="50">
        <f>SUM(C124:N124)</f>
        <v>18155.344527649773</v>
      </c>
      <c r="P124" s="50"/>
      <c r="Q124" s="36"/>
      <c r="R124" s="36">
        <f>O124</f>
        <v>18155.344527649773</v>
      </c>
      <c r="S124" s="36">
        <f>H124+I124+J124</f>
        <v>0</v>
      </c>
      <c r="T124" s="36">
        <f>R124-S124</f>
        <v>18155.344527649773</v>
      </c>
    </row>
    <row r="125" spans="1:23" x14ac:dyDescent="0.2">
      <c r="A125" s="14" t="s">
        <v>757</v>
      </c>
      <c r="C125" s="261">
        <v>0.5</v>
      </c>
      <c r="D125" s="261">
        <v>0.5</v>
      </c>
      <c r="E125" s="261">
        <v>0.5</v>
      </c>
      <c r="F125" s="261">
        <v>0.5</v>
      </c>
      <c r="G125" s="261">
        <v>0.5</v>
      </c>
      <c r="H125" s="261">
        <v>0.5</v>
      </c>
      <c r="I125" s="261">
        <v>0.5</v>
      </c>
      <c r="J125" s="261">
        <v>0.5</v>
      </c>
      <c r="K125" s="261">
        <v>0.5</v>
      </c>
      <c r="L125" s="261">
        <v>0.5</v>
      </c>
      <c r="M125" s="261">
        <v>0.5</v>
      </c>
      <c r="N125" s="261">
        <v>0.5</v>
      </c>
      <c r="O125" s="67"/>
      <c r="P125" s="132"/>
      <c r="Q125" s="132"/>
      <c r="U125" s="121"/>
      <c r="W125" s="121"/>
    </row>
    <row r="126" spans="1:23" x14ac:dyDescent="0.2">
      <c r="A126" s="14" t="s">
        <v>758</v>
      </c>
      <c r="C126" s="50">
        <f>C120/C125</f>
        <v>2963.2069892473119</v>
      </c>
      <c r="D126" s="50">
        <f t="shared" ref="D126:N126" si="172">D120/D125</f>
        <v>3250.6934523809523</v>
      </c>
      <c r="E126" s="50">
        <f t="shared" si="172"/>
        <v>2916.8763440860216</v>
      </c>
      <c r="F126" s="50">
        <f t="shared" si="172"/>
        <v>3036.3027777777779</v>
      </c>
      <c r="G126" s="50">
        <f t="shared" si="172"/>
        <v>2922.7473118279568</v>
      </c>
      <c r="H126" s="50">
        <f t="shared" si="172"/>
        <v>3087.6638888888888</v>
      </c>
      <c r="I126" s="50">
        <f t="shared" si="172"/>
        <v>3002.5618279569894</v>
      </c>
      <c r="J126" s="50">
        <f t="shared" si="172"/>
        <v>2970.010752688172</v>
      </c>
      <c r="K126" s="50">
        <f t="shared" si="172"/>
        <v>3067.0944444444444</v>
      </c>
      <c r="L126" s="50">
        <f t="shared" si="172"/>
        <v>3072.1021505376343</v>
      </c>
      <c r="M126" s="50">
        <f t="shared" si="172"/>
        <v>3048.213888888889</v>
      </c>
      <c r="N126" s="50">
        <f t="shared" si="172"/>
        <v>2940.0510752688174</v>
      </c>
      <c r="O126" s="50">
        <f>SUM(C126:N126)</f>
        <v>36277.524903993857</v>
      </c>
      <c r="P126" s="50">
        <f>MAX(C126:N126)</f>
        <v>3250.6934523809523</v>
      </c>
      <c r="Q126" s="50"/>
    </row>
    <row r="128" spans="1:23" hidden="1" x14ac:dyDescent="0.2">
      <c r="A128" s="15">
        <f>A17</f>
        <v>0</v>
      </c>
      <c r="B128" s="16">
        <f>B17</f>
        <v>0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36"/>
    </row>
    <row r="129" spans="1:23" hidden="1" x14ac:dyDescent="0.2">
      <c r="A129" s="14" t="s">
        <v>677</v>
      </c>
      <c r="C129" s="50">
        <v>0</v>
      </c>
      <c r="D129" s="50">
        <v>0</v>
      </c>
      <c r="E129" s="50">
        <v>0</v>
      </c>
      <c r="F129" s="50">
        <v>0</v>
      </c>
      <c r="G129" s="50">
        <v>0</v>
      </c>
      <c r="H129" s="50">
        <v>0</v>
      </c>
      <c r="I129" s="50">
        <v>0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f>SUM(C129:N129)</f>
        <v>0</v>
      </c>
      <c r="P129" s="132"/>
      <c r="Q129" s="132"/>
      <c r="U129" s="121"/>
      <c r="W129" s="121"/>
    </row>
    <row r="130" spans="1:23" hidden="1" x14ac:dyDescent="0.2">
      <c r="A130" s="14" t="s">
        <v>678</v>
      </c>
      <c r="C130" s="50">
        <f>C129/744</f>
        <v>0</v>
      </c>
      <c r="D130" s="48">
        <f>D129/720</f>
        <v>0</v>
      </c>
      <c r="E130" s="50">
        <f t="shared" ref="E130" si="173">E129/744</f>
        <v>0</v>
      </c>
      <c r="F130" s="50">
        <f>F129/720</f>
        <v>0</v>
      </c>
      <c r="G130" s="50">
        <f t="shared" ref="G130" si="174">G129/744</f>
        <v>0</v>
      </c>
      <c r="H130" s="48">
        <f>H129/744</f>
        <v>0</v>
      </c>
      <c r="I130" s="48">
        <f>I129/672</f>
        <v>0</v>
      </c>
      <c r="J130" s="50">
        <f t="shared" ref="J130" si="175">J129/744</f>
        <v>0</v>
      </c>
      <c r="K130" s="50">
        <f>K129/720</f>
        <v>0</v>
      </c>
      <c r="L130" s="50">
        <f t="shared" ref="L130" si="176">L129/744</f>
        <v>0</v>
      </c>
      <c r="M130" s="50">
        <f>M129/720</f>
        <v>0</v>
      </c>
      <c r="N130" s="50">
        <f t="shared" ref="N130" si="177">N129/744</f>
        <v>0</v>
      </c>
      <c r="O130" s="50">
        <f>O129/8760</f>
        <v>0</v>
      </c>
      <c r="P130" s="50"/>
      <c r="Q130" s="50"/>
    </row>
    <row r="131" spans="1:23" hidden="1" x14ac:dyDescent="0.2">
      <c r="A131" s="14" t="s">
        <v>755</v>
      </c>
      <c r="C131" s="67">
        <v>0</v>
      </c>
      <c r="D131" s="67">
        <v>0</v>
      </c>
      <c r="E131" s="67">
        <v>0</v>
      </c>
      <c r="F131" s="67">
        <v>0.25</v>
      </c>
      <c r="G131" s="67">
        <v>0.25</v>
      </c>
      <c r="H131" s="67">
        <v>0.25</v>
      </c>
      <c r="I131" s="67">
        <v>0.25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/>
      <c r="Q131" s="36"/>
    </row>
    <row r="132" spans="1:23" hidden="1" x14ac:dyDescent="0.2">
      <c r="A132" s="14" t="s">
        <v>756</v>
      </c>
      <c r="C132" s="50"/>
      <c r="D132" s="50"/>
      <c r="E132" s="50"/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/>
      <c r="L132" s="50"/>
      <c r="M132" s="50"/>
      <c r="N132" s="50"/>
      <c r="O132" s="50">
        <f>SUM(C132:N132)</f>
        <v>0</v>
      </c>
      <c r="Q132" s="36">
        <f>MAX(C132:N132)</f>
        <v>0</v>
      </c>
    </row>
    <row r="133" spans="1:23" hidden="1" x14ac:dyDescent="0.2">
      <c r="A133" s="14" t="s">
        <v>679</v>
      </c>
      <c r="C133" s="67">
        <v>1</v>
      </c>
      <c r="D133" s="67">
        <v>1</v>
      </c>
      <c r="E133" s="67">
        <v>1</v>
      </c>
      <c r="F133" s="67">
        <v>0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1</v>
      </c>
      <c r="M133" s="67">
        <v>1</v>
      </c>
      <c r="N133" s="67">
        <v>1</v>
      </c>
      <c r="O133" s="67"/>
      <c r="P133" s="50"/>
      <c r="Q133" s="36"/>
    </row>
    <row r="134" spans="1:23" hidden="1" x14ac:dyDescent="0.2">
      <c r="A134" s="14" t="s">
        <v>680</v>
      </c>
      <c r="C134" s="50">
        <f t="shared" ref="C134:N134" si="178">C132*C133</f>
        <v>0</v>
      </c>
      <c r="D134" s="50">
        <f t="shared" si="178"/>
        <v>0</v>
      </c>
      <c r="E134" s="50">
        <f t="shared" si="178"/>
        <v>0</v>
      </c>
      <c r="F134" s="50">
        <f t="shared" si="178"/>
        <v>0</v>
      </c>
      <c r="G134" s="50">
        <f t="shared" si="178"/>
        <v>0</v>
      </c>
      <c r="H134" s="50">
        <f t="shared" si="178"/>
        <v>0</v>
      </c>
      <c r="I134" s="50">
        <f t="shared" si="178"/>
        <v>0</v>
      </c>
      <c r="J134" s="50">
        <f t="shared" si="178"/>
        <v>0</v>
      </c>
      <c r="K134" s="50">
        <f t="shared" si="178"/>
        <v>0</v>
      </c>
      <c r="L134" s="50">
        <f t="shared" si="178"/>
        <v>0</v>
      </c>
      <c r="M134" s="50">
        <f t="shared" si="178"/>
        <v>0</v>
      </c>
      <c r="N134" s="50">
        <f t="shared" si="178"/>
        <v>0</v>
      </c>
      <c r="O134" s="50">
        <f>SUM(C134:N134)</f>
        <v>0</v>
      </c>
      <c r="P134" s="50"/>
      <c r="Q134" s="36"/>
      <c r="R134" s="36">
        <f>O134</f>
        <v>0</v>
      </c>
      <c r="S134" s="36">
        <f>H134+I134+J134</f>
        <v>0</v>
      </c>
      <c r="T134" s="36">
        <f>R134-S134</f>
        <v>0</v>
      </c>
    </row>
    <row r="135" spans="1:23" hidden="1" x14ac:dyDescent="0.2">
      <c r="A135" s="14" t="s">
        <v>757</v>
      </c>
      <c r="C135" s="67">
        <v>0.65</v>
      </c>
      <c r="D135" s="67">
        <v>0.65</v>
      </c>
      <c r="E135" s="67">
        <v>0.65</v>
      </c>
      <c r="F135" s="67">
        <v>0.65</v>
      </c>
      <c r="G135" s="67">
        <v>0.65</v>
      </c>
      <c r="H135" s="67">
        <v>0.65</v>
      </c>
      <c r="I135" s="67">
        <v>0.65</v>
      </c>
      <c r="J135" s="67">
        <v>0.65</v>
      </c>
      <c r="K135" s="67">
        <v>0.65</v>
      </c>
      <c r="L135" s="67">
        <v>0.65</v>
      </c>
      <c r="M135" s="67">
        <v>0.65</v>
      </c>
      <c r="N135" s="67">
        <v>0.65</v>
      </c>
      <c r="O135" s="67"/>
      <c r="P135" s="132"/>
      <c r="Q135" s="132"/>
      <c r="U135" s="121"/>
      <c r="W135" s="121"/>
    </row>
    <row r="136" spans="1:23" hidden="1" x14ac:dyDescent="0.2">
      <c r="A136" s="14" t="s">
        <v>758</v>
      </c>
      <c r="C136" s="50">
        <f>C130/C135</f>
        <v>0</v>
      </c>
      <c r="D136" s="50">
        <f t="shared" ref="D136:N136" si="179">D130/D135</f>
        <v>0</v>
      </c>
      <c r="E136" s="50">
        <f t="shared" si="179"/>
        <v>0</v>
      </c>
      <c r="F136" s="50">
        <f t="shared" si="179"/>
        <v>0</v>
      </c>
      <c r="G136" s="50">
        <f t="shared" si="179"/>
        <v>0</v>
      </c>
      <c r="H136" s="50">
        <f t="shared" si="179"/>
        <v>0</v>
      </c>
      <c r="I136" s="50">
        <f t="shared" si="179"/>
        <v>0</v>
      </c>
      <c r="J136" s="50">
        <f t="shared" si="179"/>
        <v>0</v>
      </c>
      <c r="K136" s="50">
        <f t="shared" si="179"/>
        <v>0</v>
      </c>
      <c r="L136" s="50">
        <f t="shared" si="179"/>
        <v>0</v>
      </c>
      <c r="M136" s="50">
        <f t="shared" si="179"/>
        <v>0</v>
      </c>
      <c r="N136" s="50">
        <f t="shared" si="179"/>
        <v>0</v>
      </c>
      <c r="O136" s="50">
        <f>SUM(C136:N136)</f>
        <v>0</v>
      </c>
      <c r="P136" s="50">
        <f>MAX(C136:N136)</f>
        <v>0</v>
      </c>
      <c r="Q136" s="50"/>
    </row>
    <row r="137" spans="1:23" hidden="1" x14ac:dyDescent="0.2">
      <c r="L137" s="50"/>
    </row>
    <row r="138" spans="1:23" hidden="1" x14ac:dyDescent="0.2">
      <c r="A138" s="15">
        <f>A18</f>
        <v>0</v>
      </c>
      <c r="B138" s="218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36"/>
    </row>
    <row r="139" spans="1:23" hidden="1" x14ac:dyDescent="0.2">
      <c r="A139" s="14" t="s">
        <v>677</v>
      </c>
      <c r="C139" s="50">
        <v>0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f>SUM(C139:N139)</f>
        <v>0</v>
      </c>
      <c r="P139" s="132"/>
      <c r="Q139" s="132"/>
      <c r="U139" s="121"/>
      <c r="W139" s="121"/>
    </row>
    <row r="140" spans="1:23" hidden="1" x14ac:dyDescent="0.2">
      <c r="A140" s="14" t="s">
        <v>678</v>
      </c>
      <c r="C140" s="50">
        <f>C139/744</f>
        <v>0</v>
      </c>
      <c r="D140" s="48">
        <f>D139/720</f>
        <v>0</v>
      </c>
      <c r="E140" s="50">
        <f t="shared" ref="E140" si="180">E139/744</f>
        <v>0</v>
      </c>
      <c r="F140" s="50">
        <f>F139/720</f>
        <v>0</v>
      </c>
      <c r="G140" s="50">
        <f t="shared" ref="G140" si="181">G139/744</f>
        <v>0</v>
      </c>
      <c r="H140" s="48">
        <f>H139/744</f>
        <v>0</v>
      </c>
      <c r="I140" s="48">
        <f>I139/672</f>
        <v>0</v>
      </c>
      <c r="J140" s="50">
        <f t="shared" ref="J140" si="182">J139/744</f>
        <v>0</v>
      </c>
      <c r="K140" s="50">
        <f>K139/720</f>
        <v>0</v>
      </c>
      <c r="L140" s="50">
        <f t="shared" ref="L140" si="183">L139/744</f>
        <v>0</v>
      </c>
      <c r="M140" s="50">
        <f>M139/720</f>
        <v>0</v>
      </c>
      <c r="N140" s="50">
        <f t="shared" ref="N140" si="184">N139/744</f>
        <v>0</v>
      </c>
      <c r="O140" s="50">
        <f>O139/8760</f>
        <v>0</v>
      </c>
      <c r="P140" s="50"/>
      <c r="Q140" s="50"/>
    </row>
    <row r="141" spans="1:23" hidden="1" x14ac:dyDescent="0.2">
      <c r="A141" s="14" t="s">
        <v>755</v>
      </c>
      <c r="C141" s="67">
        <v>0</v>
      </c>
      <c r="D141" s="67">
        <v>0</v>
      </c>
      <c r="E141" s="67">
        <v>0</v>
      </c>
      <c r="F141" s="67">
        <v>0.25</v>
      </c>
      <c r="G141" s="67">
        <v>0.25</v>
      </c>
      <c r="H141" s="67">
        <v>0.25</v>
      </c>
      <c r="I141" s="67">
        <v>0.25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/>
      <c r="Q141" s="36"/>
    </row>
    <row r="142" spans="1:23" hidden="1" x14ac:dyDescent="0.2">
      <c r="A142" s="14" t="s">
        <v>756</v>
      </c>
      <c r="C142" s="50"/>
      <c r="D142" s="50"/>
      <c r="E142" s="50"/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/>
      <c r="L142" s="50"/>
      <c r="M142" s="50"/>
      <c r="N142" s="50"/>
      <c r="O142" s="50">
        <f>SUM(C142:N142)</f>
        <v>0</v>
      </c>
      <c r="Q142" s="36">
        <f>MAX(C142:N142)</f>
        <v>0</v>
      </c>
    </row>
    <row r="143" spans="1:23" hidden="1" x14ac:dyDescent="0.2">
      <c r="A143" s="14" t="s">
        <v>679</v>
      </c>
      <c r="C143" s="67">
        <v>1</v>
      </c>
      <c r="D143" s="67">
        <v>1</v>
      </c>
      <c r="E143" s="67">
        <v>1</v>
      </c>
      <c r="F143" s="67">
        <v>0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1</v>
      </c>
      <c r="M143" s="67">
        <v>1</v>
      </c>
      <c r="N143" s="67">
        <v>1</v>
      </c>
      <c r="O143" s="67"/>
      <c r="P143" s="50"/>
      <c r="Q143" s="36"/>
    </row>
    <row r="144" spans="1:23" hidden="1" x14ac:dyDescent="0.2">
      <c r="A144" s="14" t="s">
        <v>680</v>
      </c>
      <c r="C144" s="50">
        <f t="shared" ref="C144:N144" si="185">C142*C143</f>
        <v>0</v>
      </c>
      <c r="D144" s="50">
        <f t="shared" si="185"/>
        <v>0</v>
      </c>
      <c r="E144" s="50">
        <f t="shared" si="185"/>
        <v>0</v>
      </c>
      <c r="F144" s="50">
        <f t="shared" si="185"/>
        <v>0</v>
      </c>
      <c r="G144" s="50">
        <f t="shared" si="185"/>
        <v>0</v>
      </c>
      <c r="H144" s="50">
        <f t="shared" si="185"/>
        <v>0</v>
      </c>
      <c r="I144" s="50">
        <f t="shared" si="185"/>
        <v>0</v>
      </c>
      <c r="J144" s="50">
        <f t="shared" si="185"/>
        <v>0</v>
      </c>
      <c r="K144" s="50">
        <f t="shared" si="185"/>
        <v>0</v>
      </c>
      <c r="L144" s="50">
        <f t="shared" si="185"/>
        <v>0</v>
      </c>
      <c r="M144" s="50">
        <f t="shared" si="185"/>
        <v>0</v>
      </c>
      <c r="N144" s="50">
        <f t="shared" si="185"/>
        <v>0</v>
      </c>
      <c r="O144" s="50">
        <f>SUM(C144:N144)</f>
        <v>0</v>
      </c>
      <c r="P144" s="50"/>
      <c r="Q144" s="36"/>
      <c r="R144" s="36">
        <f>O144</f>
        <v>0</v>
      </c>
      <c r="S144" s="36">
        <f>H144+I144+J144</f>
        <v>0</v>
      </c>
      <c r="T144" s="36">
        <f>R144-S144</f>
        <v>0</v>
      </c>
    </row>
    <row r="145" spans="1:23" hidden="1" x14ac:dyDescent="0.2">
      <c r="A145" s="14" t="s">
        <v>757</v>
      </c>
      <c r="C145" s="67">
        <v>0.65</v>
      </c>
      <c r="D145" s="67">
        <v>0.65</v>
      </c>
      <c r="E145" s="67">
        <v>0.65</v>
      </c>
      <c r="F145" s="67">
        <v>0.65</v>
      </c>
      <c r="G145" s="67">
        <v>0.65</v>
      </c>
      <c r="H145" s="67">
        <v>0.65</v>
      </c>
      <c r="I145" s="67">
        <v>0.65</v>
      </c>
      <c r="J145" s="67">
        <v>0.65</v>
      </c>
      <c r="K145" s="67">
        <v>0.65</v>
      </c>
      <c r="L145" s="67">
        <v>0.65</v>
      </c>
      <c r="M145" s="67">
        <v>0.65</v>
      </c>
      <c r="N145" s="67">
        <v>0.65</v>
      </c>
      <c r="O145" s="67"/>
      <c r="P145" s="132"/>
      <c r="Q145" s="132"/>
      <c r="U145" s="121"/>
      <c r="W145" s="121"/>
    </row>
    <row r="146" spans="1:23" hidden="1" x14ac:dyDescent="0.2">
      <c r="A146" s="14" t="s">
        <v>758</v>
      </c>
      <c r="C146" s="50">
        <f>C140/C145</f>
        <v>0</v>
      </c>
      <c r="D146" s="50">
        <f t="shared" ref="D146:N146" si="186">D140/D145</f>
        <v>0</v>
      </c>
      <c r="E146" s="50">
        <f t="shared" si="186"/>
        <v>0</v>
      </c>
      <c r="F146" s="50">
        <f t="shared" si="186"/>
        <v>0</v>
      </c>
      <c r="G146" s="50">
        <f t="shared" si="186"/>
        <v>0</v>
      </c>
      <c r="H146" s="50">
        <f t="shared" si="186"/>
        <v>0</v>
      </c>
      <c r="I146" s="50">
        <f t="shared" si="186"/>
        <v>0</v>
      </c>
      <c r="J146" s="50">
        <f t="shared" si="186"/>
        <v>0</v>
      </c>
      <c r="K146" s="50">
        <f t="shared" si="186"/>
        <v>0</v>
      </c>
      <c r="L146" s="50">
        <f t="shared" si="186"/>
        <v>0</v>
      </c>
      <c r="M146" s="50">
        <f t="shared" si="186"/>
        <v>0</v>
      </c>
      <c r="N146" s="50">
        <f t="shared" si="186"/>
        <v>0</v>
      </c>
      <c r="O146" s="50">
        <f>SUM(C146:N146)</f>
        <v>0</v>
      </c>
      <c r="P146" s="50">
        <f>MAX(C146:N146)</f>
        <v>0</v>
      </c>
      <c r="Q146" s="50"/>
    </row>
    <row r="147" spans="1:23" hidden="1" x14ac:dyDescent="0.2"/>
    <row r="148" spans="1:23" hidden="1" x14ac:dyDescent="0.2">
      <c r="A148" s="15">
        <f>A19</f>
        <v>0</v>
      </c>
      <c r="B148" s="16">
        <f>B19</f>
        <v>0</v>
      </c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36"/>
    </row>
    <row r="149" spans="1:23" hidden="1" x14ac:dyDescent="0.2">
      <c r="A149" s="14" t="s">
        <v>677</v>
      </c>
      <c r="C149" s="50">
        <v>0</v>
      </c>
      <c r="D149" s="50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f>SUM(C149:N149)</f>
        <v>0</v>
      </c>
      <c r="P149" s="132"/>
      <c r="Q149" s="132"/>
      <c r="U149" s="121"/>
      <c r="W149" s="121"/>
    </row>
    <row r="150" spans="1:23" hidden="1" x14ac:dyDescent="0.2">
      <c r="A150" s="14" t="s">
        <v>678</v>
      </c>
      <c r="C150" s="50">
        <f>C149/744</f>
        <v>0</v>
      </c>
      <c r="D150" s="48">
        <f>D149/720</f>
        <v>0</v>
      </c>
      <c r="E150" s="50">
        <f t="shared" ref="E150:N150" si="187">E149/744</f>
        <v>0</v>
      </c>
      <c r="F150" s="50">
        <f>F149/720</f>
        <v>0</v>
      </c>
      <c r="G150" s="50">
        <f t="shared" si="187"/>
        <v>0</v>
      </c>
      <c r="H150" s="48">
        <f>H149/744</f>
        <v>0</v>
      </c>
      <c r="I150" s="48">
        <f>I149/672</f>
        <v>0</v>
      </c>
      <c r="J150" s="50">
        <f t="shared" si="187"/>
        <v>0</v>
      </c>
      <c r="K150" s="50">
        <f>K149/720</f>
        <v>0</v>
      </c>
      <c r="L150" s="50">
        <f t="shared" si="187"/>
        <v>0</v>
      </c>
      <c r="M150" s="50">
        <f>M149/720</f>
        <v>0</v>
      </c>
      <c r="N150" s="50">
        <f t="shared" si="187"/>
        <v>0</v>
      </c>
      <c r="O150" s="50">
        <f>O149/8760</f>
        <v>0</v>
      </c>
      <c r="P150" s="50"/>
      <c r="Q150" s="50"/>
    </row>
    <row r="151" spans="1:23" hidden="1" x14ac:dyDescent="0.2">
      <c r="A151" s="14" t="s">
        <v>755</v>
      </c>
      <c r="C151" s="67">
        <v>0</v>
      </c>
      <c r="D151" s="67">
        <v>0</v>
      </c>
      <c r="E151" s="67">
        <v>0</v>
      </c>
      <c r="F151" s="67">
        <v>0.25</v>
      </c>
      <c r="G151" s="67">
        <v>0.25</v>
      </c>
      <c r="H151" s="67">
        <v>0.25</v>
      </c>
      <c r="I151" s="67">
        <v>0.25</v>
      </c>
      <c r="J151" s="67">
        <v>0</v>
      </c>
      <c r="K151" s="67">
        <v>0</v>
      </c>
      <c r="L151" s="67">
        <v>0</v>
      </c>
      <c r="M151" s="67">
        <v>0</v>
      </c>
      <c r="N151" s="67">
        <v>0</v>
      </c>
      <c r="O151" s="67"/>
      <c r="Q151" s="36"/>
    </row>
    <row r="152" spans="1:23" hidden="1" x14ac:dyDescent="0.2">
      <c r="A152" s="14" t="s">
        <v>756</v>
      </c>
      <c r="C152" s="50"/>
      <c r="D152" s="50"/>
      <c r="E152" s="50"/>
      <c r="F152" s="50">
        <v>0</v>
      </c>
      <c r="G152" s="50">
        <v>0</v>
      </c>
      <c r="H152" s="50">
        <v>0</v>
      </c>
      <c r="I152" s="50">
        <v>0</v>
      </c>
      <c r="J152" s="50">
        <v>0</v>
      </c>
      <c r="K152" s="50"/>
      <c r="L152" s="50"/>
      <c r="M152" s="50"/>
      <c r="N152" s="50"/>
      <c r="O152" s="50">
        <f>SUM(C152:N152)</f>
        <v>0</v>
      </c>
      <c r="Q152" s="36">
        <f>MAX(C152:N152)</f>
        <v>0</v>
      </c>
    </row>
    <row r="153" spans="1:23" hidden="1" x14ac:dyDescent="0.2">
      <c r="A153" s="14" t="s">
        <v>679</v>
      </c>
      <c r="C153" s="67">
        <v>1</v>
      </c>
      <c r="D153" s="67">
        <v>1</v>
      </c>
      <c r="E153" s="67">
        <v>1</v>
      </c>
      <c r="F153" s="67">
        <v>0</v>
      </c>
      <c r="G153" s="67">
        <v>0</v>
      </c>
      <c r="H153" s="67">
        <v>0</v>
      </c>
      <c r="I153" s="67">
        <v>0</v>
      </c>
      <c r="J153" s="67">
        <v>0</v>
      </c>
      <c r="K153" s="67">
        <v>0</v>
      </c>
      <c r="L153" s="67">
        <v>1</v>
      </c>
      <c r="M153" s="67">
        <v>1</v>
      </c>
      <c r="N153" s="67">
        <v>1</v>
      </c>
      <c r="O153" s="67"/>
      <c r="P153" s="50"/>
      <c r="Q153" s="36"/>
    </row>
    <row r="154" spans="1:23" hidden="1" x14ac:dyDescent="0.2">
      <c r="A154" s="14" t="s">
        <v>680</v>
      </c>
      <c r="C154" s="50">
        <f t="shared" ref="C154:N154" si="188">C152*C153</f>
        <v>0</v>
      </c>
      <c r="D154" s="50">
        <f t="shared" si="188"/>
        <v>0</v>
      </c>
      <c r="E154" s="50">
        <f t="shared" si="188"/>
        <v>0</v>
      </c>
      <c r="F154" s="50">
        <f t="shared" si="188"/>
        <v>0</v>
      </c>
      <c r="G154" s="50">
        <f t="shared" si="188"/>
        <v>0</v>
      </c>
      <c r="H154" s="50">
        <f t="shared" si="188"/>
        <v>0</v>
      </c>
      <c r="I154" s="50">
        <f t="shared" si="188"/>
        <v>0</v>
      </c>
      <c r="J154" s="50">
        <f t="shared" si="188"/>
        <v>0</v>
      </c>
      <c r="K154" s="50">
        <f t="shared" si="188"/>
        <v>0</v>
      </c>
      <c r="L154" s="50">
        <f t="shared" si="188"/>
        <v>0</v>
      </c>
      <c r="M154" s="50">
        <f t="shared" si="188"/>
        <v>0</v>
      </c>
      <c r="N154" s="50">
        <f t="shared" si="188"/>
        <v>0</v>
      </c>
      <c r="O154" s="50">
        <f>SUM(C154:N154)</f>
        <v>0</v>
      </c>
      <c r="P154" s="50"/>
      <c r="Q154" s="36"/>
      <c r="R154" s="36">
        <f>O154</f>
        <v>0</v>
      </c>
      <c r="S154" s="36">
        <f>H154+I154+J154</f>
        <v>0</v>
      </c>
      <c r="T154" s="36">
        <f>R154-S154</f>
        <v>0</v>
      </c>
    </row>
    <row r="155" spans="1:23" hidden="1" x14ac:dyDescent="0.2">
      <c r="A155" s="14" t="s">
        <v>757</v>
      </c>
      <c r="C155" s="67">
        <v>0.65</v>
      </c>
      <c r="D155" s="67">
        <v>0.65</v>
      </c>
      <c r="E155" s="67">
        <v>0.65</v>
      </c>
      <c r="F155" s="67">
        <v>0.65</v>
      </c>
      <c r="G155" s="67">
        <v>0.65</v>
      </c>
      <c r="H155" s="67">
        <v>0.65</v>
      </c>
      <c r="I155" s="67">
        <v>0.65</v>
      </c>
      <c r="J155" s="67">
        <v>0.65</v>
      </c>
      <c r="K155" s="67">
        <v>0.65</v>
      </c>
      <c r="L155" s="67">
        <v>0.65</v>
      </c>
      <c r="M155" s="67">
        <v>0.65</v>
      </c>
      <c r="N155" s="67">
        <v>0.65</v>
      </c>
      <c r="O155" s="67"/>
      <c r="P155" s="132"/>
      <c r="Q155" s="132"/>
      <c r="U155" s="121"/>
      <c r="W155" s="121"/>
    </row>
    <row r="156" spans="1:23" hidden="1" x14ac:dyDescent="0.2">
      <c r="A156" s="14" t="s">
        <v>758</v>
      </c>
      <c r="C156" s="50">
        <f>C150/C155</f>
        <v>0</v>
      </c>
      <c r="D156" s="50">
        <f t="shared" ref="D156:N156" si="189">D150/D155</f>
        <v>0</v>
      </c>
      <c r="E156" s="50">
        <f t="shared" si="189"/>
        <v>0</v>
      </c>
      <c r="F156" s="50">
        <f t="shared" si="189"/>
        <v>0</v>
      </c>
      <c r="G156" s="50">
        <f t="shared" si="189"/>
        <v>0</v>
      </c>
      <c r="H156" s="50">
        <f t="shared" si="189"/>
        <v>0</v>
      </c>
      <c r="I156" s="50">
        <f t="shared" si="189"/>
        <v>0</v>
      </c>
      <c r="J156" s="50">
        <f t="shared" si="189"/>
        <v>0</v>
      </c>
      <c r="K156" s="50">
        <f t="shared" si="189"/>
        <v>0</v>
      </c>
      <c r="L156" s="50">
        <f t="shared" si="189"/>
        <v>0</v>
      </c>
      <c r="M156" s="50">
        <f t="shared" si="189"/>
        <v>0</v>
      </c>
      <c r="N156" s="50">
        <f t="shared" si="189"/>
        <v>0</v>
      </c>
      <c r="O156" s="50">
        <f>SUM(C156:N156)</f>
        <v>0</v>
      </c>
      <c r="P156" s="50">
        <f>MAX(C156:N156)</f>
        <v>0</v>
      </c>
      <c r="Q156" s="50"/>
    </row>
    <row r="157" spans="1:23" hidden="1" x14ac:dyDescent="0.2"/>
    <row r="158" spans="1:23" hidden="1" x14ac:dyDescent="0.2">
      <c r="A158" s="15">
        <f>A20</f>
        <v>0</v>
      </c>
      <c r="B158" s="16">
        <f>B20</f>
        <v>0</v>
      </c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36"/>
    </row>
    <row r="159" spans="1:23" hidden="1" x14ac:dyDescent="0.2">
      <c r="A159" s="14" t="s">
        <v>677</v>
      </c>
      <c r="C159" s="50">
        <v>0</v>
      </c>
      <c r="D159" s="50">
        <v>0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f>SUM(C159:N159)</f>
        <v>0</v>
      </c>
      <c r="P159" s="132"/>
      <c r="Q159" s="132"/>
      <c r="U159" s="121"/>
      <c r="W159" s="121"/>
    </row>
    <row r="160" spans="1:23" hidden="1" x14ac:dyDescent="0.2">
      <c r="A160" s="14" t="s">
        <v>678</v>
      </c>
      <c r="C160" s="50">
        <f>C159/744</f>
        <v>0</v>
      </c>
      <c r="D160" s="48">
        <f>D159/720</f>
        <v>0</v>
      </c>
      <c r="E160" s="50">
        <f t="shared" ref="E160:N160" si="190">E159/744</f>
        <v>0</v>
      </c>
      <c r="F160" s="50">
        <f>F159/720</f>
        <v>0</v>
      </c>
      <c r="G160" s="50">
        <f t="shared" si="190"/>
        <v>0</v>
      </c>
      <c r="H160" s="48">
        <f>H159/744</f>
        <v>0</v>
      </c>
      <c r="I160" s="48">
        <f>I159/672</f>
        <v>0</v>
      </c>
      <c r="J160" s="50">
        <f t="shared" si="190"/>
        <v>0</v>
      </c>
      <c r="K160" s="50">
        <f>K159/720</f>
        <v>0</v>
      </c>
      <c r="L160" s="50">
        <f t="shared" si="190"/>
        <v>0</v>
      </c>
      <c r="M160" s="50">
        <f>M159/720</f>
        <v>0</v>
      </c>
      <c r="N160" s="50">
        <f t="shared" si="190"/>
        <v>0</v>
      </c>
      <c r="O160" s="50">
        <f>O159/8760</f>
        <v>0</v>
      </c>
      <c r="P160" s="50"/>
      <c r="Q160" s="50"/>
    </row>
    <row r="161" spans="1:23" hidden="1" x14ac:dyDescent="0.2">
      <c r="A161" s="14" t="s">
        <v>755</v>
      </c>
      <c r="C161" s="67">
        <v>0</v>
      </c>
      <c r="D161" s="67">
        <v>0</v>
      </c>
      <c r="E161" s="67">
        <v>0</v>
      </c>
      <c r="F161" s="67">
        <v>0.25</v>
      </c>
      <c r="G161" s="67">
        <v>0.25</v>
      </c>
      <c r="H161" s="67">
        <v>0.25</v>
      </c>
      <c r="I161" s="67">
        <v>0.25</v>
      </c>
      <c r="J161" s="67">
        <v>0</v>
      </c>
      <c r="K161" s="67">
        <v>0</v>
      </c>
      <c r="L161" s="67">
        <v>0</v>
      </c>
      <c r="M161" s="67">
        <v>0</v>
      </c>
      <c r="N161" s="67">
        <v>0</v>
      </c>
      <c r="O161" s="67"/>
      <c r="Q161" s="36"/>
    </row>
    <row r="162" spans="1:23" hidden="1" x14ac:dyDescent="0.2">
      <c r="A162" s="14" t="s">
        <v>756</v>
      </c>
      <c r="C162" s="50"/>
      <c r="D162" s="50"/>
      <c r="E162" s="50"/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/>
      <c r="L162" s="50"/>
      <c r="M162" s="50"/>
      <c r="N162" s="50"/>
      <c r="O162" s="50">
        <f>SUM(C162:N162)</f>
        <v>0</v>
      </c>
      <c r="Q162" s="36">
        <f>MAX(C162:N162)</f>
        <v>0</v>
      </c>
    </row>
    <row r="163" spans="1:23" hidden="1" x14ac:dyDescent="0.2">
      <c r="A163" s="14" t="s">
        <v>679</v>
      </c>
      <c r="C163" s="67">
        <v>1</v>
      </c>
      <c r="D163" s="67">
        <v>1</v>
      </c>
      <c r="E163" s="67">
        <v>1</v>
      </c>
      <c r="F163" s="67">
        <v>0</v>
      </c>
      <c r="G163" s="67">
        <v>0</v>
      </c>
      <c r="H163" s="67">
        <v>0</v>
      </c>
      <c r="I163" s="67">
        <v>0</v>
      </c>
      <c r="J163" s="67">
        <v>0</v>
      </c>
      <c r="K163" s="67">
        <v>0</v>
      </c>
      <c r="L163" s="67">
        <v>1</v>
      </c>
      <c r="M163" s="67">
        <v>1</v>
      </c>
      <c r="N163" s="67">
        <v>1</v>
      </c>
      <c r="O163" s="67"/>
      <c r="P163" s="50"/>
      <c r="Q163" s="36"/>
    </row>
    <row r="164" spans="1:23" hidden="1" x14ac:dyDescent="0.2">
      <c r="A164" s="14" t="s">
        <v>680</v>
      </c>
      <c r="C164" s="50">
        <f t="shared" ref="C164:N164" si="191">C162*C163</f>
        <v>0</v>
      </c>
      <c r="D164" s="50">
        <f t="shared" si="191"/>
        <v>0</v>
      </c>
      <c r="E164" s="50">
        <f t="shared" si="191"/>
        <v>0</v>
      </c>
      <c r="F164" s="50">
        <f t="shared" si="191"/>
        <v>0</v>
      </c>
      <c r="G164" s="50">
        <f t="shared" si="191"/>
        <v>0</v>
      </c>
      <c r="H164" s="50">
        <f t="shared" si="191"/>
        <v>0</v>
      </c>
      <c r="I164" s="50">
        <f t="shared" si="191"/>
        <v>0</v>
      </c>
      <c r="J164" s="50">
        <f t="shared" si="191"/>
        <v>0</v>
      </c>
      <c r="K164" s="50">
        <f t="shared" si="191"/>
        <v>0</v>
      </c>
      <c r="L164" s="50">
        <f t="shared" si="191"/>
        <v>0</v>
      </c>
      <c r="M164" s="50">
        <f t="shared" si="191"/>
        <v>0</v>
      </c>
      <c r="N164" s="50">
        <f t="shared" si="191"/>
        <v>0</v>
      </c>
      <c r="O164" s="50">
        <f>SUM(C164:N164)</f>
        <v>0</v>
      </c>
      <c r="P164" s="50"/>
      <c r="Q164" s="36"/>
      <c r="R164" s="36">
        <f>O164</f>
        <v>0</v>
      </c>
      <c r="S164" s="36">
        <f>H164+I164+J164</f>
        <v>0</v>
      </c>
      <c r="T164" s="36">
        <f>R164-S164</f>
        <v>0</v>
      </c>
    </row>
    <row r="165" spans="1:23" hidden="1" x14ac:dyDescent="0.2">
      <c r="A165" s="14" t="s">
        <v>757</v>
      </c>
      <c r="C165" s="67">
        <v>0.65</v>
      </c>
      <c r="D165" s="67">
        <v>0.65</v>
      </c>
      <c r="E165" s="67">
        <v>0.65</v>
      </c>
      <c r="F165" s="67">
        <v>0.65</v>
      </c>
      <c r="G165" s="67">
        <v>0.65</v>
      </c>
      <c r="H165" s="67">
        <v>0.65</v>
      </c>
      <c r="I165" s="67">
        <v>0.65</v>
      </c>
      <c r="J165" s="67">
        <v>0.65</v>
      </c>
      <c r="K165" s="67">
        <v>0.65</v>
      </c>
      <c r="L165" s="67">
        <v>0.65</v>
      </c>
      <c r="M165" s="67">
        <v>0.65</v>
      </c>
      <c r="N165" s="67">
        <v>0.65</v>
      </c>
      <c r="O165" s="67"/>
      <c r="P165" s="132"/>
      <c r="Q165" s="132"/>
      <c r="U165" s="121"/>
      <c r="W165" s="121"/>
    </row>
    <row r="166" spans="1:23" hidden="1" x14ac:dyDescent="0.2">
      <c r="A166" s="14" t="s">
        <v>758</v>
      </c>
      <c r="C166" s="50">
        <f>C160/C165</f>
        <v>0</v>
      </c>
      <c r="D166" s="50">
        <f t="shared" ref="D166:N166" si="192">D160/D165</f>
        <v>0</v>
      </c>
      <c r="E166" s="50">
        <f t="shared" si="192"/>
        <v>0</v>
      </c>
      <c r="F166" s="50">
        <f t="shared" si="192"/>
        <v>0</v>
      </c>
      <c r="G166" s="50">
        <f t="shared" si="192"/>
        <v>0</v>
      </c>
      <c r="H166" s="50">
        <f t="shared" si="192"/>
        <v>0</v>
      </c>
      <c r="I166" s="50">
        <f t="shared" si="192"/>
        <v>0</v>
      </c>
      <c r="J166" s="50">
        <f t="shared" si="192"/>
        <v>0</v>
      </c>
      <c r="K166" s="50">
        <f t="shared" si="192"/>
        <v>0</v>
      </c>
      <c r="L166" s="50">
        <f t="shared" si="192"/>
        <v>0</v>
      </c>
      <c r="M166" s="50">
        <f t="shared" si="192"/>
        <v>0</v>
      </c>
      <c r="N166" s="50">
        <f t="shared" si="192"/>
        <v>0</v>
      </c>
      <c r="O166" s="50">
        <f>SUM(C166:N166)</f>
        <v>0</v>
      </c>
      <c r="P166" s="50">
        <f>MAX(C166:N166)</f>
        <v>0</v>
      </c>
      <c r="Q166" s="50"/>
    </row>
    <row r="167" spans="1:23" ht="15.75" hidden="1" customHeight="1" x14ac:dyDescent="0.2"/>
    <row r="168" spans="1:23" hidden="1" x14ac:dyDescent="0.2">
      <c r="A168" s="15">
        <f>A21</f>
        <v>0</v>
      </c>
      <c r="B168" s="16">
        <f>B21</f>
        <v>0</v>
      </c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36"/>
    </row>
    <row r="169" spans="1:23" hidden="1" x14ac:dyDescent="0.2">
      <c r="A169" s="14" t="s">
        <v>677</v>
      </c>
      <c r="C169" s="50">
        <v>0</v>
      </c>
      <c r="D169" s="50">
        <v>0</v>
      </c>
      <c r="E169" s="50">
        <v>0</v>
      </c>
      <c r="F169" s="50">
        <v>0</v>
      </c>
      <c r="G169" s="50">
        <v>0</v>
      </c>
      <c r="H169" s="50">
        <v>0</v>
      </c>
      <c r="I169" s="50">
        <v>0</v>
      </c>
      <c r="J169" s="50">
        <v>0</v>
      </c>
      <c r="K169" s="50">
        <v>0</v>
      </c>
      <c r="L169" s="50">
        <v>0</v>
      </c>
      <c r="M169" s="50">
        <v>0</v>
      </c>
      <c r="N169" s="50">
        <v>0</v>
      </c>
      <c r="O169" s="50">
        <f>SUM(C169:N169)</f>
        <v>0</v>
      </c>
      <c r="P169" s="132"/>
      <c r="Q169" s="132"/>
      <c r="U169" s="121"/>
      <c r="W169" s="121"/>
    </row>
    <row r="170" spans="1:23" hidden="1" x14ac:dyDescent="0.2">
      <c r="A170" s="14" t="s">
        <v>678</v>
      </c>
      <c r="C170" s="50">
        <f>C169/744</f>
        <v>0</v>
      </c>
      <c r="D170" s="48">
        <f>D169/720</f>
        <v>0</v>
      </c>
      <c r="E170" s="50">
        <f t="shared" ref="E170:N170" si="193">E169/744</f>
        <v>0</v>
      </c>
      <c r="F170" s="50">
        <f>F169/720</f>
        <v>0</v>
      </c>
      <c r="G170" s="50">
        <f t="shared" si="193"/>
        <v>0</v>
      </c>
      <c r="H170" s="48">
        <f>H169/744</f>
        <v>0</v>
      </c>
      <c r="I170" s="48">
        <f>I169/672</f>
        <v>0</v>
      </c>
      <c r="J170" s="50">
        <f t="shared" si="193"/>
        <v>0</v>
      </c>
      <c r="K170" s="50">
        <f>K169/720</f>
        <v>0</v>
      </c>
      <c r="L170" s="50">
        <f t="shared" si="193"/>
        <v>0</v>
      </c>
      <c r="M170" s="50">
        <f>M169/720</f>
        <v>0</v>
      </c>
      <c r="N170" s="50">
        <f t="shared" si="193"/>
        <v>0</v>
      </c>
      <c r="O170" s="50">
        <f>O169/8760</f>
        <v>0</v>
      </c>
      <c r="P170" s="50"/>
      <c r="Q170" s="50"/>
    </row>
    <row r="171" spans="1:23" hidden="1" x14ac:dyDescent="0.2">
      <c r="A171" s="14" t="s">
        <v>755</v>
      </c>
      <c r="C171" s="67">
        <v>0</v>
      </c>
      <c r="D171" s="67">
        <v>0</v>
      </c>
      <c r="E171" s="67">
        <v>0</v>
      </c>
      <c r="F171" s="67">
        <v>0.25</v>
      </c>
      <c r="G171" s="67">
        <v>0.25</v>
      </c>
      <c r="H171" s="67">
        <v>0.25</v>
      </c>
      <c r="I171" s="67">
        <v>0.25</v>
      </c>
      <c r="J171" s="67">
        <v>0</v>
      </c>
      <c r="K171" s="67">
        <v>0</v>
      </c>
      <c r="L171" s="67">
        <v>0</v>
      </c>
      <c r="M171" s="67">
        <v>0</v>
      </c>
      <c r="N171" s="67">
        <v>0</v>
      </c>
      <c r="O171" s="67"/>
      <c r="Q171" s="36"/>
    </row>
    <row r="172" spans="1:23" hidden="1" x14ac:dyDescent="0.2">
      <c r="A172" s="14" t="s">
        <v>756</v>
      </c>
      <c r="C172" s="50"/>
      <c r="D172" s="50"/>
      <c r="E172" s="50"/>
      <c r="F172" s="50">
        <v>0</v>
      </c>
      <c r="G172" s="50">
        <v>0</v>
      </c>
      <c r="H172" s="50">
        <v>0</v>
      </c>
      <c r="I172" s="50">
        <v>0</v>
      </c>
      <c r="J172" s="50">
        <v>0</v>
      </c>
      <c r="K172" s="50"/>
      <c r="L172" s="50"/>
      <c r="M172" s="50"/>
      <c r="N172" s="50"/>
      <c r="O172" s="50">
        <f>SUM(C172:N172)</f>
        <v>0</v>
      </c>
      <c r="Q172" s="36">
        <f>MAX(C172:N172)</f>
        <v>0</v>
      </c>
    </row>
    <row r="173" spans="1:23" hidden="1" x14ac:dyDescent="0.2">
      <c r="A173" s="14" t="s">
        <v>679</v>
      </c>
      <c r="C173" s="67">
        <v>1</v>
      </c>
      <c r="D173" s="67">
        <v>1</v>
      </c>
      <c r="E173" s="67">
        <v>1</v>
      </c>
      <c r="F173" s="67">
        <v>0</v>
      </c>
      <c r="G173" s="67">
        <v>0</v>
      </c>
      <c r="H173" s="67">
        <v>0</v>
      </c>
      <c r="I173" s="67">
        <v>0</v>
      </c>
      <c r="J173" s="67">
        <v>0</v>
      </c>
      <c r="K173" s="67">
        <v>0</v>
      </c>
      <c r="L173" s="67">
        <v>1</v>
      </c>
      <c r="M173" s="67">
        <v>1</v>
      </c>
      <c r="N173" s="67">
        <v>1</v>
      </c>
      <c r="O173" s="67"/>
      <c r="P173" s="50"/>
      <c r="Q173" s="36"/>
    </row>
    <row r="174" spans="1:23" hidden="1" x14ac:dyDescent="0.2">
      <c r="A174" s="14" t="s">
        <v>680</v>
      </c>
      <c r="C174" s="50">
        <f t="shared" ref="C174:N174" si="194">C172*C173</f>
        <v>0</v>
      </c>
      <c r="D174" s="50">
        <f t="shared" si="194"/>
        <v>0</v>
      </c>
      <c r="E174" s="50">
        <f t="shared" si="194"/>
        <v>0</v>
      </c>
      <c r="F174" s="50">
        <f t="shared" si="194"/>
        <v>0</v>
      </c>
      <c r="G174" s="50">
        <f t="shared" si="194"/>
        <v>0</v>
      </c>
      <c r="H174" s="50">
        <f t="shared" si="194"/>
        <v>0</v>
      </c>
      <c r="I174" s="50">
        <f t="shared" si="194"/>
        <v>0</v>
      </c>
      <c r="J174" s="50">
        <f t="shared" si="194"/>
        <v>0</v>
      </c>
      <c r="K174" s="50">
        <f t="shared" si="194"/>
        <v>0</v>
      </c>
      <c r="L174" s="50">
        <f t="shared" si="194"/>
        <v>0</v>
      </c>
      <c r="M174" s="50">
        <f t="shared" si="194"/>
        <v>0</v>
      </c>
      <c r="N174" s="50">
        <f t="shared" si="194"/>
        <v>0</v>
      </c>
      <c r="O174" s="50">
        <f>SUM(C174:N174)</f>
        <v>0</v>
      </c>
      <c r="P174" s="50"/>
      <c r="Q174" s="36"/>
      <c r="R174" s="36">
        <f>O174</f>
        <v>0</v>
      </c>
      <c r="S174" s="36">
        <f>H174+I174+J174</f>
        <v>0</v>
      </c>
      <c r="T174" s="36">
        <f>R174-S174</f>
        <v>0</v>
      </c>
    </row>
    <row r="175" spans="1:23" hidden="1" x14ac:dyDescent="0.2">
      <c r="A175" s="14" t="s">
        <v>757</v>
      </c>
      <c r="C175" s="67">
        <v>0.65</v>
      </c>
      <c r="D175" s="67">
        <v>0.65</v>
      </c>
      <c r="E175" s="67">
        <v>0.65</v>
      </c>
      <c r="F175" s="67">
        <v>0.65</v>
      </c>
      <c r="G175" s="67">
        <v>0.65</v>
      </c>
      <c r="H175" s="67">
        <v>0.65</v>
      </c>
      <c r="I175" s="67">
        <v>0.65</v>
      </c>
      <c r="J175" s="67">
        <v>0.65</v>
      </c>
      <c r="K175" s="67">
        <v>0.65</v>
      </c>
      <c r="L175" s="67">
        <v>0.65</v>
      </c>
      <c r="M175" s="67">
        <v>0.65</v>
      </c>
      <c r="N175" s="67">
        <v>0.65</v>
      </c>
      <c r="O175" s="67"/>
      <c r="P175" s="132"/>
      <c r="Q175" s="132"/>
      <c r="U175" s="121"/>
      <c r="W175" s="121"/>
    </row>
    <row r="176" spans="1:23" hidden="1" x14ac:dyDescent="0.2">
      <c r="A176" s="14" t="s">
        <v>758</v>
      </c>
      <c r="C176" s="50">
        <f>C170/C175</f>
        <v>0</v>
      </c>
      <c r="D176" s="50">
        <f t="shared" ref="D176:N176" si="195">D170/D175</f>
        <v>0</v>
      </c>
      <c r="E176" s="50">
        <f t="shared" si="195"/>
        <v>0</v>
      </c>
      <c r="F176" s="50">
        <f t="shared" si="195"/>
        <v>0</v>
      </c>
      <c r="G176" s="50">
        <f t="shared" si="195"/>
        <v>0</v>
      </c>
      <c r="H176" s="50">
        <f t="shared" si="195"/>
        <v>0</v>
      </c>
      <c r="I176" s="50">
        <f t="shared" si="195"/>
        <v>0</v>
      </c>
      <c r="J176" s="50">
        <f t="shared" si="195"/>
        <v>0</v>
      </c>
      <c r="K176" s="50">
        <f t="shared" si="195"/>
        <v>0</v>
      </c>
      <c r="L176" s="50">
        <f t="shared" si="195"/>
        <v>0</v>
      </c>
      <c r="M176" s="50">
        <f t="shared" si="195"/>
        <v>0</v>
      </c>
      <c r="N176" s="50">
        <f t="shared" si="195"/>
        <v>0</v>
      </c>
      <c r="O176" s="50">
        <f>SUM(C176:N176)</f>
        <v>0</v>
      </c>
      <c r="P176" s="50">
        <f>MAX(C176:N176)</f>
        <v>0</v>
      </c>
      <c r="Q176" s="50"/>
    </row>
    <row r="177" spans="1:23" hidden="1" x14ac:dyDescent="0.2"/>
    <row r="178" spans="1:23" hidden="1" x14ac:dyDescent="0.2">
      <c r="A178" s="15">
        <f>A22</f>
        <v>0</v>
      </c>
      <c r="B178" s="16">
        <f>B22</f>
        <v>0</v>
      </c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36"/>
    </row>
    <row r="179" spans="1:23" hidden="1" x14ac:dyDescent="0.2">
      <c r="A179" s="14" t="s">
        <v>677</v>
      </c>
      <c r="C179" s="50">
        <v>0</v>
      </c>
      <c r="D179" s="50">
        <v>0</v>
      </c>
      <c r="E179" s="50">
        <v>0</v>
      </c>
      <c r="F179" s="50">
        <v>0</v>
      </c>
      <c r="G179" s="50">
        <v>0</v>
      </c>
      <c r="H179" s="50">
        <v>0</v>
      </c>
      <c r="I179" s="50">
        <v>0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50">
        <f>SUM(C179:N179)</f>
        <v>0</v>
      </c>
      <c r="P179" s="132"/>
      <c r="Q179" s="132"/>
      <c r="U179" s="121"/>
      <c r="W179" s="121"/>
    </row>
    <row r="180" spans="1:23" hidden="1" x14ac:dyDescent="0.2">
      <c r="A180" s="14" t="s">
        <v>678</v>
      </c>
      <c r="C180" s="50">
        <f>C179/744</f>
        <v>0</v>
      </c>
      <c r="D180" s="48">
        <f>D179/720</f>
        <v>0</v>
      </c>
      <c r="E180" s="50">
        <f t="shared" ref="E180:N180" si="196">E179/744</f>
        <v>0</v>
      </c>
      <c r="F180" s="50">
        <f>F179/720</f>
        <v>0</v>
      </c>
      <c r="G180" s="50">
        <f t="shared" si="196"/>
        <v>0</v>
      </c>
      <c r="H180" s="48">
        <f>H179/744</f>
        <v>0</v>
      </c>
      <c r="I180" s="48">
        <f>I179/672</f>
        <v>0</v>
      </c>
      <c r="J180" s="50">
        <f t="shared" si="196"/>
        <v>0</v>
      </c>
      <c r="K180" s="50">
        <f>K179/720</f>
        <v>0</v>
      </c>
      <c r="L180" s="50">
        <f t="shared" si="196"/>
        <v>0</v>
      </c>
      <c r="M180" s="50">
        <f>M179/720</f>
        <v>0</v>
      </c>
      <c r="N180" s="50">
        <f t="shared" si="196"/>
        <v>0</v>
      </c>
      <c r="O180" s="50">
        <f>O179/8760</f>
        <v>0</v>
      </c>
      <c r="P180" s="50"/>
      <c r="Q180" s="50"/>
    </row>
    <row r="181" spans="1:23" hidden="1" x14ac:dyDescent="0.2">
      <c r="A181" s="14" t="s">
        <v>755</v>
      </c>
      <c r="C181" s="67">
        <v>0</v>
      </c>
      <c r="D181" s="67">
        <v>0</v>
      </c>
      <c r="E181" s="67">
        <v>0</v>
      </c>
      <c r="F181" s="67">
        <v>0.25</v>
      </c>
      <c r="G181" s="67">
        <v>0.25</v>
      </c>
      <c r="H181" s="67">
        <v>0.25</v>
      </c>
      <c r="I181" s="67">
        <v>0.25</v>
      </c>
      <c r="J181" s="67">
        <v>0</v>
      </c>
      <c r="K181" s="67">
        <v>0</v>
      </c>
      <c r="L181" s="67">
        <v>0</v>
      </c>
      <c r="M181" s="67">
        <v>0</v>
      </c>
      <c r="N181" s="67">
        <v>0</v>
      </c>
      <c r="O181" s="67"/>
      <c r="Q181" s="36"/>
    </row>
    <row r="182" spans="1:23" hidden="1" x14ac:dyDescent="0.2">
      <c r="A182" s="14" t="s">
        <v>756</v>
      </c>
      <c r="C182" s="50"/>
      <c r="D182" s="50"/>
      <c r="E182" s="50"/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50"/>
      <c r="L182" s="50"/>
      <c r="M182" s="50"/>
      <c r="N182" s="50"/>
      <c r="O182" s="50">
        <f>SUM(C182:N182)</f>
        <v>0</v>
      </c>
      <c r="Q182" s="36">
        <f>MAX(C182:N182)</f>
        <v>0</v>
      </c>
    </row>
    <row r="183" spans="1:23" hidden="1" x14ac:dyDescent="0.2">
      <c r="A183" s="14" t="s">
        <v>679</v>
      </c>
      <c r="C183" s="67">
        <v>1</v>
      </c>
      <c r="D183" s="67">
        <v>1</v>
      </c>
      <c r="E183" s="67">
        <v>1</v>
      </c>
      <c r="F183" s="67">
        <v>0</v>
      </c>
      <c r="G183" s="67">
        <v>0</v>
      </c>
      <c r="H183" s="67">
        <v>0</v>
      </c>
      <c r="I183" s="67">
        <v>0</v>
      </c>
      <c r="J183" s="67">
        <v>0</v>
      </c>
      <c r="K183" s="67">
        <v>0</v>
      </c>
      <c r="L183" s="67">
        <v>1</v>
      </c>
      <c r="M183" s="67">
        <v>1</v>
      </c>
      <c r="N183" s="67">
        <v>1</v>
      </c>
      <c r="O183" s="67"/>
      <c r="P183" s="50"/>
      <c r="Q183" s="36"/>
    </row>
    <row r="184" spans="1:23" hidden="1" x14ac:dyDescent="0.2">
      <c r="A184" s="14" t="s">
        <v>680</v>
      </c>
      <c r="C184" s="50">
        <f t="shared" ref="C184:N184" si="197">C182*C183</f>
        <v>0</v>
      </c>
      <c r="D184" s="50">
        <f t="shared" si="197"/>
        <v>0</v>
      </c>
      <c r="E184" s="50">
        <f t="shared" si="197"/>
        <v>0</v>
      </c>
      <c r="F184" s="50">
        <f t="shared" si="197"/>
        <v>0</v>
      </c>
      <c r="G184" s="50">
        <f t="shared" si="197"/>
        <v>0</v>
      </c>
      <c r="H184" s="50">
        <f t="shared" si="197"/>
        <v>0</v>
      </c>
      <c r="I184" s="50">
        <f t="shared" si="197"/>
        <v>0</v>
      </c>
      <c r="J184" s="50">
        <f t="shared" si="197"/>
        <v>0</v>
      </c>
      <c r="K184" s="50">
        <f t="shared" si="197"/>
        <v>0</v>
      </c>
      <c r="L184" s="50">
        <f t="shared" si="197"/>
        <v>0</v>
      </c>
      <c r="M184" s="50">
        <f t="shared" si="197"/>
        <v>0</v>
      </c>
      <c r="N184" s="50">
        <f t="shared" si="197"/>
        <v>0</v>
      </c>
      <c r="O184" s="50">
        <f>SUM(C184:N184)</f>
        <v>0</v>
      </c>
      <c r="P184" s="50"/>
      <c r="Q184" s="36"/>
      <c r="R184" s="36">
        <f>O184</f>
        <v>0</v>
      </c>
      <c r="S184" s="36">
        <f>H184+I184+J184</f>
        <v>0</v>
      </c>
      <c r="T184" s="36">
        <f>R184-S184</f>
        <v>0</v>
      </c>
    </row>
    <row r="185" spans="1:23" hidden="1" x14ac:dyDescent="0.2">
      <c r="A185" s="14" t="s">
        <v>757</v>
      </c>
      <c r="C185" s="67">
        <v>0.65</v>
      </c>
      <c r="D185" s="67">
        <v>0.65</v>
      </c>
      <c r="E185" s="67">
        <v>0.65</v>
      </c>
      <c r="F185" s="67">
        <v>0.65</v>
      </c>
      <c r="G185" s="67">
        <v>0.65</v>
      </c>
      <c r="H185" s="67">
        <v>0.65</v>
      </c>
      <c r="I185" s="67">
        <v>0.65</v>
      </c>
      <c r="J185" s="67">
        <v>0.65</v>
      </c>
      <c r="K185" s="67">
        <v>0.65</v>
      </c>
      <c r="L185" s="67">
        <v>0.65</v>
      </c>
      <c r="M185" s="67">
        <v>0.65</v>
      </c>
      <c r="N185" s="67">
        <v>0.65</v>
      </c>
      <c r="O185" s="67"/>
      <c r="P185" s="132"/>
      <c r="Q185" s="132"/>
      <c r="U185" s="121"/>
      <c r="W185" s="121"/>
    </row>
    <row r="186" spans="1:23" hidden="1" x14ac:dyDescent="0.2">
      <c r="A186" s="14" t="s">
        <v>758</v>
      </c>
      <c r="C186" s="50">
        <f>C180/C185</f>
        <v>0</v>
      </c>
      <c r="D186" s="50">
        <f t="shared" ref="D186:N186" si="198">D180/D185</f>
        <v>0</v>
      </c>
      <c r="E186" s="50">
        <f t="shared" si="198"/>
        <v>0</v>
      </c>
      <c r="F186" s="50">
        <f t="shared" si="198"/>
        <v>0</v>
      </c>
      <c r="G186" s="50">
        <f t="shared" si="198"/>
        <v>0</v>
      </c>
      <c r="H186" s="50">
        <f t="shared" si="198"/>
        <v>0</v>
      </c>
      <c r="I186" s="50">
        <f t="shared" si="198"/>
        <v>0</v>
      </c>
      <c r="J186" s="50">
        <f t="shared" si="198"/>
        <v>0</v>
      </c>
      <c r="K186" s="50">
        <f t="shared" si="198"/>
        <v>0</v>
      </c>
      <c r="L186" s="50">
        <f t="shared" si="198"/>
        <v>0</v>
      </c>
      <c r="M186" s="50">
        <f t="shared" si="198"/>
        <v>0</v>
      </c>
      <c r="N186" s="50">
        <f t="shared" si="198"/>
        <v>0</v>
      </c>
      <c r="O186" s="50">
        <f>SUM(C186:N186)</f>
        <v>0</v>
      </c>
      <c r="P186" s="50">
        <f>MAX(C186:N186)</f>
        <v>0</v>
      </c>
      <c r="Q186" s="50"/>
    </row>
    <row r="187" spans="1:23" hidden="1" x14ac:dyDescent="0.2"/>
    <row r="188" spans="1:23" hidden="1" x14ac:dyDescent="0.2">
      <c r="A188" s="15">
        <f>A23</f>
        <v>0</v>
      </c>
      <c r="B188" s="16">
        <f>B23</f>
        <v>0</v>
      </c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36"/>
    </row>
    <row r="189" spans="1:23" hidden="1" x14ac:dyDescent="0.2">
      <c r="A189" s="14" t="s">
        <v>677</v>
      </c>
      <c r="C189" s="50">
        <v>0</v>
      </c>
      <c r="D189" s="50">
        <v>0</v>
      </c>
      <c r="E189" s="50">
        <v>0</v>
      </c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f>SUM(C189:N189)</f>
        <v>0</v>
      </c>
      <c r="P189" s="132"/>
      <c r="Q189" s="132"/>
      <c r="U189" s="121"/>
      <c r="W189" s="121"/>
    </row>
    <row r="190" spans="1:23" hidden="1" x14ac:dyDescent="0.2">
      <c r="A190" s="14" t="s">
        <v>678</v>
      </c>
      <c r="C190" s="50">
        <f>C189/744</f>
        <v>0</v>
      </c>
      <c r="D190" s="48">
        <f>D189/720</f>
        <v>0</v>
      </c>
      <c r="E190" s="50">
        <f t="shared" ref="E190:N190" si="199">E189/744</f>
        <v>0</v>
      </c>
      <c r="F190" s="50">
        <f>F189/720</f>
        <v>0</v>
      </c>
      <c r="G190" s="50">
        <f t="shared" si="199"/>
        <v>0</v>
      </c>
      <c r="H190" s="48">
        <f>H189/744</f>
        <v>0</v>
      </c>
      <c r="I190" s="48">
        <f>I189/672</f>
        <v>0</v>
      </c>
      <c r="J190" s="50">
        <f t="shared" si="199"/>
        <v>0</v>
      </c>
      <c r="K190" s="50">
        <f>K189/720</f>
        <v>0</v>
      </c>
      <c r="L190" s="50">
        <f t="shared" si="199"/>
        <v>0</v>
      </c>
      <c r="M190" s="50">
        <f>M189/720</f>
        <v>0</v>
      </c>
      <c r="N190" s="50">
        <f t="shared" si="199"/>
        <v>0</v>
      </c>
      <c r="O190" s="50">
        <f>O189/8760</f>
        <v>0</v>
      </c>
      <c r="P190" s="50"/>
      <c r="Q190" s="50"/>
    </row>
    <row r="191" spans="1:23" hidden="1" x14ac:dyDescent="0.2">
      <c r="A191" s="14" t="s">
        <v>755</v>
      </c>
      <c r="C191" s="67">
        <v>0</v>
      </c>
      <c r="D191" s="67">
        <v>0</v>
      </c>
      <c r="E191" s="67">
        <v>0</v>
      </c>
      <c r="F191" s="67">
        <v>0.25</v>
      </c>
      <c r="G191" s="67">
        <v>0.25</v>
      </c>
      <c r="H191" s="67">
        <v>0.25</v>
      </c>
      <c r="I191" s="67">
        <v>0.25</v>
      </c>
      <c r="J191" s="67">
        <v>0</v>
      </c>
      <c r="K191" s="67">
        <v>0</v>
      </c>
      <c r="L191" s="67">
        <v>0</v>
      </c>
      <c r="M191" s="67">
        <v>0</v>
      </c>
      <c r="N191" s="67">
        <v>0</v>
      </c>
      <c r="O191" s="67"/>
      <c r="Q191" s="36"/>
    </row>
    <row r="192" spans="1:23" hidden="1" x14ac:dyDescent="0.2">
      <c r="A192" s="14" t="s">
        <v>756</v>
      </c>
      <c r="C192" s="50"/>
      <c r="D192" s="50"/>
      <c r="E192" s="50"/>
      <c r="F192" s="50">
        <v>0</v>
      </c>
      <c r="G192" s="50">
        <v>0</v>
      </c>
      <c r="H192" s="50">
        <v>0</v>
      </c>
      <c r="I192" s="50">
        <v>0</v>
      </c>
      <c r="J192" s="50">
        <v>0</v>
      </c>
      <c r="K192" s="50"/>
      <c r="L192" s="50"/>
      <c r="M192" s="50"/>
      <c r="N192" s="50"/>
      <c r="O192" s="50">
        <f>SUM(C192:N192)</f>
        <v>0</v>
      </c>
      <c r="Q192" s="36">
        <f>MAX(C192:N192)</f>
        <v>0</v>
      </c>
    </row>
    <row r="193" spans="1:23" hidden="1" x14ac:dyDescent="0.2">
      <c r="A193" s="14" t="s">
        <v>679</v>
      </c>
      <c r="C193" s="67">
        <v>1</v>
      </c>
      <c r="D193" s="67">
        <v>1</v>
      </c>
      <c r="E193" s="67">
        <v>1</v>
      </c>
      <c r="F193" s="67">
        <v>0</v>
      </c>
      <c r="G193" s="67">
        <v>0</v>
      </c>
      <c r="H193" s="67">
        <v>0</v>
      </c>
      <c r="I193" s="67">
        <v>0</v>
      </c>
      <c r="J193" s="67">
        <v>0</v>
      </c>
      <c r="K193" s="67">
        <v>0</v>
      </c>
      <c r="L193" s="67">
        <v>1</v>
      </c>
      <c r="M193" s="67">
        <v>1</v>
      </c>
      <c r="N193" s="67">
        <v>1</v>
      </c>
      <c r="O193" s="67"/>
      <c r="P193" s="50"/>
      <c r="Q193" s="36"/>
    </row>
    <row r="194" spans="1:23" hidden="1" x14ac:dyDescent="0.2">
      <c r="A194" s="14" t="s">
        <v>680</v>
      </c>
      <c r="C194" s="50">
        <f t="shared" ref="C194:N194" si="200">C192*C193</f>
        <v>0</v>
      </c>
      <c r="D194" s="50">
        <f t="shared" si="200"/>
        <v>0</v>
      </c>
      <c r="E194" s="50">
        <f t="shared" si="200"/>
        <v>0</v>
      </c>
      <c r="F194" s="50">
        <f t="shared" si="200"/>
        <v>0</v>
      </c>
      <c r="G194" s="50">
        <f t="shared" si="200"/>
        <v>0</v>
      </c>
      <c r="H194" s="50">
        <f t="shared" si="200"/>
        <v>0</v>
      </c>
      <c r="I194" s="50">
        <f t="shared" si="200"/>
        <v>0</v>
      </c>
      <c r="J194" s="50">
        <f t="shared" si="200"/>
        <v>0</v>
      </c>
      <c r="K194" s="50">
        <f t="shared" si="200"/>
        <v>0</v>
      </c>
      <c r="L194" s="50">
        <f t="shared" si="200"/>
        <v>0</v>
      </c>
      <c r="M194" s="50">
        <f t="shared" si="200"/>
        <v>0</v>
      </c>
      <c r="N194" s="50">
        <f t="shared" si="200"/>
        <v>0</v>
      </c>
      <c r="O194" s="50">
        <f>SUM(C194:N194)</f>
        <v>0</v>
      </c>
      <c r="P194" s="50"/>
      <c r="Q194" s="36"/>
      <c r="R194" s="36">
        <f>O194</f>
        <v>0</v>
      </c>
      <c r="S194" s="36">
        <f>H194+I194+J194</f>
        <v>0</v>
      </c>
      <c r="T194" s="36">
        <f>R194-S194</f>
        <v>0</v>
      </c>
    </row>
    <row r="195" spans="1:23" hidden="1" x14ac:dyDescent="0.2">
      <c r="A195" s="14" t="s">
        <v>757</v>
      </c>
      <c r="C195" s="67">
        <v>0.65</v>
      </c>
      <c r="D195" s="67">
        <v>0.65</v>
      </c>
      <c r="E195" s="67">
        <v>0.65</v>
      </c>
      <c r="F195" s="67">
        <v>0.65</v>
      </c>
      <c r="G195" s="67">
        <v>0.65</v>
      </c>
      <c r="H195" s="67">
        <v>0.65</v>
      </c>
      <c r="I195" s="67">
        <v>0.65</v>
      </c>
      <c r="J195" s="67">
        <v>0.65</v>
      </c>
      <c r="K195" s="67">
        <v>0.65</v>
      </c>
      <c r="L195" s="67">
        <v>0.65</v>
      </c>
      <c r="M195" s="67">
        <v>0.65</v>
      </c>
      <c r="N195" s="67">
        <v>0.65</v>
      </c>
      <c r="O195" s="67"/>
      <c r="P195" s="132"/>
      <c r="Q195" s="132"/>
      <c r="U195" s="121"/>
      <c r="W195" s="121"/>
    </row>
    <row r="196" spans="1:23" ht="1.5" customHeight="1" x14ac:dyDescent="0.2">
      <c r="A196" s="14" t="s">
        <v>758</v>
      </c>
      <c r="C196" s="50">
        <f>C190/C195</f>
        <v>0</v>
      </c>
      <c r="D196" s="50">
        <f t="shared" ref="D196:N196" si="201">D190/D195</f>
        <v>0</v>
      </c>
      <c r="E196" s="50">
        <f t="shared" si="201"/>
        <v>0</v>
      </c>
      <c r="F196" s="50">
        <f t="shared" si="201"/>
        <v>0</v>
      </c>
      <c r="G196" s="50">
        <f t="shared" si="201"/>
        <v>0</v>
      </c>
      <c r="H196" s="50">
        <f t="shared" si="201"/>
        <v>0</v>
      </c>
      <c r="I196" s="50">
        <f t="shared" si="201"/>
        <v>0</v>
      </c>
      <c r="J196" s="50">
        <f t="shared" si="201"/>
        <v>0</v>
      </c>
      <c r="K196" s="50">
        <f t="shared" si="201"/>
        <v>0</v>
      </c>
      <c r="L196" s="50">
        <f t="shared" si="201"/>
        <v>0</v>
      </c>
      <c r="M196" s="50">
        <f t="shared" si="201"/>
        <v>0</v>
      </c>
      <c r="N196" s="50">
        <f t="shared" si="201"/>
        <v>0</v>
      </c>
      <c r="O196" s="50">
        <f>SUM(C196:N196)</f>
        <v>0</v>
      </c>
      <c r="P196" s="50">
        <f>MAX(C196:N196)</f>
        <v>0</v>
      </c>
      <c r="Q196" s="50"/>
    </row>
    <row r="197" spans="1:23" x14ac:dyDescent="0.2"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</row>
    <row r="198" spans="1:23" x14ac:dyDescent="0.2">
      <c r="A198" s="14" t="s">
        <v>742</v>
      </c>
      <c r="C198" s="50">
        <f>C39+C49+C59+C69+C79+C89+C99+C109+C119+C129+C139+C149+C159+C169+C179+C189</f>
        <v>137647029</v>
      </c>
      <c r="D198" s="50">
        <f t="shared" ref="D198:N198" si="202">D39+D49+D59+D69+D79+D89+D99+D109+D119+D129+D139+D149+D159+D169+D179+D189</f>
        <v>141549762</v>
      </c>
      <c r="E198" s="50">
        <f t="shared" si="202"/>
        <v>101920794</v>
      </c>
      <c r="F198" s="50">
        <f t="shared" si="202"/>
        <v>91804296</v>
      </c>
      <c r="G198" s="50">
        <f t="shared" si="202"/>
        <v>79029266</v>
      </c>
      <c r="H198" s="50">
        <f t="shared" si="202"/>
        <v>85954745</v>
      </c>
      <c r="I198" s="50">
        <f t="shared" si="202"/>
        <v>95327589</v>
      </c>
      <c r="J198" s="50">
        <f t="shared" si="202"/>
        <v>107065243</v>
      </c>
      <c r="K198" s="50">
        <f t="shared" si="202"/>
        <v>101540177</v>
      </c>
      <c r="L198" s="50">
        <f t="shared" si="202"/>
        <v>82052466</v>
      </c>
      <c r="M198" s="50">
        <f t="shared" si="202"/>
        <v>89674310</v>
      </c>
      <c r="N198" s="50">
        <f t="shared" si="202"/>
        <v>108398477</v>
      </c>
      <c r="O198" s="50">
        <f>SUM(C198:N198)</f>
        <v>1221964154</v>
      </c>
      <c r="P198" s="50"/>
      <c r="Q198" s="50"/>
    </row>
    <row r="199" spans="1:23" x14ac:dyDescent="0.2"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</row>
    <row r="200" spans="1:23" x14ac:dyDescent="0.2">
      <c r="A200" s="14" t="s">
        <v>714</v>
      </c>
      <c r="C200" s="50">
        <f>'Purchased Power'!C26</f>
        <v>458260</v>
      </c>
      <c r="D200" s="50">
        <f>'Purchased Power'!D26</f>
        <v>297731</v>
      </c>
      <c r="E200" s="50">
        <f>'Purchased Power'!E26</f>
        <v>260839</v>
      </c>
      <c r="F200" s="50">
        <f>'Purchased Power'!F26</f>
        <v>188032</v>
      </c>
      <c r="G200" s="50">
        <f>'Purchased Power'!G26</f>
        <v>197912</v>
      </c>
      <c r="H200" s="50">
        <f>'Purchased Power'!H26</f>
        <v>192165</v>
      </c>
      <c r="I200" s="50">
        <f>'Purchased Power'!I26</f>
        <v>247255</v>
      </c>
      <c r="J200" s="50">
        <f>'Purchased Power'!J26</f>
        <v>247979</v>
      </c>
      <c r="K200" s="50">
        <f>'Purchased Power'!K26</f>
        <v>213609</v>
      </c>
      <c r="L200" s="50">
        <f>'Purchased Power'!L26</f>
        <v>192208</v>
      </c>
      <c r="M200" s="50">
        <f>'Purchased Power'!M26</f>
        <v>311713</v>
      </c>
      <c r="N200" s="50">
        <f>'Purchased Power'!N26</f>
        <v>296962</v>
      </c>
      <c r="O200" s="50">
        <f>'Purchased Power'!O26</f>
        <v>3104665</v>
      </c>
      <c r="P200" s="50"/>
      <c r="Q200" s="50"/>
      <c r="R200" s="50"/>
      <c r="S200" s="50"/>
    </row>
    <row r="201" spans="1:23" x14ac:dyDescent="0.2">
      <c r="A201" s="14" t="s">
        <v>864</v>
      </c>
      <c r="C201" s="50">
        <f>'Purchased Power'!C7</f>
        <v>168661072</v>
      </c>
      <c r="D201" s="50">
        <f>'Purchased Power'!D7</f>
        <v>115088601</v>
      </c>
      <c r="E201" s="50">
        <f>'Purchased Power'!E7</f>
        <v>100217701</v>
      </c>
      <c r="F201" s="50">
        <f>'Purchased Power'!F7</f>
        <v>85734490</v>
      </c>
      <c r="G201" s="50">
        <f>'Purchased Power'!G7</f>
        <v>87460256</v>
      </c>
      <c r="H201" s="50">
        <f>'Purchased Power'!H7</f>
        <v>93153400</v>
      </c>
      <c r="I201" s="50">
        <f>'Purchased Power'!I7</f>
        <v>114662067</v>
      </c>
      <c r="J201" s="50">
        <f>'Purchased Power'!J7</f>
        <v>110466746</v>
      </c>
      <c r="K201" s="50">
        <f>'Purchased Power'!K7</f>
        <v>91396551</v>
      </c>
      <c r="L201" s="50">
        <f>'Purchased Power'!L7</f>
        <v>88998942</v>
      </c>
      <c r="M201" s="50">
        <f>'Purchased Power'!M7</f>
        <v>106202749</v>
      </c>
      <c r="N201" s="50">
        <f>'Purchased Power'!N7</f>
        <v>127029000</v>
      </c>
      <c r="O201" s="50">
        <f>SUM(C201:N201)</f>
        <v>1289071575</v>
      </c>
      <c r="P201" s="126">
        <f>O198/O201</f>
        <v>0.94794127626311209</v>
      </c>
      <c r="Q201" s="50"/>
      <c r="R201" s="50"/>
      <c r="S201" s="50"/>
    </row>
    <row r="202" spans="1:23" x14ac:dyDescent="0.2">
      <c r="P202" s="126"/>
    </row>
    <row r="203" spans="1:23" x14ac:dyDescent="0.2">
      <c r="A203" s="14" t="s">
        <v>715</v>
      </c>
      <c r="C203" s="36">
        <f>(C44+C54+C64+C74+C84+C94+C104+C114+C124+C134+C144+C154+C164+C174+C184+C194)</f>
        <v>458260.00000064325</v>
      </c>
      <c r="D203" s="36">
        <f t="shared" ref="D203:N203" si="203">(D44+D54+D64+D74+D84+D94+D104+D114+D124+D134+D144+D154+D164+D174+D184+D194)</f>
        <v>297730.99999933701</v>
      </c>
      <c r="E203" s="36">
        <f t="shared" si="203"/>
        <v>260838.99999993731</v>
      </c>
      <c r="F203" s="36">
        <f t="shared" si="203"/>
        <v>188031.99999977654</v>
      </c>
      <c r="G203" s="36">
        <f t="shared" si="203"/>
        <v>197911.99997250229</v>
      </c>
      <c r="H203" s="36">
        <f t="shared" si="203"/>
        <v>192164.99998134494</v>
      </c>
      <c r="I203" s="36">
        <f t="shared" si="203"/>
        <v>247254.99999443608</v>
      </c>
      <c r="J203" s="36">
        <f t="shared" si="203"/>
        <v>247978.99999934548</v>
      </c>
      <c r="K203" s="36">
        <f t="shared" si="203"/>
        <v>213608.99999713397</v>
      </c>
      <c r="L203" s="36">
        <f t="shared" si="203"/>
        <v>192207.99996378412</v>
      </c>
      <c r="M203" s="36">
        <f t="shared" si="203"/>
        <v>311713.00000084104</v>
      </c>
      <c r="N203" s="36">
        <f t="shared" si="203"/>
        <v>296962.00000001153</v>
      </c>
      <c r="O203" s="36">
        <f>SUM(C203:N203)</f>
        <v>3104664.9999090936</v>
      </c>
      <c r="P203" s="126">
        <f>O203/O200</f>
        <v>0.99999999997071942</v>
      </c>
    </row>
    <row r="205" spans="1:23" x14ac:dyDescent="0.2">
      <c r="A205" s="14" t="s">
        <v>716</v>
      </c>
      <c r="C205" s="36">
        <f>C200-C203</f>
        <v>-6.4325286075472832E-7</v>
      </c>
      <c r="D205" s="36">
        <f t="shared" ref="D205:O205" si="204">D200-D203</f>
        <v>6.6298525780439377E-7</v>
      </c>
      <c r="E205" s="36">
        <f t="shared" si="204"/>
        <v>6.2689650803804398E-8</v>
      </c>
      <c r="F205" s="36">
        <f t="shared" si="204"/>
        <v>2.2345921024680138E-7</v>
      </c>
      <c r="G205" s="36">
        <f t="shared" si="204"/>
        <v>2.7497706469148397E-5</v>
      </c>
      <c r="H205" s="36">
        <f t="shared" si="204"/>
        <v>1.865506055764854E-5</v>
      </c>
      <c r="I205" s="36">
        <f t="shared" si="204"/>
        <v>5.5639247875660658E-6</v>
      </c>
      <c r="J205" s="36">
        <f t="shared" si="204"/>
        <v>6.5451604314148426E-7</v>
      </c>
      <c r="K205" s="36">
        <f t="shared" si="204"/>
        <v>2.8660288080573082E-6</v>
      </c>
      <c r="L205" s="36">
        <f t="shared" si="204"/>
        <v>3.6215875297784805E-5</v>
      </c>
      <c r="M205" s="36">
        <f t="shared" si="204"/>
        <v>-8.4104249253869057E-7</v>
      </c>
      <c r="N205" s="36">
        <f t="shared" si="204"/>
        <v>-1.1525116860866547E-8</v>
      </c>
      <c r="O205" s="36">
        <f t="shared" si="204"/>
        <v>9.0906396508216858E-5</v>
      </c>
    </row>
    <row r="207" spans="1:23" x14ac:dyDescent="0.2"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</row>
    <row r="208" spans="1:23" x14ac:dyDescent="0.2">
      <c r="B208" s="14"/>
    </row>
    <row r="209" spans="2:15" x14ac:dyDescent="0.2">
      <c r="B209" s="14"/>
    </row>
    <row r="210" spans="2:15" x14ac:dyDescent="0.2">
      <c r="B210" s="14"/>
    </row>
    <row r="211" spans="2:15" x14ac:dyDescent="0.2">
      <c r="C211" s="190">
        <f>C201/C198</f>
        <v>1.2253157458269586</v>
      </c>
      <c r="D211" s="190">
        <f t="shared" ref="D211:O211" si="205">D201/D198</f>
        <v>0.81306107035347752</v>
      </c>
      <c r="E211" s="190">
        <f t="shared" si="205"/>
        <v>0.9832900340238715</v>
      </c>
      <c r="F211" s="190">
        <f t="shared" si="205"/>
        <v>0.93388320302570593</v>
      </c>
      <c r="G211" s="190">
        <f t="shared" si="205"/>
        <v>1.1066818714980853</v>
      </c>
      <c r="H211" s="190">
        <f t="shared" si="205"/>
        <v>1.0837493613645179</v>
      </c>
      <c r="I211" s="190">
        <f t="shared" si="205"/>
        <v>1.202821430845167</v>
      </c>
      <c r="J211" s="190">
        <f t="shared" si="205"/>
        <v>1.0317703757511669</v>
      </c>
      <c r="K211" s="190">
        <f t="shared" si="205"/>
        <v>0.90010234077098372</v>
      </c>
      <c r="L211" s="190">
        <f t="shared" si="205"/>
        <v>1.0846589546741958</v>
      </c>
      <c r="M211" s="190">
        <f t="shared" si="205"/>
        <v>1.1843163220324751</v>
      </c>
      <c r="N211" s="190">
        <f t="shared" si="205"/>
        <v>1.171870708109672</v>
      </c>
      <c r="O211" s="190">
        <f t="shared" si="205"/>
        <v>1.0549176674130165</v>
      </c>
    </row>
  </sheetData>
  <printOptions horizontalCentered="1"/>
  <pageMargins left="0.25" right="0.25" top="1" bottom="0.32" header="0.5" footer="0.25"/>
  <pageSetup scale="65" fitToWidth="2" fitToHeight="5" pageOrder="overThenDown" orientation="landscape" r:id="rId1"/>
  <headerFooter alignWithMargins="0">
    <oddFooter>&amp;RExhibit JW-6
Page &amp;P of &amp;N</oddFooter>
  </headerFooter>
  <rowBreaks count="3" manualBreakCount="3">
    <brk id="30" max="19" man="1"/>
    <brk id="67" max="19" man="1"/>
    <brk id="126" max="19" man="1"/>
  </rowBreaks>
  <colBreaks count="1" manualBreakCount="1">
    <brk id="11" max="218" man="1"/>
  </colBreaks>
  <ignoredErrors>
    <ignoredError sqref="O80 C52:N52 D33:M3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08"/>
  <sheetViews>
    <sheetView tabSelected="1" view="pageBreakPreview" topLeftCell="A244" zoomScaleNormal="100" zoomScaleSheetLayoutView="100" workbookViewId="0">
      <selection activeCell="C45" sqref="C45:O45"/>
    </sheetView>
  </sheetViews>
  <sheetFormatPr defaultColWidth="9.140625" defaultRowHeight="12.75" x14ac:dyDescent="0.2"/>
  <cols>
    <col min="1" max="1" width="5.7109375" style="240" customWidth="1"/>
    <col min="2" max="2" width="28.85546875" style="232" customWidth="1"/>
    <col min="3" max="3" width="15" style="232" bestFit="1" customWidth="1"/>
    <col min="4" max="14" width="14" style="232" bestFit="1" customWidth="1"/>
    <col min="15" max="15" width="15" style="232" bestFit="1" customWidth="1"/>
    <col min="16" max="16" width="14.42578125" style="232" bestFit="1" customWidth="1"/>
    <col min="17" max="17" width="11.42578125" style="232" bestFit="1" customWidth="1"/>
    <col min="18" max="16384" width="9.140625" style="232"/>
  </cols>
  <sheetData>
    <row r="1" spans="1:18" x14ac:dyDescent="0.2">
      <c r="A1" s="265" t="str">
        <f>'Summary of Returns'!A1</f>
        <v>SOUTH KENTUCKY R.E.C.C.</v>
      </c>
    </row>
    <row r="2" spans="1:18" x14ac:dyDescent="0.2">
      <c r="A2" s="265" t="s">
        <v>96</v>
      </c>
    </row>
    <row r="4" spans="1:18" x14ac:dyDescent="0.2">
      <c r="A4" s="266" t="s">
        <v>964</v>
      </c>
      <c r="B4" s="266" t="s">
        <v>965</v>
      </c>
      <c r="C4" s="299" t="s">
        <v>1032</v>
      </c>
      <c r="D4" s="299" t="s">
        <v>1033</v>
      </c>
      <c r="E4" s="299" t="s">
        <v>1034</v>
      </c>
      <c r="F4" s="299" t="s">
        <v>1035</v>
      </c>
      <c r="G4" s="299" t="s">
        <v>1036</v>
      </c>
      <c r="H4" s="299" t="s">
        <v>1037</v>
      </c>
      <c r="I4" s="299" t="s">
        <v>1038</v>
      </c>
      <c r="J4" s="299" t="s">
        <v>1039</v>
      </c>
      <c r="K4" s="299" t="s">
        <v>1040</v>
      </c>
      <c r="L4" s="299" t="s">
        <v>1041</v>
      </c>
      <c r="M4" s="299" t="s">
        <v>1042</v>
      </c>
      <c r="N4" s="299" t="s">
        <v>1043</v>
      </c>
      <c r="O4" s="300" t="s">
        <v>859</v>
      </c>
      <c r="P4" s="267"/>
      <c r="R4" s="240"/>
    </row>
    <row r="5" spans="1:18" x14ac:dyDescent="0.2">
      <c r="A5" s="240">
        <v>1</v>
      </c>
      <c r="B5" s="240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7"/>
      <c r="P5" s="267"/>
      <c r="R5" s="240"/>
    </row>
    <row r="6" spans="1:18" x14ac:dyDescent="0.2">
      <c r="A6" s="240">
        <f>A5+1</f>
        <v>2</v>
      </c>
      <c r="B6" s="269" t="s">
        <v>967</v>
      </c>
      <c r="C6" s="270">
        <v>473510</v>
      </c>
      <c r="D6" s="270">
        <v>313542</v>
      </c>
      <c r="E6" s="270">
        <v>266160</v>
      </c>
      <c r="F6" s="270">
        <v>205152</v>
      </c>
      <c r="G6" s="270">
        <v>203045</v>
      </c>
      <c r="H6" s="270">
        <v>198903</v>
      </c>
      <c r="I6" s="270">
        <v>249768</v>
      </c>
      <c r="J6" s="270">
        <v>251939</v>
      </c>
      <c r="K6" s="270">
        <v>227157</v>
      </c>
      <c r="L6" s="270">
        <v>197477</v>
      </c>
      <c r="M6" s="270">
        <v>314827</v>
      </c>
      <c r="N6" s="270">
        <v>300256</v>
      </c>
      <c r="O6" s="271">
        <f>SUM(C6:N6)</f>
        <v>3201736</v>
      </c>
      <c r="P6" s="267"/>
      <c r="R6" s="272"/>
    </row>
    <row r="7" spans="1:18" x14ac:dyDescent="0.2">
      <c r="A7" s="240">
        <f t="shared" ref="A7:A43" si="0">A6+1</f>
        <v>3</v>
      </c>
      <c r="B7" s="269" t="s">
        <v>966</v>
      </c>
      <c r="C7" s="270">
        <v>168661072</v>
      </c>
      <c r="D7" s="270">
        <v>115088601</v>
      </c>
      <c r="E7" s="270">
        <v>100217701</v>
      </c>
      <c r="F7" s="270">
        <v>85734490</v>
      </c>
      <c r="G7" s="270">
        <v>87460256</v>
      </c>
      <c r="H7" s="270">
        <v>93153400</v>
      </c>
      <c r="I7" s="270">
        <v>114662067</v>
      </c>
      <c r="J7" s="270">
        <v>110466746</v>
      </c>
      <c r="K7" s="270">
        <v>91396551</v>
      </c>
      <c r="L7" s="270">
        <v>88998942</v>
      </c>
      <c r="M7" s="270">
        <v>106202749</v>
      </c>
      <c r="N7" s="270">
        <v>127029000</v>
      </c>
      <c r="O7" s="271">
        <f t="shared" ref="O7:O23" si="1">SUM(C7:N7)</f>
        <v>1289071575</v>
      </c>
      <c r="P7" s="267"/>
      <c r="R7" s="240"/>
    </row>
    <row r="8" spans="1:18" x14ac:dyDescent="0.2">
      <c r="A8" s="240">
        <f t="shared" si="0"/>
        <v>4</v>
      </c>
      <c r="B8" s="269" t="s">
        <v>938</v>
      </c>
      <c r="C8" s="273">
        <v>3096972</v>
      </c>
      <c r="D8" s="273">
        <v>2053791</v>
      </c>
      <c r="E8" s="273">
        <v>1745801</v>
      </c>
      <c r="F8" s="273">
        <v>1362469</v>
      </c>
      <c r="G8" s="273">
        <v>1350133</v>
      </c>
      <c r="H8" s="273">
        <v>1322912</v>
      </c>
      <c r="I8" s="273">
        <v>1655893</v>
      </c>
      <c r="J8" s="273">
        <v>1670263</v>
      </c>
      <c r="K8" s="273">
        <v>1507591</v>
      </c>
      <c r="L8" s="273">
        <v>1298633</v>
      </c>
      <c r="M8" s="273">
        <v>2067537</v>
      </c>
      <c r="N8" s="273">
        <v>1968474</v>
      </c>
      <c r="O8" s="274">
        <f t="shared" si="1"/>
        <v>21100469</v>
      </c>
      <c r="P8" s="267"/>
      <c r="R8" s="240"/>
    </row>
    <row r="9" spans="1:18" x14ac:dyDescent="0.2">
      <c r="A9" s="240">
        <f t="shared" si="0"/>
        <v>5</v>
      </c>
      <c r="B9" s="269" t="s">
        <v>939</v>
      </c>
      <c r="C9" s="273">
        <v>7731246</v>
      </c>
      <c r="D9" s="273">
        <v>5254943</v>
      </c>
      <c r="E9" s="273">
        <v>4570861</v>
      </c>
      <c r="F9" s="273">
        <v>3913172</v>
      </c>
      <c r="G9" s="273">
        <v>4081322</v>
      </c>
      <c r="H9" s="273">
        <v>4361301</v>
      </c>
      <c r="I9" s="273">
        <v>5407508</v>
      </c>
      <c r="J9" s="273">
        <v>5184938</v>
      </c>
      <c r="K9" s="273">
        <v>4277255</v>
      </c>
      <c r="L9" s="273">
        <v>4049240</v>
      </c>
      <c r="M9" s="273">
        <v>4845077</v>
      </c>
      <c r="N9" s="273">
        <v>5794043</v>
      </c>
      <c r="O9" s="274">
        <f t="shared" si="1"/>
        <v>59470906</v>
      </c>
      <c r="P9" s="267"/>
      <c r="R9" s="240"/>
    </row>
    <row r="10" spans="1:18" x14ac:dyDescent="0.2">
      <c r="A10" s="240">
        <f t="shared" si="0"/>
        <v>6</v>
      </c>
      <c r="B10" s="269" t="s">
        <v>940</v>
      </c>
      <c r="C10" s="273">
        <v>6191</v>
      </c>
      <c r="D10" s="273">
        <v>6191</v>
      </c>
      <c r="E10" s="273">
        <v>6191</v>
      </c>
      <c r="F10" s="273">
        <v>6191</v>
      </c>
      <c r="G10" s="273">
        <v>6191</v>
      </c>
      <c r="H10" s="273">
        <v>6191</v>
      </c>
      <c r="I10" s="273">
        <v>6191</v>
      </c>
      <c r="J10" s="273">
        <v>6191</v>
      </c>
      <c r="K10" s="273">
        <v>6191</v>
      </c>
      <c r="L10" s="273">
        <v>6191</v>
      </c>
      <c r="M10" s="273">
        <v>6191</v>
      </c>
      <c r="N10" s="273">
        <v>6191</v>
      </c>
      <c r="O10" s="274">
        <f t="shared" si="1"/>
        <v>74292</v>
      </c>
      <c r="P10" s="267"/>
      <c r="R10" s="240"/>
    </row>
    <row r="11" spans="1:18" x14ac:dyDescent="0.2">
      <c r="A11" s="240">
        <f t="shared" si="0"/>
        <v>7</v>
      </c>
      <c r="B11" s="269" t="s">
        <v>941</v>
      </c>
      <c r="C11" s="273">
        <v>144424</v>
      </c>
      <c r="D11" s="273">
        <v>146543</v>
      </c>
      <c r="E11" s="273">
        <v>146543</v>
      </c>
      <c r="F11" s="273">
        <v>146543</v>
      </c>
      <c r="G11" s="273">
        <v>146543</v>
      </c>
      <c r="H11" s="273">
        <v>144424</v>
      </c>
      <c r="I11" s="273">
        <v>144424</v>
      </c>
      <c r="J11" s="273">
        <v>144424</v>
      </c>
      <c r="K11" s="273">
        <v>144424</v>
      </c>
      <c r="L11" s="273">
        <v>144424</v>
      </c>
      <c r="M11" s="273">
        <v>144424</v>
      </c>
      <c r="N11" s="273">
        <v>144424</v>
      </c>
      <c r="O11" s="274">
        <f t="shared" si="1"/>
        <v>1741564</v>
      </c>
      <c r="P11" s="267"/>
      <c r="R11" s="240"/>
    </row>
    <row r="12" spans="1:18" x14ac:dyDescent="0.2">
      <c r="A12" s="240">
        <f t="shared" si="0"/>
        <v>8</v>
      </c>
      <c r="B12" s="269" t="s">
        <v>950</v>
      </c>
      <c r="C12" s="273">
        <v>1459952</v>
      </c>
      <c r="D12" s="273">
        <v>1692954</v>
      </c>
      <c r="E12" s="273">
        <v>1077099</v>
      </c>
      <c r="F12" s="273">
        <v>213924</v>
      </c>
      <c r="G12" s="273">
        <v>768552</v>
      </c>
      <c r="H12" s="273">
        <v>426371</v>
      </c>
      <c r="I12" s="273">
        <v>783838</v>
      </c>
      <c r="J12" s="273">
        <v>1233070</v>
      </c>
      <c r="K12" s="273">
        <v>945281</v>
      </c>
      <c r="L12" s="273">
        <v>985847</v>
      </c>
      <c r="M12" s="273">
        <v>855148</v>
      </c>
      <c r="N12" s="273">
        <v>799426</v>
      </c>
      <c r="O12" s="274">
        <f t="shared" si="1"/>
        <v>11241462</v>
      </c>
      <c r="P12" s="267"/>
      <c r="R12" s="240"/>
    </row>
    <row r="13" spans="1:18" x14ac:dyDescent="0.2">
      <c r="A13" s="240">
        <f t="shared" si="0"/>
        <v>9</v>
      </c>
      <c r="B13" s="269" t="s">
        <v>949</v>
      </c>
      <c r="C13" s="273">
        <v>2060911</v>
      </c>
      <c r="D13" s="273">
        <v>1402458</v>
      </c>
      <c r="E13" s="273">
        <v>816532</v>
      </c>
      <c r="F13" s="273">
        <v>832802</v>
      </c>
      <c r="G13" s="273">
        <v>1130702</v>
      </c>
      <c r="H13" s="273">
        <v>1170831</v>
      </c>
      <c r="I13" s="273">
        <v>1548373</v>
      </c>
      <c r="J13" s="273">
        <v>1597519</v>
      </c>
      <c r="K13" s="273">
        <v>1042433</v>
      </c>
      <c r="L13" s="273">
        <v>959036</v>
      </c>
      <c r="M13" s="273">
        <v>1383341</v>
      </c>
      <c r="N13" s="273">
        <v>1563905</v>
      </c>
      <c r="O13" s="274">
        <f t="shared" si="1"/>
        <v>15508843</v>
      </c>
      <c r="P13" s="267"/>
      <c r="R13" s="240"/>
    </row>
    <row r="14" spans="1:18" x14ac:dyDescent="0.2">
      <c r="A14" s="240">
        <f t="shared" si="0"/>
        <v>10</v>
      </c>
      <c r="B14" s="275" t="s">
        <v>942</v>
      </c>
      <c r="C14" s="276">
        <f>SUM(C8:C13)</f>
        <v>14499696</v>
      </c>
      <c r="D14" s="276">
        <f t="shared" ref="D14:N14" si="2">SUM(D8:D13)</f>
        <v>10556880</v>
      </c>
      <c r="E14" s="276">
        <f t="shared" si="2"/>
        <v>8363027</v>
      </c>
      <c r="F14" s="276">
        <f t="shared" si="2"/>
        <v>6475101</v>
      </c>
      <c r="G14" s="276">
        <f t="shared" si="2"/>
        <v>7483443</v>
      </c>
      <c r="H14" s="276">
        <f t="shared" si="2"/>
        <v>7432030</v>
      </c>
      <c r="I14" s="276">
        <f t="shared" si="2"/>
        <v>9546227</v>
      </c>
      <c r="J14" s="276">
        <f t="shared" si="2"/>
        <v>9836405</v>
      </c>
      <c r="K14" s="276">
        <f t="shared" si="2"/>
        <v>7923175</v>
      </c>
      <c r="L14" s="276">
        <f t="shared" si="2"/>
        <v>7443371</v>
      </c>
      <c r="M14" s="276">
        <f t="shared" si="2"/>
        <v>9301718</v>
      </c>
      <c r="N14" s="276">
        <f t="shared" si="2"/>
        <v>10276463</v>
      </c>
      <c r="O14" s="277">
        <f t="shared" ref="O14" si="3">SUM(O8:O13)</f>
        <v>109137536</v>
      </c>
      <c r="P14" s="267"/>
      <c r="Q14" s="238"/>
      <c r="R14" s="272"/>
    </row>
    <row r="15" spans="1:18" x14ac:dyDescent="0.2">
      <c r="A15" s="240">
        <f t="shared" si="0"/>
        <v>11</v>
      </c>
      <c r="B15" s="269" t="s">
        <v>943</v>
      </c>
      <c r="C15" s="273">
        <v>-9005</v>
      </c>
      <c r="D15" s="273">
        <v>-9036</v>
      </c>
      <c r="E15" s="273">
        <v>-9092</v>
      </c>
      <c r="F15" s="273">
        <v>-9102</v>
      </c>
      <c r="G15" s="273">
        <v>-9166</v>
      </c>
      <c r="H15" s="273">
        <v>-8803</v>
      </c>
      <c r="I15" s="273">
        <v>-8824</v>
      </c>
      <c r="J15" s="273"/>
      <c r="K15" s="273"/>
      <c r="L15" s="273">
        <v>-8903</v>
      </c>
      <c r="M15" s="273">
        <v>-8966</v>
      </c>
      <c r="N15" s="273">
        <v>-8988</v>
      </c>
      <c r="O15" s="274">
        <f t="shared" si="1"/>
        <v>-89885</v>
      </c>
      <c r="P15" s="267"/>
      <c r="Q15" s="238"/>
      <c r="R15" s="240"/>
    </row>
    <row r="16" spans="1:18" x14ac:dyDescent="0.2">
      <c r="A16" s="240">
        <f t="shared" si="0"/>
        <v>12</v>
      </c>
      <c r="B16" s="269" t="s">
        <v>944</v>
      </c>
      <c r="C16" s="273">
        <v>-1493</v>
      </c>
      <c r="D16" s="273">
        <v>-1384</v>
      </c>
      <c r="E16" s="273">
        <v>-984</v>
      </c>
      <c r="F16" s="273">
        <v>-1343</v>
      </c>
      <c r="G16" s="273">
        <v>-1632</v>
      </c>
      <c r="H16" s="273">
        <v>-1646</v>
      </c>
      <c r="I16" s="273">
        <v>-1708</v>
      </c>
      <c r="J16" s="273"/>
      <c r="K16" s="273"/>
      <c r="L16" s="273">
        <v>-1317</v>
      </c>
      <c r="M16" s="273">
        <v>-1566</v>
      </c>
      <c r="N16" s="273">
        <v>-1613</v>
      </c>
      <c r="O16" s="274">
        <f t="shared" si="1"/>
        <v>-14686</v>
      </c>
      <c r="P16" s="267"/>
      <c r="Q16" s="238"/>
      <c r="R16" s="240"/>
    </row>
    <row r="17" spans="1:18" x14ac:dyDescent="0.2">
      <c r="A17" s="240">
        <f t="shared" si="0"/>
        <v>13</v>
      </c>
      <c r="B17" s="269" t="s">
        <v>947</v>
      </c>
      <c r="C17" s="273">
        <f>C16+C15</f>
        <v>-10498</v>
      </c>
      <c r="D17" s="273">
        <f t="shared" ref="D17:N17" si="4">D16+D15</f>
        <v>-10420</v>
      </c>
      <c r="E17" s="273">
        <f t="shared" si="4"/>
        <v>-10076</v>
      </c>
      <c r="F17" s="273">
        <f t="shared" si="4"/>
        <v>-10445</v>
      </c>
      <c r="G17" s="273">
        <f t="shared" si="4"/>
        <v>-10798</v>
      </c>
      <c r="H17" s="273">
        <f t="shared" si="4"/>
        <v>-10449</v>
      </c>
      <c r="I17" s="273">
        <f t="shared" si="4"/>
        <v>-10532</v>
      </c>
      <c r="J17" s="273">
        <f t="shared" si="4"/>
        <v>0</v>
      </c>
      <c r="K17" s="273">
        <f t="shared" si="4"/>
        <v>0</v>
      </c>
      <c r="L17" s="273">
        <f t="shared" si="4"/>
        <v>-10220</v>
      </c>
      <c r="M17" s="273">
        <f t="shared" si="4"/>
        <v>-10532</v>
      </c>
      <c r="N17" s="273">
        <f t="shared" si="4"/>
        <v>-10601</v>
      </c>
      <c r="O17" s="274">
        <f t="shared" si="1"/>
        <v>-104571</v>
      </c>
      <c r="P17" s="267"/>
      <c r="R17" s="240"/>
    </row>
    <row r="18" spans="1:18" x14ac:dyDescent="0.2">
      <c r="A18" s="240">
        <f t="shared" si="0"/>
        <v>14</v>
      </c>
      <c r="B18" s="269" t="s">
        <v>945</v>
      </c>
      <c r="C18" s="270">
        <v>14100</v>
      </c>
      <c r="D18" s="270">
        <v>14100</v>
      </c>
      <c r="E18" s="270">
        <v>14100</v>
      </c>
      <c r="F18" s="270">
        <v>14100</v>
      </c>
      <c r="G18" s="270">
        <v>14100</v>
      </c>
      <c r="H18" s="270">
        <v>14100</v>
      </c>
      <c r="I18" s="270">
        <v>14100</v>
      </c>
      <c r="J18" s="270">
        <v>14100</v>
      </c>
      <c r="K18" s="270">
        <v>14100</v>
      </c>
      <c r="L18" s="270">
        <v>14100</v>
      </c>
      <c r="M18" s="270">
        <v>14100</v>
      </c>
      <c r="N18" s="270">
        <v>14100</v>
      </c>
      <c r="O18" s="274">
        <f t="shared" si="1"/>
        <v>169200</v>
      </c>
      <c r="P18" s="267"/>
      <c r="R18" s="240"/>
    </row>
    <row r="19" spans="1:18" x14ac:dyDescent="0.2">
      <c r="A19" s="240">
        <f t="shared" si="0"/>
        <v>15</v>
      </c>
      <c r="B19" s="269" t="s">
        <v>946</v>
      </c>
      <c r="C19" s="273">
        <v>353</v>
      </c>
      <c r="D19" s="273">
        <v>353</v>
      </c>
      <c r="E19" s="273">
        <v>353</v>
      </c>
      <c r="F19" s="273">
        <v>353</v>
      </c>
      <c r="G19" s="273">
        <v>353</v>
      </c>
      <c r="H19" s="273">
        <v>353</v>
      </c>
      <c r="I19" s="273">
        <v>353</v>
      </c>
      <c r="J19" s="273">
        <v>353</v>
      </c>
      <c r="K19" s="273">
        <v>353</v>
      </c>
      <c r="L19" s="273">
        <v>353</v>
      </c>
      <c r="M19" s="273">
        <v>353</v>
      </c>
      <c r="N19" s="273">
        <v>353</v>
      </c>
      <c r="O19" s="274">
        <f t="shared" si="1"/>
        <v>4236</v>
      </c>
      <c r="P19" s="267"/>
      <c r="R19" s="240"/>
    </row>
    <row r="20" spans="1:18" x14ac:dyDescent="0.2">
      <c r="A20" s="240">
        <f t="shared" si="0"/>
        <v>16</v>
      </c>
      <c r="B20" s="269" t="s">
        <v>1219</v>
      </c>
      <c r="C20" s="273">
        <v>0</v>
      </c>
      <c r="D20" s="273">
        <v>0</v>
      </c>
      <c r="E20" s="273">
        <v>0</v>
      </c>
      <c r="F20" s="273">
        <v>-3</v>
      </c>
      <c r="G20" s="273">
        <v>-6</v>
      </c>
      <c r="H20" s="273">
        <v>0</v>
      </c>
      <c r="I20" s="273">
        <v>0</v>
      </c>
      <c r="J20" s="273"/>
      <c r="K20" s="273">
        <v>0</v>
      </c>
      <c r="L20" s="273"/>
      <c r="M20" s="273">
        <v>0</v>
      </c>
      <c r="N20" s="273">
        <v>0</v>
      </c>
      <c r="O20" s="274">
        <f t="shared" si="1"/>
        <v>-9</v>
      </c>
      <c r="P20" s="267"/>
      <c r="R20" s="240"/>
    </row>
    <row r="21" spans="1:18" x14ac:dyDescent="0.2">
      <c r="A21" s="240">
        <f t="shared" si="0"/>
        <v>17</v>
      </c>
      <c r="B21" s="269" t="s">
        <v>1076</v>
      </c>
      <c r="C21" s="273">
        <v>297</v>
      </c>
      <c r="D21" s="273">
        <v>327</v>
      </c>
      <c r="E21" s="273">
        <v>336</v>
      </c>
      <c r="F21" s="273">
        <v>334</v>
      </c>
      <c r="G21" s="273">
        <v>325</v>
      </c>
      <c r="H21" s="273">
        <v>367</v>
      </c>
      <c r="I21" s="273">
        <v>379</v>
      </c>
      <c r="J21" s="273">
        <v>279</v>
      </c>
      <c r="K21" s="273">
        <v>299</v>
      </c>
      <c r="L21" s="273">
        <v>367</v>
      </c>
      <c r="M21" s="273">
        <v>367</v>
      </c>
      <c r="N21" s="273">
        <v>327</v>
      </c>
      <c r="O21" s="274">
        <f t="shared" si="1"/>
        <v>4004</v>
      </c>
      <c r="P21" s="267"/>
      <c r="R21" s="240"/>
    </row>
    <row r="22" spans="1:18" x14ac:dyDescent="0.2">
      <c r="A22" s="240">
        <f t="shared" si="0"/>
        <v>18</v>
      </c>
      <c r="B22" s="269" t="s">
        <v>1048</v>
      </c>
      <c r="C22" s="273">
        <v>-199</v>
      </c>
      <c r="D22" s="273">
        <v>-168</v>
      </c>
      <c r="E22" s="273">
        <v>-308</v>
      </c>
      <c r="F22" s="273">
        <v>-351</v>
      </c>
      <c r="G22" s="273">
        <v>-366</v>
      </c>
      <c r="H22" s="273">
        <v>-376</v>
      </c>
      <c r="I22" s="273">
        <v>-420</v>
      </c>
      <c r="J22" s="273">
        <v>-490</v>
      </c>
      <c r="K22" s="273">
        <v>-423</v>
      </c>
      <c r="L22" s="273">
        <v>-362</v>
      </c>
      <c r="M22" s="273">
        <v>-320</v>
      </c>
      <c r="N22" s="273">
        <v>-262</v>
      </c>
      <c r="O22" s="274">
        <f t="shared" si="1"/>
        <v>-4045</v>
      </c>
      <c r="P22" s="267"/>
      <c r="R22" s="240"/>
    </row>
    <row r="23" spans="1:18" x14ac:dyDescent="0.2">
      <c r="A23" s="240">
        <f t="shared" si="0"/>
        <v>19</v>
      </c>
      <c r="B23" s="275" t="s">
        <v>859</v>
      </c>
      <c r="C23" s="276">
        <f>C14+C17+C19+C22+C21</f>
        <v>14489649</v>
      </c>
      <c r="D23" s="276">
        <f t="shared" ref="D23:N23" si="5">D14+D17+D19+D22+D21</f>
        <v>10546972</v>
      </c>
      <c r="E23" s="276">
        <f t="shared" si="5"/>
        <v>8353332</v>
      </c>
      <c r="F23" s="276">
        <f t="shared" si="5"/>
        <v>6464992</v>
      </c>
      <c r="G23" s="276">
        <f t="shared" si="5"/>
        <v>7472957</v>
      </c>
      <c r="H23" s="276">
        <f t="shared" si="5"/>
        <v>7421925</v>
      </c>
      <c r="I23" s="276">
        <f t="shared" si="5"/>
        <v>9536007</v>
      </c>
      <c r="J23" s="276">
        <f t="shared" si="5"/>
        <v>9836547</v>
      </c>
      <c r="K23" s="276">
        <f t="shared" si="5"/>
        <v>7923404</v>
      </c>
      <c r="L23" s="276">
        <f t="shared" si="5"/>
        <v>7433509</v>
      </c>
      <c r="M23" s="276">
        <f t="shared" si="5"/>
        <v>9291586</v>
      </c>
      <c r="N23" s="276">
        <f t="shared" si="5"/>
        <v>10266280</v>
      </c>
      <c r="O23" s="276">
        <f t="shared" si="1"/>
        <v>109037160</v>
      </c>
      <c r="P23" s="267"/>
      <c r="Q23" s="238"/>
      <c r="R23" s="272"/>
    </row>
    <row r="24" spans="1:18" x14ac:dyDescent="0.2">
      <c r="A24" s="240">
        <f t="shared" si="0"/>
        <v>20</v>
      </c>
      <c r="B24" s="240"/>
      <c r="C24" s="240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9"/>
      <c r="P24" s="267"/>
      <c r="R24" s="240"/>
    </row>
    <row r="25" spans="1:18" x14ac:dyDescent="0.2">
      <c r="A25" s="240">
        <f t="shared" si="0"/>
        <v>21</v>
      </c>
      <c r="B25" s="269" t="s">
        <v>967</v>
      </c>
      <c r="C25" s="270">
        <v>473510</v>
      </c>
      <c r="D25" s="270">
        <v>313542</v>
      </c>
      <c r="E25" s="270">
        <v>266160</v>
      </c>
      <c r="F25" s="270">
        <v>205152</v>
      </c>
      <c r="G25" s="270">
        <v>203045</v>
      </c>
      <c r="H25" s="270">
        <v>198903</v>
      </c>
      <c r="I25" s="270">
        <v>249768</v>
      </c>
      <c r="J25" s="270">
        <v>251939</v>
      </c>
      <c r="K25" s="270">
        <v>227157</v>
      </c>
      <c r="L25" s="270">
        <v>197477</v>
      </c>
      <c r="M25" s="270">
        <v>314827</v>
      </c>
      <c r="N25" s="270">
        <v>300256</v>
      </c>
      <c r="O25" s="271">
        <f t="shared" ref="O25:O28" si="6">SUM(C25:N25)</f>
        <v>3201736</v>
      </c>
      <c r="P25" s="267"/>
      <c r="R25" s="240"/>
    </row>
    <row r="26" spans="1:18" x14ac:dyDescent="0.2">
      <c r="A26" s="240">
        <f t="shared" si="0"/>
        <v>22</v>
      </c>
      <c r="B26" s="269" t="s">
        <v>1078</v>
      </c>
      <c r="C26" s="270">
        <v>458260</v>
      </c>
      <c r="D26" s="270">
        <v>297731</v>
      </c>
      <c r="E26" s="270">
        <v>260839</v>
      </c>
      <c r="F26" s="270">
        <v>188032</v>
      </c>
      <c r="G26" s="270">
        <v>197912</v>
      </c>
      <c r="H26" s="270">
        <v>192165</v>
      </c>
      <c r="I26" s="270">
        <v>247255</v>
      </c>
      <c r="J26" s="270">
        <v>247979</v>
      </c>
      <c r="K26" s="270">
        <v>213609</v>
      </c>
      <c r="L26" s="270">
        <v>192208</v>
      </c>
      <c r="M26" s="270">
        <v>311713</v>
      </c>
      <c r="N26" s="270">
        <v>296962</v>
      </c>
      <c r="O26" s="271">
        <f t="shared" si="6"/>
        <v>3104665</v>
      </c>
      <c r="P26" s="267"/>
      <c r="R26" s="240"/>
    </row>
    <row r="27" spans="1:18" x14ac:dyDescent="0.2">
      <c r="A27" s="240">
        <f t="shared" si="0"/>
        <v>23</v>
      </c>
      <c r="B27" s="269" t="s">
        <v>1079</v>
      </c>
      <c r="C27" s="270">
        <v>481970</v>
      </c>
      <c r="D27" s="270">
        <v>322640</v>
      </c>
      <c r="E27" s="270">
        <v>272634</v>
      </c>
      <c r="F27" s="270">
        <v>221602</v>
      </c>
      <c r="G27" s="270">
        <v>217034</v>
      </c>
      <c r="H27" s="270">
        <v>222588</v>
      </c>
      <c r="I27" s="270">
        <v>266680</v>
      </c>
      <c r="J27" s="270">
        <v>267062</v>
      </c>
      <c r="K27" s="270">
        <v>247717</v>
      </c>
      <c r="L27" s="270">
        <v>214847</v>
      </c>
      <c r="M27" s="270">
        <v>319709</v>
      </c>
      <c r="N27" s="270">
        <v>310813</v>
      </c>
      <c r="O27" s="271">
        <f t="shared" si="6"/>
        <v>3365296</v>
      </c>
      <c r="P27" s="267"/>
      <c r="R27" s="240"/>
    </row>
    <row r="28" spans="1:18" x14ac:dyDescent="0.2">
      <c r="A28" s="240">
        <f t="shared" si="0"/>
        <v>24</v>
      </c>
      <c r="B28" s="269" t="s">
        <v>1081</v>
      </c>
      <c r="C28" s="270">
        <v>22245</v>
      </c>
      <c r="D28" s="270">
        <v>22245</v>
      </c>
      <c r="E28" s="270">
        <v>22245</v>
      </c>
      <c r="F28" s="270">
        <v>22245</v>
      </c>
      <c r="G28" s="270">
        <v>22245</v>
      </c>
      <c r="H28" s="270">
        <v>22895</v>
      </c>
      <c r="I28" s="270">
        <v>22245</v>
      </c>
      <c r="J28" s="270">
        <v>22245</v>
      </c>
      <c r="K28" s="270">
        <v>22245</v>
      </c>
      <c r="L28" s="270">
        <v>22245</v>
      </c>
      <c r="M28" s="270">
        <v>22245</v>
      </c>
      <c r="N28" s="270">
        <v>22245</v>
      </c>
      <c r="O28" s="271">
        <f t="shared" si="6"/>
        <v>267590</v>
      </c>
      <c r="P28" s="267"/>
      <c r="R28" s="240"/>
    </row>
    <row r="29" spans="1:18" x14ac:dyDescent="0.2">
      <c r="A29" s="240">
        <f t="shared" si="0"/>
        <v>25</v>
      </c>
    </row>
    <row r="30" spans="1:18" x14ac:dyDescent="0.2">
      <c r="A30" s="240">
        <f t="shared" si="0"/>
        <v>26</v>
      </c>
      <c r="B30" s="232" t="s">
        <v>1026</v>
      </c>
      <c r="C30" s="226">
        <f t="shared" ref="C30:N30" si="7">C8+C10+C11+(C13*C37)</f>
        <v>4484133.5999999996</v>
      </c>
      <c r="D30" s="226">
        <f t="shared" si="7"/>
        <v>3047999.8</v>
      </c>
      <c r="E30" s="226">
        <f t="shared" si="7"/>
        <v>2388454.2000000002</v>
      </c>
      <c r="F30" s="226">
        <f t="shared" si="7"/>
        <v>2014884.2</v>
      </c>
      <c r="G30" s="226">
        <f t="shared" si="7"/>
        <v>2181288.2000000002</v>
      </c>
      <c r="H30" s="226">
        <f t="shared" si="7"/>
        <v>2176025.6000000001</v>
      </c>
      <c r="I30" s="226">
        <f t="shared" si="7"/>
        <v>2735531.8</v>
      </c>
      <c r="J30" s="226">
        <f t="shared" si="7"/>
        <v>2779389.4</v>
      </c>
      <c r="K30" s="226">
        <f t="shared" si="7"/>
        <v>2283665.7999999998</v>
      </c>
      <c r="L30" s="226">
        <f t="shared" si="7"/>
        <v>2024669.6</v>
      </c>
      <c r="M30" s="226">
        <f t="shared" si="7"/>
        <v>3048156.6</v>
      </c>
      <c r="N30" s="226">
        <f t="shared" si="7"/>
        <v>3057432</v>
      </c>
      <c r="O30" s="271">
        <f>SUM(C30:N30)</f>
        <v>32221630.800000001</v>
      </c>
    </row>
    <row r="31" spans="1:18" x14ac:dyDescent="0.2">
      <c r="A31" s="240">
        <f t="shared" si="0"/>
        <v>27</v>
      </c>
      <c r="B31" s="232" t="s">
        <v>1027</v>
      </c>
      <c r="C31" s="226">
        <f t="shared" ref="C31:N31" si="8">C14-C30</f>
        <v>10015562.4</v>
      </c>
      <c r="D31" s="226">
        <f t="shared" si="8"/>
        <v>7508880.2000000002</v>
      </c>
      <c r="E31" s="226">
        <f t="shared" si="8"/>
        <v>5974572.7999999998</v>
      </c>
      <c r="F31" s="226">
        <f t="shared" si="8"/>
        <v>4460216.8</v>
      </c>
      <c r="G31" s="226">
        <f t="shared" si="8"/>
        <v>5302154.8</v>
      </c>
      <c r="H31" s="226">
        <f t="shared" si="8"/>
        <v>5256004.4000000004</v>
      </c>
      <c r="I31" s="226">
        <f t="shared" si="8"/>
        <v>6810695.2000000002</v>
      </c>
      <c r="J31" s="226">
        <f t="shared" si="8"/>
        <v>7057015.5999999996</v>
      </c>
      <c r="K31" s="226">
        <f t="shared" si="8"/>
        <v>5639509.2000000002</v>
      </c>
      <c r="L31" s="226">
        <f t="shared" si="8"/>
        <v>5418701.4000000004</v>
      </c>
      <c r="M31" s="226">
        <f t="shared" si="8"/>
        <v>6253561.4000000004</v>
      </c>
      <c r="N31" s="226">
        <f t="shared" si="8"/>
        <v>7219031</v>
      </c>
      <c r="O31" s="271">
        <f t="shared" ref="O31:O33" si="9">SUM(C31:N31)</f>
        <v>76915905.200000018</v>
      </c>
    </row>
    <row r="32" spans="1:18" x14ac:dyDescent="0.2">
      <c r="A32" s="240">
        <f t="shared" si="0"/>
        <v>28</v>
      </c>
      <c r="B32" s="232" t="s">
        <v>1028</v>
      </c>
      <c r="C32" s="280">
        <f>C30+C31</f>
        <v>14499696</v>
      </c>
      <c r="D32" s="280">
        <f t="shared" ref="D32:N32" si="10">D30+D31</f>
        <v>10556880</v>
      </c>
      <c r="E32" s="280">
        <f t="shared" si="10"/>
        <v>8363027</v>
      </c>
      <c r="F32" s="280">
        <f t="shared" si="10"/>
        <v>6475101</v>
      </c>
      <c r="G32" s="280">
        <f t="shared" si="10"/>
        <v>7483443</v>
      </c>
      <c r="H32" s="280">
        <f t="shared" si="10"/>
        <v>7432030</v>
      </c>
      <c r="I32" s="280">
        <f t="shared" si="10"/>
        <v>9546227</v>
      </c>
      <c r="J32" s="280">
        <f t="shared" si="10"/>
        <v>9836405</v>
      </c>
      <c r="K32" s="280">
        <f t="shared" si="10"/>
        <v>7923175</v>
      </c>
      <c r="L32" s="280">
        <f t="shared" si="10"/>
        <v>7443371</v>
      </c>
      <c r="M32" s="280">
        <f t="shared" si="10"/>
        <v>9301718</v>
      </c>
      <c r="N32" s="280">
        <f t="shared" si="10"/>
        <v>10276463</v>
      </c>
      <c r="O32" s="271">
        <f t="shared" si="9"/>
        <v>109137536</v>
      </c>
    </row>
    <row r="33" spans="1:15" x14ac:dyDescent="0.2">
      <c r="A33" s="240">
        <f t="shared" si="0"/>
        <v>29</v>
      </c>
      <c r="B33" s="232" t="s">
        <v>927</v>
      </c>
      <c r="C33" s="226">
        <f t="shared" ref="C33:N33" si="11">C32-C14</f>
        <v>0</v>
      </c>
      <c r="D33" s="226">
        <f t="shared" si="11"/>
        <v>0</v>
      </c>
      <c r="E33" s="226">
        <f t="shared" si="11"/>
        <v>0</v>
      </c>
      <c r="F33" s="226">
        <f t="shared" si="11"/>
        <v>0</v>
      </c>
      <c r="G33" s="226">
        <f t="shared" si="11"/>
        <v>0</v>
      </c>
      <c r="H33" s="226">
        <f t="shared" si="11"/>
        <v>0</v>
      </c>
      <c r="I33" s="226">
        <f t="shared" si="11"/>
        <v>0</v>
      </c>
      <c r="J33" s="226">
        <f t="shared" si="11"/>
        <v>0</v>
      </c>
      <c r="K33" s="226">
        <f t="shared" si="11"/>
        <v>0</v>
      </c>
      <c r="L33" s="226">
        <f t="shared" si="11"/>
        <v>0</v>
      </c>
      <c r="M33" s="226">
        <f t="shared" si="11"/>
        <v>0</v>
      </c>
      <c r="N33" s="226">
        <f t="shared" si="11"/>
        <v>0</v>
      </c>
      <c r="O33" s="271">
        <f t="shared" si="9"/>
        <v>0</v>
      </c>
    </row>
    <row r="34" spans="1:15" x14ac:dyDescent="0.2">
      <c r="A34" s="240">
        <f t="shared" si="0"/>
        <v>30</v>
      </c>
      <c r="B34" s="232" t="s">
        <v>1029</v>
      </c>
      <c r="C34" s="281">
        <f>C30/C32</f>
        <v>0.30925707683802472</v>
      </c>
      <c r="D34" s="281">
        <f t="shared" ref="D34:O34" si="12">D30/D32</f>
        <v>0.28872164882048484</v>
      </c>
      <c r="E34" s="281">
        <f t="shared" si="12"/>
        <v>0.28559685386642902</v>
      </c>
      <c r="F34" s="281">
        <f t="shared" si="12"/>
        <v>0.31117417319050311</v>
      </c>
      <c r="G34" s="281">
        <f t="shared" si="12"/>
        <v>0.29148190211377306</v>
      </c>
      <c r="H34" s="281">
        <f t="shared" si="12"/>
        <v>0.29279020671337441</v>
      </c>
      <c r="I34" s="281">
        <f t="shared" si="12"/>
        <v>0.28655633267467867</v>
      </c>
      <c r="J34" s="281">
        <f t="shared" si="12"/>
        <v>0.28256150494006704</v>
      </c>
      <c r="K34" s="281">
        <f t="shared" si="12"/>
        <v>0.28822609623036216</v>
      </c>
      <c r="L34" s="281">
        <f t="shared" si="12"/>
        <v>0.27200976546782368</v>
      </c>
      <c r="M34" s="281">
        <f t="shared" si="12"/>
        <v>0.3276982381104222</v>
      </c>
      <c r="N34" s="281">
        <f t="shared" si="12"/>
        <v>0.29751793005044636</v>
      </c>
      <c r="O34" s="282">
        <f t="shared" si="12"/>
        <v>0.29523876001745175</v>
      </c>
    </row>
    <row r="35" spans="1:15" x14ac:dyDescent="0.2">
      <c r="A35" s="240">
        <f t="shared" si="0"/>
        <v>31</v>
      </c>
      <c r="B35" s="232" t="s">
        <v>1030</v>
      </c>
      <c r="C35" s="281">
        <f>C31/C32</f>
        <v>0.69074292316197528</v>
      </c>
      <c r="D35" s="281">
        <f t="shared" ref="D35:O35" si="13">D31/D32</f>
        <v>0.71127835117951521</v>
      </c>
      <c r="E35" s="281">
        <f t="shared" si="13"/>
        <v>0.71440314613357103</v>
      </c>
      <c r="F35" s="281">
        <f t="shared" si="13"/>
        <v>0.68882582680949689</v>
      </c>
      <c r="G35" s="281">
        <f t="shared" si="13"/>
        <v>0.70851809788622699</v>
      </c>
      <c r="H35" s="281">
        <f t="shared" si="13"/>
        <v>0.70720979328662559</v>
      </c>
      <c r="I35" s="281">
        <f t="shared" si="13"/>
        <v>0.71344366732532127</v>
      </c>
      <c r="J35" s="281">
        <f t="shared" si="13"/>
        <v>0.71743849505993296</v>
      </c>
      <c r="K35" s="281">
        <f t="shared" si="13"/>
        <v>0.71177390376963778</v>
      </c>
      <c r="L35" s="281">
        <f t="shared" si="13"/>
        <v>0.72799023453217637</v>
      </c>
      <c r="M35" s="281">
        <f t="shared" si="13"/>
        <v>0.67230176188957791</v>
      </c>
      <c r="N35" s="281">
        <f t="shared" si="13"/>
        <v>0.70248206994955364</v>
      </c>
      <c r="O35" s="282">
        <f t="shared" si="13"/>
        <v>0.70476123998254847</v>
      </c>
    </row>
    <row r="36" spans="1:15" x14ac:dyDescent="0.2">
      <c r="A36" s="240">
        <f>A35+1</f>
        <v>32</v>
      </c>
    </row>
    <row r="37" spans="1:15" x14ac:dyDescent="0.2">
      <c r="A37" s="240">
        <f t="shared" si="0"/>
        <v>33</v>
      </c>
      <c r="B37" s="283" t="s">
        <v>1024</v>
      </c>
      <c r="C37" s="283">
        <v>0.6</v>
      </c>
      <c r="D37" s="283">
        <v>0.6</v>
      </c>
      <c r="E37" s="283">
        <v>0.6</v>
      </c>
      <c r="F37" s="283">
        <v>0.6</v>
      </c>
      <c r="G37" s="283">
        <v>0.6</v>
      </c>
      <c r="H37" s="283">
        <v>0.6</v>
      </c>
      <c r="I37" s="283">
        <v>0.6</v>
      </c>
      <c r="J37" s="283">
        <v>0.6</v>
      </c>
      <c r="K37" s="283">
        <v>0.6</v>
      </c>
      <c r="L37" s="283">
        <v>0.6</v>
      </c>
      <c r="M37" s="283">
        <v>0.6</v>
      </c>
      <c r="N37" s="283">
        <v>0.6</v>
      </c>
      <c r="O37" s="283">
        <v>0.6</v>
      </c>
    </row>
    <row r="38" spans="1:15" x14ac:dyDescent="0.2">
      <c r="A38" s="240">
        <f t="shared" si="0"/>
        <v>34</v>
      </c>
      <c r="B38" s="232" t="s">
        <v>1025</v>
      </c>
      <c r="C38" s="284">
        <v>0.4</v>
      </c>
      <c r="D38" s="284">
        <v>0.4</v>
      </c>
      <c r="E38" s="284">
        <v>0.4</v>
      </c>
      <c r="F38" s="284">
        <v>0.4</v>
      </c>
      <c r="G38" s="284">
        <v>0.4</v>
      </c>
      <c r="H38" s="284">
        <v>0.4</v>
      </c>
      <c r="I38" s="284">
        <v>0.4</v>
      </c>
      <c r="J38" s="284">
        <v>0.4</v>
      </c>
      <c r="K38" s="284">
        <v>0.4</v>
      </c>
      <c r="L38" s="284">
        <v>0.4</v>
      </c>
      <c r="M38" s="284">
        <v>0.4</v>
      </c>
      <c r="N38" s="284">
        <v>0.4</v>
      </c>
      <c r="O38" s="284">
        <v>0.4</v>
      </c>
    </row>
    <row r="39" spans="1:15" x14ac:dyDescent="0.2">
      <c r="A39" s="240">
        <f t="shared" si="0"/>
        <v>35</v>
      </c>
    </row>
    <row r="40" spans="1:15" x14ac:dyDescent="0.2">
      <c r="A40" s="240">
        <f t="shared" si="0"/>
        <v>36</v>
      </c>
      <c r="B40" s="232" t="s">
        <v>1051</v>
      </c>
      <c r="N40" s="230" t="s">
        <v>1050</v>
      </c>
      <c r="O40" s="285">
        <f>O23-O22</f>
        <v>109041205</v>
      </c>
    </row>
    <row r="41" spans="1:15" x14ac:dyDescent="0.2">
      <c r="A41" s="240">
        <f t="shared" si="0"/>
        <v>37</v>
      </c>
      <c r="N41" s="230" t="s">
        <v>948</v>
      </c>
      <c r="O41" s="285">
        <v>109041205</v>
      </c>
    </row>
    <row r="42" spans="1:15" x14ac:dyDescent="0.2">
      <c r="A42" s="240">
        <f t="shared" si="0"/>
        <v>38</v>
      </c>
      <c r="N42" s="230" t="s">
        <v>1049</v>
      </c>
      <c r="O42" s="286">
        <f>O40-O41</f>
        <v>0</v>
      </c>
    </row>
    <row r="43" spans="1:15" x14ac:dyDescent="0.2">
      <c r="A43" s="240">
        <f t="shared" si="0"/>
        <v>39</v>
      </c>
      <c r="D43" s="283"/>
      <c r="E43" s="283"/>
      <c r="F43" s="283"/>
      <c r="G43" s="283"/>
      <c r="H43" s="283"/>
      <c r="I43" s="283"/>
      <c r="J43" s="283"/>
      <c r="K43" s="283"/>
      <c r="L43" s="283"/>
      <c r="N43" s="230"/>
      <c r="O43" s="287"/>
    </row>
    <row r="44" spans="1:15" x14ac:dyDescent="0.2">
      <c r="B44" s="288" t="s">
        <v>1080</v>
      </c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90"/>
    </row>
    <row r="45" spans="1:15" x14ac:dyDescent="0.2"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</row>
    <row r="46" spans="1:15" x14ac:dyDescent="0.2">
      <c r="A46" s="240">
        <v>10</v>
      </c>
      <c r="B46" s="219" t="s">
        <v>1201</v>
      </c>
    </row>
    <row r="47" spans="1:15" x14ac:dyDescent="0.2">
      <c r="A47" s="240" t="s">
        <v>1224</v>
      </c>
      <c r="B47" s="220" t="s">
        <v>1188</v>
      </c>
      <c r="C47" s="270">
        <v>7758</v>
      </c>
      <c r="D47" s="270">
        <v>7758</v>
      </c>
      <c r="E47" s="270">
        <v>7758</v>
      </c>
      <c r="F47" s="270">
        <v>7758</v>
      </c>
      <c r="G47" s="270">
        <v>7758</v>
      </c>
      <c r="H47" s="270">
        <v>7758</v>
      </c>
      <c r="I47" s="270">
        <v>7758</v>
      </c>
      <c r="J47" s="270">
        <v>7758</v>
      </c>
      <c r="K47" s="270">
        <v>7758</v>
      </c>
      <c r="L47" s="270">
        <v>7758</v>
      </c>
      <c r="M47" s="270">
        <v>7758</v>
      </c>
      <c r="N47" s="270">
        <v>7758</v>
      </c>
      <c r="O47" s="270">
        <f t="shared" ref="O47:O109" si="14">SUM(C47:N47)</f>
        <v>93096</v>
      </c>
    </row>
    <row r="48" spans="1:15" x14ac:dyDescent="0.2">
      <c r="B48" s="220" t="s">
        <v>1213</v>
      </c>
      <c r="C48" s="270">
        <v>0</v>
      </c>
      <c r="D48" s="270">
        <v>0</v>
      </c>
      <c r="E48" s="270">
        <v>0</v>
      </c>
      <c r="F48" s="270">
        <v>0</v>
      </c>
      <c r="G48" s="270">
        <v>0</v>
      </c>
      <c r="H48" s="270">
        <v>0</v>
      </c>
      <c r="I48" s="270">
        <v>0</v>
      </c>
      <c r="J48" s="270">
        <v>0</v>
      </c>
      <c r="K48" s="270">
        <v>0</v>
      </c>
      <c r="L48" s="270">
        <v>0</v>
      </c>
      <c r="M48" s="270">
        <v>0</v>
      </c>
      <c r="N48" s="270">
        <v>0</v>
      </c>
      <c r="O48" s="270">
        <f t="shared" si="14"/>
        <v>0</v>
      </c>
    </row>
    <row r="49" spans="1:15" x14ac:dyDescent="0.2">
      <c r="B49" s="220" t="s">
        <v>1214</v>
      </c>
      <c r="C49" s="270">
        <v>0</v>
      </c>
      <c r="D49" s="270">
        <v>0</v>
      </c>
      <c r="E49" s="270">
        <v>0</v>
      </c>
      <c r="F49" s="270">
        <v>0</v>
      </c>
      <c r="G49" s="270">
        <v>0</v>
      </c>
      <c r="H49" s="270">
        <v>0</v>
      </c>
      <c r="I49" s="270">
        <v>0</v>
      </c>
      <c r="J49" s="270">
        <v>0</v>
      </c>
      <c r="K49" s="270">
        <v>0</v>
      </c>
      <c r="L49" s="270">
        <v>0</v>
      </c>
      <c r="M49" s="270">
        <v>0</v>
      </c>
      <c r="N49" s="270">
        <v>0</v>
      </c>
      <c r="O49" s="270">
        <f t="shared" si="14"/>
        <v>0</v>
      </c>
    </row>
    <row r="50" spans="1:15" x14ac:dyDescent="0.2">
      <c r="B50" s="220" t="s">
        <v>1215</v>
      </c>
      <c r="C50" s="270">
        <v>0</v>
      </c>
      <c r="D50" s="270">
        <v>0</v>
      </c>
      <c r="E50" s="270">
        <v>0</v>
      </c>
      <c r="F50" s="270">
        <v>0</v>
      </c>
      <c r="G50" s="270">
        <v>0</v>
      </c>
      <c r="H50" s="270">
        <v>0</v>
      </c>
      <c r="I50" s="270">
        <v>0</v>
      </c>
      <c r="J50" s="270">
        <v>0</v>
      </c>
      <c r="K50" s="270">
        <v>0</v>
      </c>
      <c r="L50" s="270">
        <v>0</v>
      </c>
      <c r="M50" s="270">
        <v>0</v>
      </c>
      <c r="N50" s="270">
        <v>0</v>
      </c>
      <c r="O50" s="270">
        <f t="shared" si="14"/>
        <v>0</v>
      </c>
    </row>
    <row r="51" spans="1:15" x14ac:dyDescent="0.2">
      <c r="B51" s="220" t="s">
        <v>1216</v>
      </c>
      <c r="C51" s="270">
        <v>3103200</v>
      </c>
      <c r="D51" s="270">
        <v>3156838</v>
      </c>
      <c r="E51" s="270">
        <v>3120222</v>
      </c>
      <c r="F51" s="270">
        <v>3103200</v>
      </c>
      <c r="G51" s="270">
        <v>3152720</v>
      </c>
      <c r="H51" s="270">
        <v>3733504</v>
      </c>
      <c r="I51" s="270">
        <v>3132578</v>
      </c>
      <c r="J51" s="270">
        <v>3996650</v>
      </c>
      <c r="K51" s="270">
        <v>3575952</v>
      </c>
      <c r="L51" s="270">
        <v>3571779</v>
      </c>
      <c r="M51" s="270">
        <v>3103200</v>
      </c>
      <c r="N51" s="270">
        <v>3103200</v>
      </c>
      <c r="O51" s="270">
        <f t="shared" si="14"/>
        <v>39853043</v>
      </c>
    </row>
    <row r="52" spans="1:15" x14ac:dyDescent="0.2">
      <c r="B52" s="220" t="s">
        <v>1217</v>
      </c>
      <c r="C52" s="270">
        <v>0</v>
      </c>
      <c r="D52" s="270">
        <v>0</v>
      </c>
      <c r="E52" s="270">
        <v>0</v>
      </c>
      <c r="F52" s="270">
        <v>0</v>
      </c>
      <c r="G52" s="270">
        <v>0</v>
      </c>
      <c r="H52" s="270">
        <v>0</v>
      </c>
      <c r="I52" s="270">
        <v>0</v>
      </c>
      <c r="J52" s="270">
        <v>0</v>
      </c>
      <c r="K52" s="270">
        <v>0</v>
      </c>
      <c r="L52" s="270">
        <v>0</v>
      </c>
      <c r="M52" s="270">
        <v>0</v>
      </c>
      <c r="N52" s="270">
        <v>0</v>
      </c>
      <c r="O52" s="270">
        <f t="shared" si="14"/>
        <v>0</v>
      </c>
    </row>
    <row r="53" spans="1:15" x14ac:dyDescent="0.2">
      <c r="B53" s="220" t="s">
        <v>1218</v>
      </c>
      <c r="C53" s="270">
        <v>0</v>
      </c>
      <c r="D53" s="270">
        <v>0</v>
      </c>
      <c r="E53" s="270">
        <v>0</v>
      </c>
      <c r="F53" s="270">
        <v>0</v>
      </c>
      <c r="G53" s="270">
        <v>0</v>
      </c>
      <c r="H53" s="270">
        <v>0</v>
      </c>
      <c r="I53" s="270">
        <v>0</v>
      </c>
      <c r="J53" s="270">
        <v>0</v>
      </c>
      <c r="K53" s="270">
        <v>0</v>
      </c>
      <c r="L53" s="270">
        <v>0</v>
      </c>
      <c r="M53" s="270">
        <v>0</v>
      </c>
      <c r="N53" s="270">
        <v>0</v>
      </c>
      <c r="O53" s="270">
        <f t="shared" si="14"/>
        <v>0</v>
      </c>
    </row>
    <row r="54" spans="1:15" x14ac:dyDescent="0.2">
      <c r="B54" s="220" t="s">
        <v>1189</v>
      </c>
      <c r="C54" s="233">
        <v>58107</v>
      </c>
      <c r="D54" s="233">
        <v>58107</v>
      </c>
      <c r="E54" s="233">
        <v>58107</v>
      </c>
      <c r="F54" s="233">
        <v>58107</v>
      </c>
      <c r="G54" s="233">
        <v>58107</v>
      </c>
      <c r="H54" s="233">
        <v>58107</v>
      </c>
      <c r="I54" s="233">
        <v>58107</v>
      </c>
      <c r="J54" s="233">
        <v>58107</v>
      </c>
      <c r="K54" s="233">
        <v>58107</v>
      </c>
      <c r="L54" s="233">
        <v>58107</v>
      </c>
      <c r="M54" s="233">
        <v>58107</v>
      </c>
      <c r="N54" s="233">
        <v>58107</v>
      </c>
      <c r="O54" s="233">
        <f t="shared" si="14"/>
        <v>697284</v>
      </c>
    </row>
    <row r="55" spans="1:15" x14ac:dyDescent="0.2">
      <c r="B55" s="220" t="s">
        <v>1190</v>
      </c>
      <c r="C55" s="233">
        <v>121778</v>
      </c>
      <c r="D55" s="233">
        <v>125907</v>
      </c>
      <c r="E55" s="233">
        <v>124447</v>
      </c>
      <c r="F55" s="233">
        <v>121274</v>
      </c>
      <c r="G55" s="233">
        <v>125743</v>
      </c>
      <c r="H55" s="233">
        <v>149907</v>
      </c>
      <c r="I55" s="233">
        <v>124940</v>
      </c>
      <c r="J55" s="233">
        <v>159402</v>
      </c>
      <c r="K55" s="233">
        <v>142623</v>
      </c>
      <c r="L55" s="233">
        <v>142457</v>
      </c>
      <c r="M55" s="233">
        <v>122049</v>
      </c>
      <c r="N55" s="233">
        <v>111203</v>
      </c>
      <c r="O55" s="233">
        <f t="shared" si="14"/>
        <v>1571730</v>
      </c>
    </row>
    <row r="56" spans="1:15" x14ac:dyDescent="0.2">
      <c r="B56" s="220" t="s">
        <v>1191</v>
      </c>
      <c r="C56" s="233">
        <v>26217</v>
      </c>
      <c r="D56" s="233">
        <v>46437</v>
      </c>
      <c r="E56" s="233">
        <v>33574</v>
      </c>
      <c r="F56" s="233">
        <v>7520</v>
      </c>
      <c r="G56" s="233">
        <v>27744</v>
      </c>
      <c r="H56" s="233">
        <v>17099</v>
      </c>
      <c r="I56" s="233">
        <v>21427</v>
      </c>
      <c r="J56" s="233">
        <v>44643</v>
      </c>
      <c r="K56" s="233">
        <v>37011</v>
      </c>
      <c r="L56" s="233">
        <v>39575</v>
      </c>
      <c r="M56" s="233">
        <v>24484</v>
      </c>
      <c r="N56" s="233">
        <v>16586</v>
      </c>
      <c r="O56" s="233">
        <f t="shared" si="14"/>
        <v>342317</v>
      </c>
    </row>
    <row r="57" spans="1:15" x14ac:dyDescent="0.2">
      <c r="B57" s="220" t="s">
        <v>1192</v>
      </c>
      <c r="C57" s="233">
        <v>34172</v>
      </c>
      <c r="D57" s="233">
        <v>35305</v>
      </c>
      <c r="E57" s="233">
        <v>23385</v>
      </c>
      <c r="F57" s="233">
        <v>27587</v>
      </c>
      <c r="G57" s="233">
        <v>37664</v>
      </c>
      <c r="H57" s="233">
        <v>41909</v>
      </c>
      <c r="I57" s="233">
        <v>39586</v>
      </c>
      <c r="J57" s="233">
        <v>50831</v>
      </c>
      <c r="K57" s="233">
        <v>36018</v>
      </c>
      <c r="L57" s="233">
        <v>35517</v>
      </c>
      <c r="M57" s="233">
        <v>35751</v>
      </c>
      <c r="N57" s="233">
        <v>33368</v>
      </c>
      <c r="O57" s="233">
        <f t="shared" si="14"/>
        <v>431093</v>
      </c>
    </row>
    <row r="58" spans="1:15" x14ac:dyDescent="0.2">
      <c r="B58" s="220" t="s">
        <v>1193</v>
      </c>
      <c r="C58" s="291">
        <f t="shared" ref="C58:N58" si="15">SUM(C54:C57)</f>
        <v>240274</v>
      </c>
      <c r="D58" s="291">
        <f t="shared" si="15"/>
        <v>265756</v>
      </c>
      <c r="E58" s="291">
        <f t="shared" si="15"/>
        <v>239513</v>
      </c>
      <c r="F58" s="291">
        <f t="shared" si="15"/>
        <v>214488</v>
      </c>
      <c r="G58" s="291">
        <f t="shared" si="15"/>
        <v>249258</v>
      </c>
      <c r="H58" s="291">
        <f t="shared" si="15"/>
        <v>267022</v>
      </c>
      <c r="I58" s="291">
        <f t="shared" si="15"/>
        <v>244060</v>
      </c>
      <c r="J58" s="291">
        <f t="shared" si="15"/>
        <v>312983</v>
      </c>
      <c r="K58" s="291">
        <f t="shared" si="15"/>
        <v>273759</v>
      </c>
      <c r="L58" s="291">
        <f t="shared" si="15"/>
        <v>275656</v>
      </c>
      <c r="M58" s="291">
        <f t="shared" si="15"/>
        <v>240391</v>
      </c>
      <c r="N58" s="291">
        <f t="shared" si="15"/>
        <v>219264</v>
      </c>
      <c r="O58" s="291">
        <f t="shared" si="14"/>
        <v>3042424</v>
      </c>
    </row>
    <row r="59" spans="1:15" x14ac:dyDescent="0.2">
      <c r="A59" s="240">
        <v>11</v>
      </c>
      <c r="B59" s="219" t="s">
        <v>1204</v>
      </c>
    </row>
    <row r="60" spans="1:15" x14ac:dyDescent="0.2">
      <c r="A60" s="240" t="s">
        <v>1225</v>
      </c>
      <c r="B60" s="220" t="s">
        <v>1188</v>
      </c>
      <c r="C60" s="270">
        <v>2050</v>
      </c>
      <c r="D60" s="270">
        <v>2050</v>
      </c>
      <c r="E60" s="270">
        <v>2092</v>
      </c>
      <c r="F60" s="270">
        <v>2050</v>
      </c>
      <c r="G60" s="270">
        <v>2050</v>
      </c>
      <c r="H60" s="270">
        <v>2700</v>
      </c>
      <c r="I60" s="270">
        <v>2050</v>
      </c>
      <c r="J60" s="270">
        <v>2055</v>
      </c>
      <c r="K60" s="270">
        <v>2050</v>
      </c>
      <c r="L60" s="270">
        <v>2140</v>
      </c>
      <c r="M60" s="270">
        <v>2050</v>
      </c>
      <c r="N60" s="270">
        <v>2138</v>
      </c>
      <c r="O60" s="270">
        <f t="shared" ref="O60:O71" si="16">SUM(C60:N60)</f>
        <v>25475</v>
      </c>
    </row>
    <row r="61" spans="1:15" x14ac:dyDescent="0.2">
      <c r="B61" s="220" t="s">
        <v>1213</v>
      </c>
      <c r="C61" s="270">
        <v>0</v>
      </c>
      <c r="D61" s="270">
        <v>0</v>
      </c>
      <c r="E61" s="270">
        <v>0</v>
      </c>
      <c r="F61" s="270">
        <v>0</v>
      </c>
      <c r="G61" s="270">
        <v>0</v>
      </c>
      <c r="H61" s="270">
        <v>0</v>
      </c>
      <c r="I61" s="270">
        <v>0</v>
      </c>
      <c r="J61" s="270">
        <v>0</v>
      </c>
      <c r="K61" s="270">
        <v>0</v>
      </c>
      <c r="L61" s="270">
        <v>0</v>
      </c>
      <c r="M61" s="270">
        <v>0</v>
      </c>
      <c r="N61" s="270">
        <v>0</v>
      </c>
      <c r="O61" s="270">
        <f t="shared" si="16"/>
        <v>0</v>
      </c>
    </row>
    <row r="62" spans="1:15" x14ac:dyDescent="0.2">
      <c r="B62" s="220" t="s">
        <v>1214</v>
      </c>
      <c r="C62" s="270">
        <v>0</v>
      </c>
      <c r="D62" s="270">
        <v>0</v>
      </c>
      <c r="E62" s="270">
        <v>0</v>
      </c>
      <c r="F62" s="270">
        <v>0</v>
      </c>
      <c r="G62" s="270">
        <v>0</v>
      </c>
      <c r="H62" s="270">
        <v>0</v>
      </c>
      <c r="I62" s="270">
        <v>0</v>
      </c>
      <c r="J62" s="270">
        <v>0</v>
      </c>
      <c r="K62" s="270">
        <v>0</v>
      </c>
      <c r="L62" s="270">
        <v>0</v>
      </c>
      <c r="M62" s="270">
        <v>0</v>
      </c>
      <c r="N62" s="270">
        <v>0</v>
      </c>
      <c r="O62" s="270">
        <f t="shared" si="16"/>
        <v>0</v>
      </c>
    </row>
    <row r="63" spans="1:15" x14ac:dyDescent="0.2">
      <c r="B63" s="220" t="s">
        <v>1215</v>
      </c>
      <c r="C63" s="270">
        <v>0</v>
      </c>
      <c r="D63" s="270">
        <v>0</v>
      </c>
      <c r="E63" s="270">
        <v>0</v>
      </c>
      <c r="F63" s="270">
        <v>0</v>
      </c>
      <c r="G63" s="270">
        <v>0</v>
      </c>
      <c r="H63" s="270">
        <v>0</v>
      </c>
      <c r="I63" s="270">
        <v>0</v>
      </c>
      <c r="J63" s="270">
        <v>0</v>
      </c>
      <c r="K63" s="270">
        <v>0</v>
      </c>
      <c r="L63" s="270">
        <v>0</v>
      </c>
      <c r="M63" s="270">
        <v>0</v>
      </c>
      <c r="N63" s="270">
        <v>0</v>
      </c>
      <c r="O63" s="270">
        <f t="shared" si="16"/>
        <v>0</v>
      </c>
    </row>
    <row r="64" spans="1:15" x14ac:dyDescent="0.2">
      <c r="B64" s="220" t="s">
        <v>1216</v>
      </c>
      <c r="C64" s="270">
        <v>1007912</v>
      </c>
      <c r="D64" s="270">
        <v>1062770</v>
      </c>
      <c r="E64" s="270">
        <v>1085351</v>
      </c>
      <c r="F64" s="270">
        <v>1121715</v>
      </c>
      <c r="G64" s="270">
        <v>1030599</v>
      </c>
      <c r="H64" s="270">
        <v>1080000</v>
      </c>
      <c r="I64" s="270">
        <v>910205</v>
      </c>
      <c r="J64" s="270">
        <v>1069934</v>
      </c>
      <c r="K64" s="270">
        <v>854126</v>
      </c>
      <c r="L64" s="270">
        <v>1089868</v>
      </c>
      <c r="M64" s="270">
        <v>982664</v>
      </c>
      <c r="N64" s="270">
        <v>905334</v>
      </c>
      <c r="O64" s="270">
        <f t="shared" si="16"/>
        <v>12200478</v>
      </c>
    </row>
    <row r="65" spans="1:15" x14ac:dyDescent="0.2">
      <c r="B65" s="220" t="s">
        <v>1217</v>
      </c>
      <c r="C65" s="270">
        <v>0</v>
      </c>
      <c r="D65" s="270">
        <v>0</v>
      </c>
      <c r="E65" s="270">
        <v>0</v>
      </c>
      <c r="F65" s="270">
        <v>0</v>
      </c>
      <c r="G65" s="270">
        <v>0</v>
      </c>
      <c r="H65" s="270">
        <v>0</v>
      </c>
      <c r="I65" s="270">
        <v>0</v>
      </c>
      <c r="J65" s="270">
        <v>0</v>
      </c>
      <c r="K65" s="270">
        <v>0</v>
      </c>
      <c r="L65" s="270">
        <v>0</v>
      </c>
      <c r="M65" s="270">
        <v>0</v>
      </c>
      <c r="N65" s="270">
        <v>0</v>
      </c>
      <c r="O65" s="270">
        <f t="shared" si="16"/>
        <v>0</v>
      </c>
    </row>
    <row r="66" spans="1:15" x14ac:dyDescent="0.2">
      <c r="B66" s="220" t="s">
        <v>1218</v>
      </c>
      <c r="C66" s="270">
        <v>0</v>
      </c>
      <c r="D66" s="270">
        <v>0</v>
      </c>
      <c r="E66" s="270">
        <v>0</v>
      </c>
      <c r="F66" s="270">
        <v>0</v>
      </c>
      <c r="G66" s="270">
        <v>0</v>
      </c>
      <c r="H66" s="270">
        <v>0</v>
      </c>
      <c r="I66" s="270">
        <v>0</v>
      </c>
      <c r="J66" s="270">
        <v>0</v>
      </c>
      <c r="K66" s="270">
        <v>0</v>
      </c>
      <c r="L66" s="270">
        <v>0</v>
      </c>
      <c r="M66" s="270">
        <v>0</v>
      </c>
      <c r="N66" s="270">
        <v>0</v>
      </c>
      <c r="O66" s="270">
        <f t="shared" si="16"/>
        <v>0</v>
      </c>
    </row>
    <row r="67" spans="1:15" x14ac:dyDescent="0.2">
      <c r="B67" s="220" t="s">
        <v>1189</v>
      </c>
      <c r="C67" s="233">
        <v>15355</v>
      </c>
      <c r="D67" s="233">
        <v>15355</v>
      </c>
      <c r="E67" s="233">
        <v>15774</v>
      </c>
      <c r="F67" s="233">
        <v>15355</v>
      </c>
      <c r="G67" s="233">
        <v>15355</v>
      </c>
      <c r="H67" s="233">
        <v>20223</v>
      </c>
      <c r="I67" s="233">
        <v>15355</v>
      </c>
      <c r="J67" s="233">
        <v>15405</v>
      </c>
      <c r="K67" s="233">
        <v>15355</v>
      </c>
      <c r="L67" s="233">
        <v>16253</v>
      </c>
      <c r="M67" s="233">
        <v>15355</v>
      </c>
      <c r="N67" s="233">
        <v>16233</v>
      </c>
      <c r="O67" s="233">
        <f t="shared" si="16"/>
        <v>191373</v>
      </c>
    </row>
    <row r="68" spans="1:15" x14ac:dyDescent="0.2">
      <c r="B68" s="220" t="s">
        <v>1190</v>
      </c>
      <c r="C68" s="233">
        <v>40200</v>
      </c>
      <c r="D68" s="233">
        <v>42388</v>
      </c>
      <c r="E68" s="233">
        <v>43288</v>
      </c>
      <c r="F68" s="233">
        <v>44738</v>
      </c>
      <c r="G68" s="233">
        <v>41104</v>
      </c>
      <c r="H68" s="233">
        <v>41541</v>
      </c>
      <c r="I68" s="233">
        <v>36303</v>
      </c>
      <c r="J68" s="233">
        <v>42673</v>
      </c>
      <c r="K68" s="233">
        <v>34066</v>
      </c>
      <c r="L68" s="233">
        <v>43468</v>
      </c>
      <c r="M68" s="233">
        <v>39193</v>
      </c>
      <c r="N68" s="233">
        <v>36108</v>
      </c>
      <c r="O68" s="233">
        <f t="shared" si="16"/>
        <v>485070</v>
      </c>
    </row>
    <row r="69" spans="1:15" x14ac:dyDescent="0.2">
      <c r="B69" s="220" t="s">
        <v>1191</v>
      </c>
      <c r="C69" s="233">
        <v>8729</v>
      </c>
      <c r="D69" s="233">
        <v>15633</v>
      </c>
      <c r="E69" s="233">
        <v>11678</v>
      </c>
      <c r="F69" s="233">
        <v>2804</v>
      </c>
      <c r="G69" s="233">
        <v>9069</v>
      </c>
      <c r="H69" s="233">
        <v>4679</v>
      </c>
      <c r="I69" s="233">
        <v>6226</v>
      </c>
      <c r="J69" s="233">
        <v>11951</v>
      </c>
      <c r="K69" s="233">
        <v>8840</v>
      </c>
      <c r="L69" s="233">
        <v>12076</v>
      </c>
      <c r="M69" s="233">
        <v>7920</v>
      </c>
      <c r="N69" s="233">
        <v>5722</v>
      </c>
      <c r="O69" s="233">
        <f t="shared" si="16"/>
        <v>105327</v>
      </c>
    </row>
    <row r="70" spans="1:15" x14ac:dyDescent="0.2">
      <c r="B70" s="220" t="s">
        <v>1192</v>
      </c>
      <c r="C70" s="233">
        <v>10658</v>
      </c>
      <c r="D70" s="233">
        <v>11241</v>
      </c>
      <c r="E70" s="233">
        <v>7654</v>
      </c>
      <c r="F70" s="233">
        <v>9284</v>
      </c>
      <c r="G70" s="233">
        <v>11664</v>
      </c>
      <c r="H70" s="233">
        <v>12425</v>
      </c>
      <c r="I70" s="233">
        <v>11206</v>
      </c>
      <c r="J70" s="233">
        <v>13579</v>
      </c>
      <c r="K70" s="233">
        <v>8827</v>
      </c>
      <c r="L70" s="233">
        <v>10619</v>
      </c>
      <c r="M70" s="233">
        <v>10913</v>
      </c>
      <c r="N70" s="233">
        <v>10422</v>
      </c>
      <c r="O70" s="233">
        <f t="shared" si="16"/>
        <v>128492</v>
      </c>
    </row>
    <row r="71" spans="1:15" x14ac:dyDescent="0.2">
      <c r="B71" s="220" t="s">
        <v>1193</v>
      </c>
      <c r="C71" s="291">
        <f t="shared" ref="C71:N71" si="17">SUM(C67:C70)</f>
        <v>74942</v>
      </c>
      <c r="D71" s="291">
        <f t="shared" si="17"/>
        <v>84617</v>
      </c>
      <c r="E71" s="291">
        <f t="shared" si="17"/>
        <v>78394</v>
      </c>
      <c r="F71" s="291">
        <f t="shared" si="17"/>
        <v>72181</v>
      </c>
      <c r="G71" s="291">
        <f t="shared" si="17"/>
        <v>77192</v>
      </c>
      <c r="H71" s="291">
        <f t="shared" si="17"/>
        <v>78868</v>
      </c>
      <c r="I71" s="291">
        <f t="shared" si="17"/>
        <v>69090</v>
      </c>
      <c r="J71" s="291">
        <f t="shared" si="17"/>
        <v>83608</v>
      </c>
      <c r="K71" s="291">
        <f t="shared" si="17"/>
        <v>67088</v>
      </c>
      <c r="L71" s="291">
        <f t="shared" si="17"/>
        <v>82416</v>
      </c>
      <c r="M71" s="291">
        <f t="shared" si="17"/>
        <v>73381</v>
      </c>
      <c r="N71" s="291">
        <f t="shared" si="17"/>
        <v>68485</v>
      </c>
      <c r="O71" s="291">
        <f t="shared" si="16"/>
        <v>910262</v>
      </c>
    </row>
    <row r="72" spans="1:15" x14ac:dyDescent="0.2">
      <c r="A72" s="240">
        <v>11</v>
      </c>
      <c r="B72" s="219" t="s">
        <v>1212</v>
      </c>
    </row>
    <row r="73" spans="1:15" x14ac:dyDescent="0.2">
      <c r="A73" s="240" t="s">
        <v>1225</v>
      </c>
      <c r="B73" s="220" t="s">
        <v>1188</v>
      </c>
      <c r="C73" s="270">
        <v>8455</v>
      </c>
      <c r="D73" s="270">
        <v>8436</v>
      </c>
      <c r="E73" s="270">
        <v>8449</v>
      </c>
      <c r="F73" s="270">
        <v>500</v>
      </c>
      <c r="G73" s="270">
        <v>500</v>
      </c>
      <c r="H73" s="270">
        <v>500</v>
      </c>
      <c r="I73" s="270">
        <v>500</v>
      </c>
      <c r="J73" s="270">
        <v>500</v>
      </c>
      <c r="K73" s="270">
        <v>500</v>
      </c>
      <c r="L73" s="270">
        <v>8374</v>
      </c>
      <c r="M73" s="270">
        <v>6457</v>
      </c>
      <c r="N73" s="270">
        <v>8484</v>
      </c>
      <c r="O73" s="270">
        <f t="shared" ref="O73:O91" si="18">SUM(C73:N73)</f>
        <v>51655</v>
      </c>
    </row>
    <row r="74" spans="1:15" x14ac:dyDescent="0.2">
      <c r="B74" s="220" t="s">
        <v>1213</v>
      </c>
      <c r="C74" s="270">
        <v>0</v>
      </c>
      <c r="D74" s="270">
        <v>0</v>
      </c>
      <c r="E74" s="270">
        <v>0</v>
      </c>
      <c r="F74" s="270">
        <v>0</v>
      </c>
      <c r="G74" s="270">
        <v>0</v>
      </c>
      <c r="H74" s="270">
        <v>0</v>
      </c>
      <c r="I74" s="270">
        <v>0</v>
      </c>
      <c r="J74" s="270">
        <v>0</v>
      </c>
      <c r="K74" s="270">
        <v>0</v>
      </c>
      <c r="L74" s="270">
        <v>0</v>
      </c>
      <c r="M74" s="270">
        <v>0</v>
      </c>
      <c r="N74" s="270">
        <v>0</v>
      </c>
      <c r="O74" s="270">
        <f t="shared" si="18"/>
        <v>0</v>
      </c>
    </row>
    <row r="75" spans="1:15" x14ac:dyDescent="0.2">
      <c r="B75" s="220" t="s">
        <v>1214</v>
      </c>
      <c r="C75" s="270">
        <v>0</v>
      </c>
      <c r="D75" s="270">
        <v>0</v>
      </c>
      <c r="E75" s="270">
        <v>0</v>
      </c>
      <c r="F75" s="270">
        <v>0</v>
      </c>
      <c r="G75" s="270">
        <v>0</v>
      </c>
      <c r="H75" s="270">
        <v>0</v>
      </c>
      <c r="I75" s="270">
        <v>0</v>
      </c>
      <c r="J75" s="270">
        <v>0</v>
      </c>
      <c r="K75" s="270">
        <v>0</v>
      </c>
      <c r="L75" s="270">
        <v>0</v>
      </c>
      <c r="M75" s="270">
        <v>0</v>
      </c>
      <c r="N75" s="270">
        <v>0</v>
      </c>
      <c r="O75" s="270">
        <f t="shared" si="18"/>
        <v>0</v>
      </c>
    </row>
    <row r="76" spans="1:15" x14ac:dyDescent="0.2">
      <c r="B76" s="220" t="s">
        <v>1215</v>
      </c>
      <c r="C76" s="270">
        <v>0</v>
      </c>
      <c r="D76" s="270">
        <v>0</v>
      </c>
      <c r="E76" s="270">
        <v>0</v>
      </c>
      <c r="F76" s="270">
        <v>0</v>
      </c>
      <c r="G76" s="270">
        <v>0</v>
      </c>
      <c r="H76" s="270">
        <v>0</v>
      </c>
      <c r="I76" s="270">
        <v>0</v>
      </c>
      <c r="J76" s="270">
        <v>0</v>
      </c>
      <c r="K76" s="270">
        <v>0</v>
      </c>
      <c r="L76" s="270">
        <v>0</v>
      </c>
      <c r="M76" s="270">
        <v>0</v>
      </c>
      <c r="N76" s="270">
        <v>0</v>
      </c>
      <c r="O76" s="270">
        <f t="shared" si="18"/>
        <v>0</v>
      </c>
    </row>
    <row r="77" spans="1:15" x14ac:dyDescent="0.2">
      <c r="B77" s="220" t="s">
        <v>1216</v>
      </c>
      <c r="C77" s="270">
        <v>4272955</v>
      </c>
      <c r="D77" s="270">
        <v>3376945</v>
      </c>
      <c r="E77" s="270">
        <v>1958406</v>
      </c>
      <c r="F77" s="270">
        <v>282538</v>
      </c>
      <c r="G77" s="270">
        <v>200000</v>
      </c>
      <c r="H77" s="270">
        <v>203225</v>
      </c>
      <c r="I77" s="270">
        <v>217509</v>
      </c>
      <c r="J77" s="270">
        <v>200000</v>
      </c>
      <c r="K77" s="270">
        <v>709144</v>
      </c>
      <c r="L77" s="270">
        <v>2627952</v>
      </c>
      <c r="M77" s="270">
        <v>3092352</v>
      </c>
      <c r="N77" s="270">
        <v>4243204</v>
      </c>
      <c r="O77" s="270">
        <f t="shared" si="18"/>
        <v>21384230</v>
      </c>
    </row>
    <row r="78" spans="1:15" x14ac:dyDescent="0.2">
      <c r="B78" s="220" t="s">
        <v>1217</v>
      </c>
      <c r="C78" s="270">
        <v>0</v>
      </c>
      <c r="D78" s="270">
        <v>0</v>
      </c>
      <c r="E78" s="270">
        <v>0</v>
      </c>
      <c r="F78" s="270">
        <v>0</v>
      </c>
      <c r="G78" s="270">
        <v>0</v>
      </c>
      <c r="H78" s="270">
        <v>0</v>
      </c>
      <c r="I78" s="270">
        <v>0</v>
      </c>
      <c r="J78" s="270">
        <v>0</v>
      </c>
      <c r="K78" s="270">
        <v>0</v>
      </c>
      <c r="L78" s="270">
        <v>0</v>
      </c>
      <c r="M78" s="270">
        <v>0</v>
      </c>
      <c r="N78" s="270">
        <v>0</v>
      </c>
      <c r="O78" s="270">
        <f t="shared" si="18"/>
        <v>0</v>
      </c>
    </row>
    <row r="79" spans="1:15" x14ac:dyDescent="0.2">
      <c r="B79" s="220" t="s">
        <v>1218</v>
      </c>
      <c r="C79" s="270">
        <v>0</v>
      </c>
      <c r="D79" s="270">
        <v>0</v>
      </c>
      <c r="E79" s="270">
        <v>0</v>
      </c>
      <c r="F79" s="270">
        <v>0</v>
      </c>
      <c r="G79" s="270">
        <v>0</v>
      </c>
      <c r="H79" s="270">
        <v>0</v>
      </c>
      <c r="I79" s="270">
        <v>0</v>
      </c>
      <c r="J79" s="270">
        <v>0</v>
      </c>
      <c r="K79" s="270">
        <v>0</v>
      </c>
      <c r="L79" s="270">
        <v>0</v>
      </c>
      <c r="M79" s="270">
        <v>0</v>
      </c>
      <c r="N79" s="270">
        <v>0</v>
      </c>
      <c r="O79" s="270">
        <f t="shared" si="18"/>
        <v>0</v>
      </c>
    </row>
    <row r="80" spans="1:15" x14ac:dyDescent="0.2">
      <c r="B80" s="220" t="s">
        <v>1194</v>
      </c>
      <c r="C80" s="233">
        <v>0</v>
      </c>
      <c r="D80" s="233">
        <v>0</v>
      </c>
      <c r="E80" s="233">
        <v>0</v>
      </c>
      <c r="F80" s="233">
        <v>0</v>
      </c>
      <c r="G80" s="233">
        <v>0</v>
      </c>
      <c r="H80" s="233">
        <v>0</v>
      </c>
      <c r="I80" s="233">
        <v>0</v>
      </c>
      <c r="J80" s="233">
        <v>0</v>
      </c>
      <c r="K80" s="233">
        <v>0</v>
      </c>
      <c r="L80" s="233">
        <v>0</v>
      </c>
      <c r="M80" s="233">
        <v>0</v>
      </c>
      <c r="N80" s="233">
        <v>0</v>
      </c>
      <c r="O80" s="233">
        <f t="shared" si="18"/>
        <v>0</v>
      </c>
    </row>
    <row r="81" spans="1:15" x14ac:dyDescent="0.2">
      <c r="B81" s="220" t="s">
        <v>1195</v>
      </c>
      <c r="C81" s="233">
        <v>3745</v>
      </c>
      <c r="D81" s="233">
        <v>3745</v>
      </c>
      <c r="E81" s="233">
        <v>3745</v>
      </c>
      <c r="F81" s="233">
        <v>3745</v>
      </c>
      <c r="G81" s="233">
        <v>3745</v>
      </c>
      <c r="H81" s="233">
        <v>3745</v>
      </c>
      <c r="I81" s="233">
        <v>3745</v>
      </c>
      <c r="J81" s="233">
        <v>3745</v>
      </c>
      <c r="K81" s="233">
        <v>3745</v>
      </c>
      <c r="L81" s="233">
        <v>3745</v>
      </c>
      <c r="M81" s="233">
        <v>3745</v>
      </c>
      <c r="N81" s="233">
        <v>3745</v>
      </c>
      <c r="O81" s="233">
        <f t="shared" si="18"/>
        <v>44940</v>
      </c>
    </row>
    <row r="82" spans="1:15" x14ac:dyDescent="0.2">
      <c r="B82" s="220" t="s">
        <v>1196</v>
      </c>
      <c r="C82" s="233">
        <v>79391</v>
      </c>
      <c r="D82" s="233">
        <v>79201</v>
      </c>
      <c r="E82" s="233">
        <v>79331</v>
      </c>
      <c r="F82" s="233">
        <v>0</v>
      </c>
      <c r="G82" s="233">
        <v>0</v>
      </c>
      <c r="H82" s="233">
        <v>0</v>
      </c>
      <c r="I82" s="233">
        <v>0</v>
      </c>
      <c r="J82" s="233">
        <v>0</v>
      </c>
      <c r="K82" s="233">
        <v>0</v>
      </c>
      <c r="L82" s="233">
        <v>78583</v>
      </c>
      <c r="M82" s="233">
        <v>59451</v>
      </c>
      <c r="N82" s="233">
        <v>79680</v>
      </c>
      <c r="O82" s="233">
        <f t="shared" si="18"/>
        <v>455637</v>
      </c>
    </row>
    <row r="83" spans="1:15" x14ac:dyDescent="0.2">
      <c r="B83" s="220" t="s">
        <v>1197</v>
      </c>
      <c r="C83" s="233">
        <v>-42868</v>
      </c>
      <c r="D83" s="233">
        <v>-42762</v>
      </c>
      <c r="E83" s="233">
        <v>-42834</v>
      </c>
      <c r="F83" s="233">
        <v>0</v>
      </c>
      <c r="G83" s="233">
        <v>0</v>
      </c>
      <c r="H83" s="233">
        <v>0</v>
      </c>
      <c r="I83" s="233">
        <v>0</v>
      </c>
      <c r="J83" s="233">
        <v>0</v>
      </c>
      <c r="K83" s="233">
        <v>0</v>
      </c>
      <c r="L83" s="233">
        <v>-42414</v>
      </c>
      <c r="M83" s="233">
        <v>-31679</v>
      </c>
      <c r="N83" s="233">
        <v>-43030</v>
      </c>
      <c r="O83" s="233">
        <f t="shared" si="18"/>
        <v>-245587</v>
      </c>
    </row>
    <row r="84" spans="1:15" x14ac:dyDescent="0.2">
      <c r="B84" s="220" t="s">
        <v>1189</v>
      </c>
      <c r="C84" s="233">
        <v>0</v>
      </c>
      <c r="D84" s="233">
        <v>0</v>
      </c>
      <c r="E84" s="233">
        <v>0</v>
      </c>
      <c r="F84" s="233">
        <v>0</v>
      </c>
      <c r="G84" s="233">
        <v>0</v>
      </c>
      <c r="H84" s="233">
        <v>0</v>
      </c>
      <c r="I84" s="233">
        <v>0</v>
      </c>
      <c r="J84" s="233">
        <v>0</v>
      </c>
      <c r="K84" s="233">
        <v>0</v>
      </c>
      <c r="L84" s="233">
        <v>0</v>
      </c>
      <c r="M84" s="233">
        <v>0</v>
      </c>
      <c r="N84" s="233">
        <v>0</v>
      </c>
      <c r="O84" s="233">
        <f t="shared" si="18"/>
        <v>0</v>
      </c>
    </row>
    <row r="85" spans="1:15" x14ac:dyDescent="0.2">
      <c r="B85" s="220" t="s">
        <v>1190</v>
      </c>
      <c r="C85" s="233">
        <v>170423</v>
      </c>
      <c r="D85" s="233">
        <v>134686</v>
      </c>
      <c r="E85" s="233">
        <v>78109</v>
      </c>
      <c r="F85" s="233">
        <v>11269</v>
      </c>
      <c r="G85" s="233">
        <v>7403</v>
      </c>
      <c r="H85" s="233">
        <v>8105</v>
      </c>
      <c r="I85" s="233">
        <v>8675</v>
      </c>
      <c r="J85" s="233">
        <v>5991</v>
      </c>
      <c r="K85" s="233">
        <v>28283</v>
      </c>
      <c r="L85" s="233">
        <v>104813</v>
      </c>
      <c r="M85" s="233">
        <v>123335</v>
      </c>
      <c r="N85" s="233">
        <v>169236</v>
      </c>
      <c r="O85" s="233">
        <f t="shared" si="18"/>
        <v>850328</v>
      </c>
    </row>
    <row r="86" spans="1:15" x14ac:dyDescent="0.2">
      <c r="B86" s="220" t="s">
        <v>1191</v>
      </c>
      <c r="C86" s="233">
        <v>37004</v>
      </c>
      <c r="D86" s="233">
        <v>49675</v>
      </c>
      <c r="E86" s="233">
        <v>21072</v>
      </c>
      <c r="F86" s="233">
        <v>706</v>
      </c>
      <c r="G86" s="233">
        <v>1568</v>
      </c>
      <c r="H86" s="233">
        <v>931</v>
      </c>
      <c r="I86" s="233">
        <v>1488</v>
      </c>
      <c r="J86" s="233">
        <v>1389</v>
      </c>
      <c r="K86" s="233">
        <v>7340</v>
      </c>
      <c r="L86" s="233">
        <v>29118</v>
      </c>
      <c r="M86" s="233">
        <v>24924</v>
      </c>
      <c r="N86" s="233">
        <v>26817</v>
      </c>
      <c r="O86" s="233">
        <f t="shared" si="18"/>
        <v>202032</v>
      </c>
    </row>
    <row r="87" spans="1:15" x14ac:dyDescent="0.2">
      <c r="B87" s="220" t="s">
        <v>1192</v>
      </c>
      <c r="C87" s="233">
        <v>39934</v>
      </c>
      <c r="D87" s="233">
        <v>34400</v>
      </c>
      <c r="E87" s="233">
        <v>15086</v>
      </c>
      <c r="F87" s="233">
        <v>2320</v>
      </c>
      <c r="G87" s="233">
        <v>2263</v>
      </c>
      <c r="H87" s="233">
        <v>2390</v>
      </c>
      <c r="I87" s="233">
        <v>2693</v>
      </c>
      <c r="J87" s="233">
        <v>2157</v>
      </c>
      <c r="K87" s="233">
        <v>5964</v>
      </c>
      <c r="L87" s="233">
        <v>25712</v>
      </c>
      <c r="M87" s="233">
        <v>31407</v>
      </c>
      <c r="N87" s="233">
        <v>42442</v>
      </c>
      <c r="O87" s="233">
        <f t="shared" si="18"/>
        <v>206768</v>
      </c>
    </row>
    <row r="88" spans="1:15" x14ac:dyDescent="0.2">
      <c r="B88" s="220" t="s">
        <v>1193</v>
      </c>
      <c r="C88" s="291">
        <f t="shared" ref="C88:N88" si="19">SUM(C80:C87)</f>
        <v>287629</v>
      </c>
      <c r="D88" s="291">
        <f t="shared" si="19"/>
        <v>258945</v>
      </c>
      <c r="E88" s="291">
        <f t="shared" si="19"/>
        <v>154509</v>
      </c>
      <c r="F88" s="291">
        <f t="shared" si="19"/>
        <v>18040</v>
      </c>
      <c r="G88" s="291">
        <f t="shared" si="19"/>
        <v>14979</v>
      </c>
      <c r="H88" s="291">
        <f t="shared" si="19"/>
        <v>15171</v>
      </c>
      <c r="I88" s="291">
        <f t="shared" si="19"/>
        <v>16601</v>
      </c>
      <c r="J88" s="291">
        <f t="shared" si="19"/>
        <v>13282</v>
      </c>
      <c r="K88" s="291">
        <f t="shared" si="19"/>
        <v>45332</v>
      </c>
      <c r="L88" s="291">
        <f t="shared" si="19"/>
        <v>199557</v>
      </c>
      <c r="M88" s="291">
        <f t="shared" si="19"/>
        <v>211183</v>
      </c>
      <c r="N88" s="291">
        <f t="shared" si="19"/>
        <v>278890</v>
      </c>
      <c r="O88" s="291">
        <f t="shared" si="18"/>
        <v>1514118</v>
      </c>
    </row>
    <row r="89" spans="1:15" x14ac:dyDescent="0.2">
      <c r="B89" s="220" t="s">
        <v>1077</v>
      </c>
      <c r="C89" s="233">
        <v>8691</v>
      </c>
      <c r="D89" s="233">
        <v>0</v>
      </c>
      <c r="E89" s="233">
        <v>0</v>
      </c>
      <c r="F89" s="233">
        <v>0</v>
      </c>
      <c r="G89" s="233">
        <v>0</v>
      </c>
      <c r="H89" s="233">
        <v>0</v>
      </c>
      <c r="I89" s="233">
        <v>0</v>
      </c>
      <c r="J89" s="233">
        <v>0</v>
      </c>
      <c r="K89" s="233">
        <v>0</v>
      </c>
      <c r="L89" s="233">
        <v>0</v>
      </c>
      <c r="M89" s="233">
        <v>0</v>
      </c>
      <c r="N89" s="233">
        <v>0</v>
      </c>
      <c r="O89" s="233">
        <f t="shared" si="18"/>
        <v>8691</v>
      </c>
    </row>
    <row r="90" spans="1:15" x14ac:dyDescent="0.2">
      <c r="B90" s="220" t="s">
        <v>1198</v>
      </c>
      <c r="C90" s="233">
        <v>-6837</v>
      </c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v>0</v>
      </c>
      <c r="O90" s="233">
        <f t="shared" si="18"/>
        <v>-6837</v>
      </c>
    </row>
    <row r="91" spans="1:15" x14ac:dyDescent="0.2">
      <c r="B91" s="220" t="s">
        <v>1193</v>
      </c>
      <c r="C91" s="247">
        <f>SUM(C88:C90)</f>
        <v>289483</v>
      </c>
      <c r="D91" s="247">
        <f t="shared" ref="D91:N91" si="20">SUM(D88:D90)</f>
        <v>258945</v>
      </c>
      <c r="E91" s="247">
        <f t="shared" si="20"/>
        <v>154509</v>
      </c>
      <c r="F91" s="247">
        <f t="shared" si="20"/>
        <v>18040</v>
      </c>
      <c r="G91" s="247">
        <f t="shared" si="20"/>
        <v>14979</v>
      </c>
      <c r="H91" s="247">
        <f t="shared" si="20"/>
        <v>15171</v>
      </c>
      <c r="I91" s="247">
        <f t="shared" si="20"/>
        <v>16601</v>
      </c>
      <c r="J91" s="247">
        <f t="shared" si="20"/>
        <v>13282</v>
      </c>
      <c r="K91" s="247">
        <f t="shared" si="20"/>
        <v>45332</v>
      </c>
      <c r="L91" s="247">
        <f t="shared" si="20"/>
        <v>199557</v>
      </c>
      <c r="M91" s="247">
        <f t="shared" si="20"/>
        <v>211183</v>
      </c>
      <c r="N91" s="247">
        <f t="shared" si="20"/>
        <v>278890</v>
      </c>
      <c r="O91" s="247">
        <f t="shared" si="18"/>
        <v>1515972</v>
      </c>
    </row>
    <row r="92" spans="1:15" x14ac:dyDescent="0.2">
      <c r="A92" s="240">
        <v>9</v>
      </c>
      <c r="B92" s="219" t="s">
        <v>1202</v>
      </c>
    </row>
    <row r="93" spans="1:15" x14ac:dyDescent="0.2">
      <c r="A93" s="240" t="s">
        <v>1223</v>
      </c>
      <c r="B93" s="220" t="s">
        <v>1188</v>
      </c>
      <c r="C93" s="270">
        <v>1600</v>
      </c>
      <c r="D93" s="270">
        <v>1600</v>
      </c>
      <c r="E93" s="270">
        <v>1600</v>
      </c>
      <c r="F93" s="270">
        <v>1600</v>
      </c>
      <c r="G93" s="270">
        <v>1600</v>
      </c>
      <c r="H93" s="270">
        <v>1623</v>
      </c>
      <c r="I93" s="270">
        <v>1623</v>
      </c>
      <c r="J93" s="270">
        <v>1600</v>
      </c>
      <c r="K93" s="270">
        <v>1600</v>
      </c>
      <c r="L93" s="270">
        <v>1600</v>
      </c>
      <c r="M93" s="270">
        <v>1600</v>
      </c>
      <c r="N93" s="270">
        <v>1600</v>
      </c>
      <c r="O93" s="270">
        <f t="shared" si="14"/>
        <v>19246</v>
      </c>
    </row>
    <row r="94" spans="1:15" x14ac:dyDescent="0.2">
      <c r="B94" s="220" t="s">
        <v>1213</v>
      </c>
      <c r="C94" s="270">
        <v>0</v>
      </c>
      <c r="D94" s="270">
        <v>0</v>
      </c>
      <c r="E94" s="270">
        <v>0</v>
      </c>
      <c r="F94" s="270">
        <v>0</v>
      </c>
      <c r="G94" s="270">
        <v>0</v>
      </c>
      <c r="H94" s="270">
        <v>0</v>
      </c>
      <c r="I94" s="270">
        <v>0</v>
      </c>
      <c r="J94" s="270">
        <v>0</v>
      </c>
      <c r="K94" s="270">
        <v>0</v>
      </c>
      <c r="L94" s="270">
        <v>0</v>
      </c>
      <c r="M94" s="270">
        <v>0</v>
      </c>
      <c r="N94" s="270">
        <v>0</v>
      </c>
      <c r="O94" s="270">
        <f t="shared" si="14"/>
        <v>0</v>
      </c>
    </row>
    <row r="95" spans="1:15" x14ac:dyDescent="0.2">
      <c r="B95" s="220" t="s">
        <v>1214</v>
      </c>
      <c r="C95" s="270">
        <v>0</v>
      </c>
      <c r="D95" s="270">
        <v>0</v>
      </c>
      <c r="E95" s="270">
        <v>0</v>
      </c>
      <c r="F95" s="270">
        <v>0</v>
      </c>
      <c r="G95" s="270">
        <v>0</v>
      </c>
      <c r="H95" s="270">
        <v>0</v>
      </c>
      <c r="I95" s="270">
        <v>0</v>
      </c>
      <c r="J95" s="270">
        <v>0</v>
      </c>
      <c r="K95" s="270">
        <v>0</v>
      </c>
      <c r="L95" s="270">
        <v>0</v>
      </c>
      <c r="M95" s="270">
        <v>0</v>
      </c>
      <c r="N95" s="270">
        <v>0</v>
      </c>
      <c r="O95" s="270">
        <f t="shared" si="14"/>
        <v>0</v>
      </c>
    </row>
    <row r="96" spans="1:15" x14ac:dyDescent="0.2">
      <c r="B96" s="220" t="s">
        <v>1215</v>
      </c>
      <c r="C96" s="270">
        <v>0</v>
      </c>
      <c r="D96" s="270">
        <v>0</v>
      </c>
      <c r="E96" s="270">
        <v>0</v>
      </c>
      <c r="F96" s="270">
        <v>0</v>
      </c>
      <c r="G96" s="270">
        <v>0</v>
      </c>
      <c r="H96" s="270">
        <v>0</v>
      </c>
      <c r="I96" s="270">
        <v>0</v>
      </c>
      <c r="J96" s="270">
        <v>0</v>
      </c>
      <c r="K96" s="270">
        <v>0</v>
      </c>
      <c r="L96" s="270">
        <v>0</v>
      </c>
      <c r="M96" s="270">
        <v>0</v>
      </c>
      <c r="N96" s="270">
        <v>0</v>
      </c>
      <c r="O96" s="270">
        <f t="shared" si="14"/>
        <v>0</v>
      </c>
    </row>
    <row r="97" spans="1:15" x14ac:dyDescent="0.2">
      <c r="B97" s="220" t="s">
        <v>1216</v>
      </c>
      <c r="C97" s="270">
        <v>741543</v>
      </c>
      <c r="D97" s="270">
        <v>662834</v>
      </c>
      <c r="E97" s="270">
        <v>660723</v>
      </c>
      <c r="F97" s="270">
        <v>709537</v>
      </c>
      <c r="G97" s="270">
        <v>885148</v>
      </c>
      <c r="H97" s="270">
        <v>896522</v>
      </c>
      <c r="I97" s="270">
        <v>1075112</v>
      </c>
      <c r="J97" s="270">
        <v>1084126</v>
      </c>
      <c r="K97" s="270">
        <v>949903</v>
      </c>
      <c r="L97" s="270">
        <v>809726</v>
      </c>
      <c r="M97" s="270">
        <v>660290</v>
      </c>
      <c r="N97" s="270">
        <v>703090</v>
      </c>
      <c r="O97" s="270">
        <f t="shared" si="14"/>
        <v>9838554</v>
      </c>
    </row>
    <row r="98" spans="1:15" x14ac:dyDescent="0.2">
      <c r="B98" s="220" t="s">
        <v>1217</v>
      </c>
      <c r="C98" s="270">
        <v>0</v>
      </c>
      <c r="D98" s="270"/>
      <c r="E98" s="270">
        <v>0</v>
      </c>
      <c r="F98" s="270">
        <v>0</v>
      </c>
      <c r="G98" s="270">
        <v>0</v>
      </c>
      <c r="H98" s="270">
        <v>0</v>
      </c>
      <c r="I98" s="270">
        <v>0</v>
      </c>
      <c r="J98" s="270">
        <v>0</v>
      </c>
      <c r="K98" s="270">
        <v>0</v>
      </c>
      <c r="L98" s="270">
        <v>0</v>
      </c>
      <c r="M98" s="270">
        <v>0</v>
      </c>
      <c r="N98" s="270">
        <v>0</v>
      </c>
      <c r="O98" s="270">
        <f t="shared" si="14"/>
        <v>0</v>
      </c>
    </row>
    <row r="99" spans="1:15" x14ac:dyDescent="0.2">
      <c r="B99" s="220" t="s">
        <v>1218</v>
      </c>
      <c r="C99" s="270">
        <v>0</v>
      </c>
      <c r="D99" s="270">
        <v>0</v>
      </c>
      <c r="E99" s="270">
        <v>0</v>
      </c>
      <c r="F99" s="270">
        <v>0</v>
      </c>
      <c r="G99" s="270">
        <v>0</v>
      </c>
      <c r="H99" s="270">
        <v>0</v>
      </c>
      <c r="I99" s="270">
        <v>0</v>
      </c>
      <c r="J99" s="270">
        <v>0</v>
      </c>
      <c r="K99" s="270">
        <v>0</v>
      </c>
      <c r="L99" s="270">
        <v>0</v>
      </c>
      <c r="M99" s="270">
        <v>0</v>
      </c>
      <c r="N99" s="270">
        <v>0</v>
      </c>
      <c r="O99" s="270">
        <f t="shared" si="14"/>
        <v>0</v>
      </c>
    </row>
    <row r="100" spans="1:15" x14ac:dyDescent="0.2">
      <c r="B100" s="220" t="s">
        <v>1189</v>
      </c>
      <c r="C100" s="233">
        <v>11984</v>
      </c>
      <c r="D100" s="233">
        <v>11984</v>
      </c>
      <c r="E100" s="233">
        <v>11984</v>
      </c>
      <c r="F100" s="233">
        <v>11984</v>
      </c>
      <c r="G100" s="233">
        <v>11984</v>
      </c>
      <c r="H100" s="233">
        <v>12156</v>
      </c>
      <c r="I100" s="233">
        <v>12156</v>
      </c>
      <c r="J100" s="233">
        <v>11984</v>
      </c>
      <c r="K100" s="233">
        <v>11984</v>
      </c>
      <c r="L100" s="233">
        <v>11984</v>
      </c>
      <c r="M100" s="233">
        <v>11984</v>
      </c>
      <c r="N100" s="233">
        <v>11984</v>
      </c>
      <c r="O100" s="233">
        <f t="shared" si="14"/>
        <v>144152</v>
      </c>
    </row>
    <row r="101" spans="1:15" x14ac:dyDescent="0.2">
      <c r="B101" s="220" t="s">
        <v>1190</v>
      </c>
      <c r="C101" s="233">
        <v>29576</v>
      </c>
      <c r="D101" s="233">
        <v>26436</v>
      </c>
      <c r="E101" s="233">
        <v>26352</v>
      </c>
      <c r="F101" s="233">
        <v>28299</v>
      </c>
      <c r="G101" s="233">
        <v>35303</v>
      </c>
      <c r="H101" s="233">
        <v>35757</v>
      </c>
      <c r="I101" s="233">
        <v>42880</v>
      </c>
      <c r="J101" s="233">
        <v>43239</v>
      </c>
      <c r="K101" s="233">
        <v>37886</v>
      </c>
      <c r="L101" s="233">
        <v>32295</v>
      </c>
      <c r="M101" s="233">
        <v>26335</v>
      </c>
      <c r="N101" s="233">
        <v>28042</v>
      </c>
      <c r="O101" s="233">
        <f t="shared" si="14"/>
        <v>392400</v>
      </c>
    </row>
    <row r="102" spans="1:15" x14ac:dyDescent="0.2">
      <c r="B102" s="220" t="s">
        <v>1191</v>
      </c>
      <c r="C102" s="233">
        <v>6422</v>
      </c>
      <c r="D102" s="233">
        <v>9750</v>
      </c>
      <c r="E102" s="233">
        <v>7109</v>
      </c>
      <c r="F102" s="233">
        <v>1774</v>
      </c>
      <c r="G102" s="233">
        <v>7789</v>
      </c>
      <c r="H102" s="233">
        <v>4106</v>
      </c>
      <c r="I102" s="233">
        <v>7354</v>
      </c>
      <c r="J102" s="233">
        <v>12110</v>
      </c>
      <c r="K102" s="233">
        <v>9831</v>
      </c>
      <c r="L102" s="233">
        <v>8972</v>
      </c>
      <c r="M102" s="233">
        <v>5322</v>
      </c>
      <c r="N102" s="233">
        <v>4444</v>
      </c>
      <c r="O102" s="233">
        <f t="shared" si="14"/>
        <v>84983</v>
      </c>
    </row>
    <row r="103" spans="1:15" x14ac:dyDescent="0.2">
      <c r="B103" s="220" t="s">
        <v>1192</v>
      </c>
      <c r="C103" s="233">
        <v>7955</v>
      </c>
      <c r="D103" s="233">
        <v>7380</v>
      </c>
      <c r="E103" s="233">
        <v>4917</v>
      </c>
      <c r="F103" s="233">
        <v>6208</v>
      </c>
      <c r="G103" s="233">
        <v>9804</v>
      </c>
      <c r="H103" s="233">
        <v>9728</v>
      </c>
      <c r="I103" s="233">
        <v>12079</v>
      </c>
      <c r="J103" s="233">
        <v>13056</v>
      </c>
      <c r="K103" s="233">
        <v>9045</v>
      </c>
      <c r="L103" s="233">
        <v>7876</v>
      </c>
      <c r="M103" s="233">
        <v>7624</v>
      </c>
      <c r="N103" s="233">
        <v>7982</v>
      </c>
      <c r="O103" s="233">
        <f t="shared" si="14"/>
        <v>103654</v>
      </c>
    </row>
    <row r="104" spans="1:15" x14ac:dyDescent="0.2">
      <c r="B104" s="220" t="s">
        <v>1193</v>
      </c>
      <c r="C104" s="291">
        <f t="shared" ref="C104:N104" si="21">SUM(C100:C103)</f>
        <v>55937</v>
      </c>
      <c r="D104" s="291">
        <f t="shared" si="21"/>
        <v>55550</v>
      </c>
      <c r="E104" s="291">
        <f t="shared" si="21"/>
        <v>50362</v>
      </c>
      <c r="F104" s="291">
        <f t="shared" si="21"/>
        <v>48265</v>
      </c>
      <c r="G104" s="291">
        <f t="shared" si="21"/>
        <v>64880</v>
      </c>
      <c r="H104" s="291">
        <f t="shared" si="21"/>
        <v>61747</v>
      </c>
      <c r="I104" s="291">
        <f t="shared" si="21"/>
        <v>74469</v>
      </c>
      <c r="J104" s="291">
        <f t="shared" si="21"/>
        <v>80389</v>
      </c>
      <c r="K104" s="291">
        <f t="shared" si="21"/>
        <v>68746</v>
      </c>
      <c r="L104" s="291">
        <f t="shared" si="21"/>
        <v>61127</v>
      </c>
      <c r="M104" s="291">
        <f t="shared" si="21"/>
        <v>51265</v>
      </c>
      <c r="N104" s="291">
        <f t="shared" si="21"/>
        <v>52452</v>
      </c>
      <c r="O104" s="291">
        <f t="shared" si="14"/>
        <v>725189</v>
      </c>
    </row>
    <row r="105" spans="1:15" x14ac:dyDescent="0.2">
      <c r="A105" s="240">
        <v>11</v>
      </c>
      <c r="B105" s="219" t="s">
        <v>1205</v>
      </c>
    </row>
    <row r="106" spans="1:15" x14ac:dyDescent="0.2">
      <c r="A106" s="240" t="s">
        <v>1225</v>
      </c>
      <c r="B106" s="220" t="s">
        <v>1188</v>
      </c>
      <c r="C106" s="270">
        <v>913</v>
      </c>
      <c r="D106" s="270">
        <v>847</v>
      </c>
      <c r="E106" s="270">
        <v>800</v>
      </c>
      <c r="F106" s="270">
        <v>800</v>
      </c>
      <c r="G106" s="270">
        <v>800</v>
      </c>
      <c r="H106" s="270">
        <v>800</v>
      </c>
      <c r="I106" s="270">
        <v>800</v>
      </c>
      <c r="J106" s="270">
        <v>800</v>
      </c>
      <c r="K106" s="270">
        <v>800</v>
      </c>
      <c r="L106" s="270">
        <v>800</v>
      </c>
      <c r="M106" s="270">
        <v>800</v>
      </c>
      <c r="N106" s="270">
        <v>800</v>
      </c>
      <c r="O106" s="270">
        <f t="shared" si="14"/>
        <v>9760</v>
      </c>
    </row>
    <row r="107" spans="1:15" x14ac:dyDescent="0.2">
      <c r="B107" s="220" t="s">
        <v>1213</v>
      </c>
      <c r="C107" s="270">
        <v>0</v>
      </c>
      <c r="D107" s="270">
        <v>0</v>
      </c>
      <c r="E107" s="270">
        <v>0</v>
      </c>
      <c r="F107" s="270">
        <v>0</v>
      </c>
      <c r="G107" s="270">
        <v>0</v>
      </c>
      <c r="H107" s="270">
        <v>0</v>
      </c>
      <c r="I107" s="270">
        <v>0</v>
      </c>
      <c r="J107" s="270">
        <v>0</v>
      </c>
      <c r="K107" s="270">
        <v>0</v>
      </c>
      <c r="L107" s="270">
        <v>0</v>
      </c>
      <c r="M107" s="270">
        <v>0</v>
      </c>
      <c r="N107" s="270">
        <v>0</v>
      </c>
      <c r="O107" s="270">
        <f t="shared" si="14"/>
        <v>0</v>
      </c>
    </row>
    <row r="108" spans="1:15" x14ac:dyDescent="0.2">
      <c r="B108" s="220" t="s">
        <v>1214</v>
      </c>
      <c r="C108" s="270">
        <v>0</v>
      </c>
      <c r="D108" s="270">
        <v>0</v>
      </c>
      <c r="E108" s="270">
        <v>0</v>
      </c>
      <c r="F108" s="270">
        <v>0</v>
      </c>
      <c r="G108" s="270">
        <v>0</v>
      </c>
      <c r="H108" s="270">
        <v>0</v>
      </c>
      <c r="I108" s="270">
        <v>0</v>
      </c>
      <c r="J108" s="270">
        <v>0</v>
      </c>
      <c r="K108" s="270">
        <v>0</v>
      </c>
      <c r="L108" s="270">
        <v>0</v>
      </c>
      <c r="M108" s="270">
        <v>0</v>
      </c>
      <c r="N108" s="270">
        <v>0</v>
      </c>
      <c r="O108" s="270">
        <f t="shared" si="14"/>
        <v>0</v>
      </c>
    </row>
    <row r="109" spans="1:15" x14ac:dyDescent="0.2">
      <c r="B109" s="220" t="s">
        <v>1215</v>
      </c>
      <c r="C109" s="270">
        <v>0</v>
      </c>
      <c r="D109" s="270">
        <v>0</v>
      </c>
      <c r="E109" s="270">
        <v>0</v>
      </c>
      <c r="F109" s="270">
        <v>0</v>
      </c>
      <c r="G109" s="270">
        <v>0</v>
      </c>
      <c r="H109" s="270">
        <v>0</v>
      </c>
      <c r="I109" s="270">
        <v>0</v>
      </c>
      <c r="J109" s="270">
        <v>0</v>
      </c>
      <c r="K109" s="270">
        <v>0</v>
      </c>
      <c r="L109" s="270">
        <v>0</v>
      </c>
      <c r="M109" s="270">
        <v>0</v>
      </c>
      <c r="N109" s="270">
        <v>0</v>
      </c>
      <c r="O109" s="270">
        <f t="shared" si="14"/>
        <v>0</v>
      </c>
    </row>
    <row r="110" spans="1:15" x14ac:dyDescent="0.2">
      <c r="B110" s="220" t="s">
        <v>1216</v>
      </c>
      <c r="C110" s="270">
        <v>425736</v>
      </c>
      <c r="D110" s="270">
        <v>321254</v>
      </c>
      <c r="E110" s="270">
        <v>320000</v>
      </c>
      <c r="F110" s="270">
        <v>320000</v>
      </c>
      <c r="G110" s="270">
        <v>323826</v>
      </c>
      <c r="H110" s="270">
        <v>330608</v>
      </c>
      <c r="I110" s="270">
        <v>381851</v>
      </c>
      <c r="J110" s="270">
        <v>368712</v>
      </c>
      <c r="K110" s="270">
        <v>320000</v>
      </c>
      <c r="L110" s="270">
        <v>320000</v>
      </c>
      <c r="M110" s="270">
        <v>320000</v>
      </c>
      <c r="N110" s="270">
        <v>369839</v>
      </c>
      <c r="O110" s="270">
        <f t="shared" ref="O110:O178" si="22">SUM(C110:N110)</f>
        <v>4121826</v>
      </c>
    </row>
    <row r="111" spans="1:15" x14ac:dyDescent="0.2">
      <c r="B111" s="220" t="s">
        <v>1217</v>
      </c>
      <c r="C111" s="270">
        <v>0</v>
      </c>
      <c r="D111" s="270">
        <v>0</v>
      </c>
      <c r="E111" s="270">
        <v>0</v>
      </c>
      <c r="F111" s="270">
        <v>0</v>
      </c>
      <c r="G111" s="270">
        <v>0</v>
      </c>
      <c r="H111" s="270">
        <v>0</v>
      </c>
      <c r="I111" s="270">
        <v>0</v>
      </c>
      <c r="J111" s="270">
        <v>0</v>
      </c>
      <c r="K111" s="270">
        <v>0</v>
      </c>
      <c r="L111" s="270">
        <v>0</v>
      </c>
      <c r="M111" s="270">
        <v>0</v>
      </c>
      <c r="N111" s="270">
        <v>0</v>
      </c>
      <c r="O111" s="270">
        <f t="shared" si="22"/>
        <v>0</v>
      </c>
    </row>
    <row r="112" spans="1:15" x14ac:dyDescent="0.2">
      <c r="B112" s="220" t="s">
        <v>1218</v>
      </c>
      <c r="C112" s="270">
        <v>0</v>
      </c>
      <c r="D112" s="270">
        <v>0</v>
      </c>
      <c r="E112" s="270">
        <v>0</v>
      </c>
      <c r="F112" s="270">
        <v>0</v>
      </c>
      <c r="G112" s="270">
        <v>0</v>
      </c>
      <c r="H112" s="270">
        <v>0</v>
      </c>
      <c r="I112" s="270">
        <v>0</v>
      </c>
      <c r="J112" s="270">
        <v>0</v>
      </c>
      <c r="K112" s="270">
        <v>0</v>
      </c>
      <c r="L112" s="270">
        <v>0</v>
      </c>
      <c r="M112" s="270">
        <v>0</v>
      </c>
      <c r="N112" s="270">
        <v>0</v>
      </c>
      <c r="O112" s="270">
        <f t="shared" si="22"/>
        <v>0</v>
      </c>
    </row>
    <row r="113" spans="1:15" x14ac:dyDescent="0.2">
      <c r="B113" s="220" t="s">
        <v>1189</v>
      </c>
      <c r="C113" s="233">
        <v>7120</v>
      </c>
      <c r="D113" s="233">
        <v>6461</v>
      </c>
      <c r="E113" s="233">
        <v>5992</v>
      </c>
      <c r="F113" s="233">
        <v>5992</v>
      </c>
      <c r="G113" s="233">
        <v>5992</v>
      </c>
      <c r="H113" s="233">
        <v>5992</v>
      </c>
      <c r="I113" s="233">
        <v>5992</v>
      </c>
      <c r="J113" s="233">
        <v>5992</v>
      </c>
      <c r="K113" s="233">
        <v>5992</v>
      </c>
      <c r="L113" s="233">
        <v>5992</v>
      </c>
      <c r="M113" s="233">
        <v>5992</v>
      </c>
      <c r="N113" s="233">
        <v>5992</v>
      </c>
      <c r="O113" s="233">
        <f t="shared" si="22"/>
        <v>73501</v>
      </c>
    </row>
    <row r="114" spans="1:15" x14ac:dyDescent="0.2">
      <c r="B114" s="220" t="s">
        <v>1190</v>
      </c>
      <c r="C114" s="233">
        <v>16980</v>
      </c>
      <c r="D114" s="233">
        <v>12813</v>
      </c>
      <c r="E114" s="233">
        <v>12531</v>
      </c>
      <c r="F114" s="233">
        <v>12085</v>
      </c>
      <c r="G114" s="233">
        <v>12915</v>
      </c>
      <c r="H114" s="233">
        <v>13186</v>
      </c>
      <c r="I114" s="233">
        <v>15230</v>
      </c>
      <c r="J114" s="233">
        <v>14706</v>
      </c>
      <c r="K114" s="233">
        <v>12762</v>
      </c>
      <c r="L114" s="233">
        <v>12144</v>
      </c>
      <c r="M114" s="233">
        <v>12524</v>
      </c>
      <c r="N114" s="233">
        <v>14751</v>
      </c>
      <c r="O114" s="233">
        <f t="shared" si="22"/>
        <v>162627</v>
      </c>
    </row>
    <row r="115" spans="1:15" x14ac:dyDescent="0.2">
      <c r="B115" s="220" t="s">
        <v>1191</v>
      </c>
      <c r="C115" s="233">
        <v>3687</v>
      </c>
      <c r="D115" s="233">
        <v>4726</v>
      </c>
      <c r="E115" s="233">
        <v>3348</v>
      </c>
      <c r="F115" s="233">
        <v>735</v>
      </c>
      <c r="G115" s="233">
        <v>2850</v>
      </c>
      <c r="H115" s="233">
        <v>1514</v>
      </c>
      <c r="I115" s="233">
        <v>2612</v>
      </c>
      <c r="J115" s="233">
        <v>4119</v>
      </c>
      <c r="K115" s="233">
        <v>3312</v>
      </c>
      <c r="L115" s="233">
        <v>3284</v>
      </c>
      <c r="M115" s="233">
        <v>2506</v>
      </c>
      <c r="N115" s="233">
        <v>2337</v>
      </c>
      <c r="O115" s="233">
        <f t="shared" si="22"/>
        <v>35030</v>
      </c>
    </row>
    <row r="116" spans="1:15" x14ac:dyDescent="0.2">
      <c r="B116" s="220" t="s">
        <v>1192</v>
      </c>
      <c r="C116" s="233">
        <v>4607</v>
      </c>
      <c r="D116" s="233">
        <v>3677</v>
      </c>
      <c r="E116" s="233">
        <v>2366</v>
      </c>
      <c r="F116" s="233">
        <v>2777</v>
      </c>
      <c r="G116" s="233">
        <v>3873</v>
      </c>
      <c r="H116" s="233">
        <v>3869</v>
      </c>
      <c r="I116" s="233">
        <v>4614</v>
      </c>
      <c r="J116" s="233">
        <v>4812</v>
      </c>
      <c r="K116" s="233">
        <v>3343</v>
      </c>
      <c r="L116" s="233">
        <v>3168</v>
      </c>
      <c r="M116" s="233">
        <v>3673</v>
      </c>
      <c r="N116" s="233">
        <v>4143</v>
      </c>
      <c r="O116" s="233">
        <f t="shared" si="22"/>
        <v>44922</v>
      </c>
    </row>
    <row r="117" spans="1:15" x14ac:dyDescent="0.2">
      <c r="B117" s="220" t="s">
        <v>1193</v>
      </c>
      <c r="C117" s="291">
        <f t="shared" ref="C117:N117" si="23">SUM(C113:C116)</f>
        <v>32394</v>
      </c>
      <c r="D117" s="291">
        <f t="shared" si="23"/>
        <v>27677</v>
      </c>
      <c r="E117" s="291">
        <f t="shared" si="23"/>
        <v>24237</v>
      </c>
      <c r="F117" s="291">
        <f t="shared" si="23"/>
        <v>21589</v>
      </c>
      <c r="G117" s="291">
        <f t="shared" si="23"/>
        <v>25630</v>
      </c>
      <c r="H117" s="291">
        <f t="shared" si="23"/>
        <v>24561</v>
      </c>
      <c r="I117" s="291">
        <f t="shared" si="23"/>
        <v>28448</v>
      </c>
      <c r="J117" s="291">
        <f t="shared" si="23"/>
        <v>29629</v>
      </c>
      <c r="K117" s="291">
        <f t="shared" si="23"/>
        <v>25409</v>
      </c>
      <c r="L117" s="291">
        <f t="shared" si="23"/>
        <v>24588</v>
      </c>
      <c r="M117" s="291">
        <f t="shared" si="23"/>
        <v>24695</v>
      </c>
      <c r="N117" s="291">
        <f t="shared" si="23"/>
        <v>27223</v>
      </c>
      <c r="O117" s="291">
        <f t="shared" si="22"/>
        <v>316080</v>
      </c>
    </row>
    <row r="118" spans="1:15" x14ac:dyDescent="0.2">
      <c r="A118" s="240">
        <v>11</v>
      </c>
      <c r="B118" s="219" t="s">
        <v>1206</v>
      </c>
    </row>
    <row r="119" spans="1:15" x14ac:dyDescent="0.2">
      <c r="A119" s="240" t="s">
        <v>1225</v>
      </c>
      <c r="B119" s="220" t="s">
        <v>1188</v>
      </c>
      <c r="C119" s="270">
        <v>2270</v>
      </c>
      <c r="D119" s="270">
        <v>2270</v>
      </c>
      <c r="E119" s="270">
        <v>2270</v>
      </c>
      <c r="F119" s="270">
        <v>2270</v>
      </c>
      <c r="G119" s="270">
        <v>2270</v>
      </c>
      <c r="H119" s="270">
        <v>2270</v>
      </c>
      <c r="I119" s="270">
        <v>2270</v>
      </c>
      <c r="J119" s="270">
        <v>2270</v>
      </c>
      <c r="K119" s="270">
        <v>2270</v>
      </c>
      <c r="L119" s="270">
        <v>2270</v>
      </c>
      <c r="M119" s="270">
        <v>2270</v>
      </c>
      <c r="N119" s="270">
        <v>2270</v>
      </c>
      <c r="O119" s="270">
        <f t="shared" si="22"/>
        <v>27240</v>
      </c>
    </row>
    <row r="120" spans="1:15" x14ac:dyDescent="0.2">
      <c r="B120" s="220" t="s">
        <v>1213</v>
      </c>
      <c r="C120" s="270">
        <v>0</v>
      </c>
      <c r="D120" s="270">
        <v>0</v>
      </c>
      <c r="E120" s="270">
        <v>0</v>
      </c>
      <c r="F120" s="270">
        <v>0</v>
      </c>
      <c r="G120" s="270">
        <v>0</v>
      </c>
      <c r="H120" s="270">
        <v>0</v>
      </c>
      <c r="I120" s="270">
        <v>0</v>
      </c>
      <c r="J120" s="270">
        <v>0</v>
      </c>
      <c r="K120" s="270">
        <v>0</v>
      </c>
      <c r="L120" s="270">
        <v>0</v>
      </c>
      <c r="M120" s="270">
        <v>0</v>
      </c>
      <c r="N120" s="270">
        <v>0</v>
      </c>
      <c r="O120" s="270">
        <f t="shared" si="22"/>
        <v>0</v>
      </c>
    </row>
    <row r="121" spans="1:15" x14ac:dyDescent="0.2">
      <c r="B121" s="220" t="s">
        <v>1214</v>
      </c>
      <c r="C121" s="270">
        <v>0</v>
      </c>
      <c r="D121" s="270">
        <v>0</v>
      </c>
      <c r="E121" s="270">
        <v>0</v>
      </c>
      <c r="F121" s="270">
        <v>0</v>
      </c>
      <c r="G121" s="270">
        <v>0</v>
      </c>
      <c r="H121" s="270">
        <v>0</v>
      </c>
      <c r="I121" s="270">
        <v>0</v>
      </c>
      <c r="J121" s="270">
        <v>0</v>
      </c>
      <c r="K121" s="270">
        <v>0</v>
      </c>
      <c r="L121" s="270">
        <v>0</v>
      </c>
      <c r="M121" s="270">
        <v>0</v>
      </c>
      <c r="N121" s="270">
        <v>0</v>
      </c>
      <c r="O121" s="270">
        <f t="shared" si="22"/>
        <v>0</v>
      </c>
    </row>
    <row r="122" spans="1:15" x14ac:dyDescent="0.2">
      <c r="B122" s="220" t="s">
        <v>1215</v>
      </c>
      <c r="C122" s="270">
        <v>0</v>
      </c>
      <c r="D122" s="270">
        <v>0</v>
      </c>
      <c r="E122" s="270">
        <v>0</v>
      </c>
      <c r="F122" s="270">
        <v>0</v>
      </c>
      <c r="G122" s="270">
        <v>0</v>
      </c>
      <c r="H122" s="270">
        <v>0</v>
      </c>
      <c r="I122" s="270">
        <v>0</v>
      </c>
      <c r="J122" s="270">
        <v>0</v>
      </c>
      <c r="K122" s="270">
        <v>0</v>
      </c>
      <c r="L122" s="270">
        <v>0</v>
      </c>
      <c r="M122" s="270">
        <v>0</v>
      </c>
      <c r="N122" s="270">
        <v>0</v>
      </c>
      <c r="O122" s="270">
        <f t="shared" si="22"/>
        <v>0</v>
      </c>
    </row>
    <row r="123" spans="1:15" x14ac:dyDescent="0.2">
      <c r="B123" s="220" t="s">
        <v>1216</v>
      </c>
      <c r="C123" s="270">
        <v>934621</v>
      </c>
      <c r="D123" s="270">
        <v>951475</v>
      </c>
      <c r="E123" s="270">
        <v>908000</v>
      </c>
      <c r="F123" s="270">
        <v>908000</v>
      </c>
      <c r="G123" s="270">
        <v>908000</v>
      </c>
      <c r="H123" s="270">
        <v>908000</v>
      </c>
      <c r="I123" s="270">
        <v>908000</v>
      </c>
      <c r="J123" s="270">
        <v>973640</v>
      </c>
      <c r="K123" s="270">
        <v>908000</v>
      </c>
      <c r="L123" s="270">
        <v>1010746</v>
      </c>
      <c r="M123" s="270">
        <v>908000</v>
      </c>
      <c r="N123" s="270">
        <v>908000</v>
      </c>
      <c r="O123" s="270">
        <f t="shared" si="22"/>
        <v>11134482</v>
      </c>
    </row>
    <row r="124" spans="1:15" x14ac:dyDescent="0.2">
      <c r="B124" s="220" t="s">
        <v>1217</v>
      </c>
      <c r="C124" s="270">
        <v>0</v>
      </c>
      <c r="D124" s="270">
        <v>0</v>
      </c>
      <c r="E124" s="270">
        <v>0</v>
      </c>
      <c r="F124" s="270">
        <v>0</v>
      </c>
      <c r="G124" s="270">
        <v>0</v>
      </c>
      <c r="H124" s="270">
        <v>0</v>
      </c>
      <c r="I124" s="270">
        <v>0</v>
      </c>
      <c r="J124" s="270">
        <v>0</v>
      </c>
      <c r="K124" s="270">
        <v>0</v>
      </c>
      <c r="L124" s="270">
        <v>0</v>
      </c>
      <c r="M124" s="270">
        <v>0</v>
      </c>
      <c r="N124" s="270">
        <v>0</v>
      </c>
      <c r="O124" s="270">
        <f t="shared" si="22"/>
        <v>0</v>
      </c>
    </row>
    <row r="125" spans="1:15" x14ac:dyDescent="0.2">
      <c r="B125" s="220" t="s">
        <v>1218</v>
      </c>
      <c r="C125" s="270">
        <v>0</v>
      </c>
      <c r="D125" s="270">
        <v>0</v>
      </c>
      <c r="E125" s="270">
        <v>0</v>
      </c>
      <c r="F125" s="270">
        <v>0</v>
      </c>
      <c r="G125" s="270">
        <v>0</v>
      </c>
      <c r="H125" s="270">
        <v>0</v>
      </c>
      <c r="I125" s="270">
        <v>0</v>
      </c>
      <c r="J125" s="270">
        <v>0</v>
      </c>
      <c r="K125" s="270">
        <v>0</v>
      </c>
      <c r="L125" s="270">
        <v>0</v>
      </c>
      <c r="M125" s="270">
        <v>0</v>
      </c>
      <c r="N125" s="270">
        <v>0</v>
      </c>
      <c r="O125" s="270">
        <f t="shared" si="22"/>
        <v>0</v>
      </c>
    </row>
    <row r="126" spans="1:15" x14ac:dyDescent="0.2">
      <c r="B126" s="220" t="s">
        <v>1189</v>
      </c>
      <c r="C126" s="233">
        <v>17002</v>
      </c>
      <c r="D126" s="233">
        <v>17002</v>
      </c>
      <c r="E126" s="233">
        <v>17002</v>
      </c>
      <c r="F126" s="233">
        <v>17002</v>
      </c>
      <c r="G126" s="233">
        <v>17002</v>
      </c>
      <c r="H126" s="233">
        <v>17002</v>
      </c>
      <c r="I126" s="233">
        <v>17002</v>
      </c>
      <c r="J126" s="233">
        <v>17002</v>
      </c>
      <c r="K126" s="233">
        <v>17002</v>
      </c>
      <c r="L126" s="233">
        <v>17002</v>
      </c>
      <c r="M126" s="233">
        <v>17002</v>
      </c>
      <c r="N126" s="233">
        <v>17002</v>
      </c>
      <c r="O126" s="233">
        <f t="shared" si="22"/>
        <v>204024</v>
      </c>
    </row>
    <row r="127" spans="1:15" x14ac:dyDescent="0.2">
      <c r="B127" s="220" t="s">
        <v>1190</v>
      </c>
      <c r="C127" s="233">
        <v>37276</v>
      </c>
      <c r="D127" s="233">
        <v>37949</v>
      </c>
      <c r="E127" s="233">
        <v>35784</v>
      </c>
      <c r="F127" s="233">
        <v>35117</v>
      </c>
      <c r="G127" s="233">
        <v>33508</v>
      </c>
      <c r="H127" s="233">
        <v>36192</v>
      </c>
      <c r="I127" s="233">
        <v>34482</v>
      </c>
      <c r="J127" s="233">
        <v>38833</v>
      </c>
      <c r="K127" s="233">
        <v>34510</v>
      </c>
      <c r="L127" s="233">
        <v>40313</v>
      </c>
      <c r="M127" s="233">
        <v>35418</v>
      </c>
      <c r="N127" s="233">
        <v>35016</v>
      </c>
      <c r="O127" s="233">
        <f t="shared" si="22"/>
        <v>434398</v>
      </c>
    </row>
    <row r="128" spans="1:15" x14ac:dyDescent="0.2">
      <c r="B128" s="220" t="s">
        <v>1191</v>
      </c>
      <c r="C128" s="233">
        <v>8094</v>
      </c>
      <c r="D128" s="233">
        <v>13996</v>
      </c>
      <c r="E128" s="233">
        <v>0</v>
      </c>
      <c r="F128" s="233">
        <v>2165</v>
      </c>
      <c r="G128" s="233">
        <v>7082</v>
      </c>
      <c r="H128" s="233">
        <v>4155</v>
      </c>
      <c r="I128" s="233">
        <v>5759</v>
      </c>
      <c r="J128" s="233">
        <v>10876</v>
      </c>
      <c r="K128" s="233">
        <v>8725</v>
      </c>
      <c r="L128" s="233">
        <v>11199</v>
      </c>
      <c r="M128" s="233">
        <v>7074</v>
      </c>
      <c r="N128" s="233">
        <v>5450</v>
      </c>
      <c r="O128" s="233">
        <f t="shared" si="22"/>
        <v>84575</v>
      </c>
    </row>
    <row r="129" spans="1:15" x14ac:dyDescent="0.2">
      <c r="B129" s="220" t="s">
        <v>1192</v>
      </c>
      <c r="C129" s="233">
        <v>10341</v>
      </c>
      <c r="D129" s="233">
        <v>10563</v>
      </c>
      <c r="E129" s="233">
        <v>0</v>
      </c>
      <c r="F129" s="233">
        <v>8012</v>
      </c>
      <c r="G129" s="233">
        <v>10251</v>
      </c>
      <c r="H129" s="233">
        <v>10724</v>
      </c>
      <c r="I129" s="233">
        <v>11082</v>
      </c>
      <c r="J129" s="233">
        <v>12935</v>
      </c>
      <c r="K129" s="233">
        <v>9126</v>
      </c>
      <c r="L129" s="233">
        <v>10133</v>
      </c>
      <c r="M129" s="233">
        <v>10394</v>
      </c>
      <c r="N129" s="233">
        <v>10316</v>
      </c>
      <c r="O129" s="233">
        <f t="shared" si="22"/>
        <v>113877</v>
      </c>
    </row>
    <row r="130" spans="1:15" x14ac:dyDescent="0.2">
      <c r="B130" s="220" t="s">
        <v>1193</v>
      </c>
      <c r="C130" s="291">
        <f t="shared" ref="C130:N130" si="24">SUM(C126:C129)</f>
        <v>72713</v>
      </c>
      <c r="D130" s="291">
        <f t="shared" si="24"/>
        <v>79510</v>
      </c>
      <c r="E130" s="291">
        <f t="shared" si="24"/>
        <v>52786</v>
      </c>
      <c r="F130" s="291">
        <f t="shared" si="24"/>
        <v>62296</v>
      </c>
      <c r="G130" s="291">
        <f t="shared" si="24"/>
        <v>67843</v>
      </c>
      <c r="H130" s="291">
        <f t="shared" si="24"/>
        <v>68073</v>
      </c>
      <c r="I130" s="291">
        <f t="shared" si="24"/>
        <v>68325</v>
      </c>
      <c r="J130" s="291">
        <f t="shared" si="24"/>
        <v>79646</v>
      </c>
      <c r="K130" s="291">
        <f t="shared" si="24"/>
        <v>69363</v>
      </c>
      <c r="L130" s="291">
        <f t="shared" si="24"/>
        <v>78647</v>
      </c>
      <c r="M130" s="291">
        <f t="shared" si="24"/>
        <v>69888</v>
      </c>
      <c r="N130" s="291">
        <f t="shared" si="24"/>
        <v>67784</v>
      </c>
      <c r="O130" s="291">
        <f t="shared" si="22"/>
        <v>836874</v>
      </c>
    </row>
    <row r="131" spans="1:15" x14ac:dyDescent="0.2">
      <c r="A131" s="240">
        <v>11</v>
      </c>
      <c r="B131" s="219" t="s">
        <v>1207</v>
      </c>
    </row>
    <row r="132" spans="1:15" x14ac:dyDescent="0.2">
      <c r="A132" s="240" t="s">
        <v>1225</v>
      </c>
      <c r="B132" s="220" t="s">
        <v>1188</v>
      </c>
      <c r="C132" s="270">
        <v>1450</v>
      </c>
      <c r="D132" s="270">
        <v>1450</v>
      </c>
      <c r="E132" s="270">
        <v>1735</v>
      </c>
      <c r="F132" s="270">
        <v>1450</v>
      </c>
      <c r="G132" s="270">
        <v>1683</v>
      </c>
      <c r="H132" s="270">
        <v>1450</v>
      </c>
      <c r="I132" s="270">
        <v>1932</v>
      </c>
      <c r="J132" s="270">
        <v>1886</v>
      </c>
      <c r="K132" s="270">
        <v>1450</v>
      </c>
      <c r="L132" s="270">
        <v>1450</v>
      </c>
      <c r="M132" s="270">
        <v>1824</v>
      </c>
      <c r="N132" s="270">
        <v>1786</v>
      </c>
      <c r="O132" s="270">
        <f t="shared" si="22"/>
        <v>19546</v>
      </c>
    </row>
    <row r="133" spans="1:15" x14ac:dyDescent="0.2">
      <c r="B133" s="220" t="s">
        <v>1213</v>
      </c>
      <c r="C133" s="270">
        <v>0</v>
      </c>
      <c r="D133" s="270">
        <v>0</v>
      </c>
      <c r="E133" s="270">
        <v>0</v>
      </c>
      <c r="F133" s="270">
        <v>0</v>
      </c>
      <c r="G133" s="270">
        <v>0</v>
      </c>
      <c r="H133" s="270">
        <v>0</v>
      </c>
      <c r="I133" s="270">
        <v>0</v>
      </c>
      <c r="J133" s="270">
        <v>0</v>
      </c>
      <c r="K133" s="270">
        <v>0</v>
      </c>
      <c r="L133" s="270">
        <v>0</v>
      </c>
      <c r="M133" s="270">
        <v>0</v>
      </c>
      <c r="N133" s="270">
        <v>0</v>
      </c>
      <c r="O133" s="270">
        <f t="shared" si="22"/>
        <v>0</v>
      </c>
    </row>
    <row r="134" spans="1:15" x14ac:dyDescent="0.2">
      <c r="B134" s="220" t="s">
        <v>1214</v>
      </c>
      <c r="C134" s="270">
        <v>0</v>
      </c>
      <c r="D134" s="270">
        <v>0</v>
      </c>
      <c r="E134" s="270">
        <v>0</v>
      </c>
      <c r="F134" s="270">
        <v>0</v>
      </c>
      <c r="G134" s="270">
        <v>0</v>
      </c>
      <c r="H134" s="270">
        <v>0</v>
      </c>
      <c r="I134" s="270">
        <v>0</v>
      </c>
      <c r="J134" s="270">
        <v>0</v>
      </c>
      <c r="K134" s="270">
        <v>0</v>
      </c>
      <c r="L134" s="270">
        <v>0</v>
      </c>
      <c r="M134" s="270">
        <v>0</v>
      </c>
      <c r="N134" s="270">
        <v>0</v>
      </c>
      <c r="O134" s="270">
        <f t="shared" si="22"/>
        <v>0</v>
      </c>
    </row>
    <row r="135" spans="1:15" x14ac:dyDescent="0.2">
      <c r="B135" s="220" t="s">
        <v>1215</v>
      </c>
      <c r="C135" s="270">
        <v>0</v>
      </c>
      <c r="D135" s="270">
        <v>0</v>
      </c>
      <c r="E135" s="270">
        <v>0</v>
      </c>
      <c r="F135" s="270">
        <v>0</v>
      </c>
      <c r="G135" s="270">
        <v>0</v>
      </c>
      <c r="H135" s="270">
        <v>0</v>
      </c>
      <c r="I135" s="270">
        <v>0</v>
      </c>
      <c r="J135" s="270">
        <v>0</v>
      </c>
      <c r="K135" s="270">
        <v>0</v>
      </c>
      <c r="L135" s="270">
        <v>0</v>
      </c>
      <c r="M135" s="270">
        <v>0</v>
      </c>
      <c r="N135" s="270">
        <v>0</v>
      </c>
      <c r="O135" s="270">
        <f t="shared" si="22"/>
        <v>0</v>
      </c>
    </row>
    <row r="136" spans="1:15" x14ac:dyDescent="0.2">
      <c r="B136" s="220" t="s">
        <v>1216</v>
      </c>
      <c r="C136" s="270">
        <v>791550</v>
      </c>
      <c r="D136" s="270">
        <v>732721</v>
      </c>
      <c r="E136" s="270">
        <v>906723</v>
      </c>
      <c r="F136" s="270">
        <v>847867</v>
      </c>
      <c r="G136" s="270">
        <v>979742</v>
      </c>
      <c r="H136" s="270">
        <v>976353</v>
      </c>
      <c r="I136" s="270">
        <v>907483</v>
      </c>
      <c r="J136" s="270">
        <v>1114425</v>
      </c>
      <c r="K136" s="270">
        <v>935428</v>
      </c>
      <c r="L136" s="270">
        <v>965372</v>
      </c>
      <c r="M136" s="270">
        <v>758899</v>
      </c>
      <c r="N136" s="270">
        <v>580000</v>
      </c>
      <c r="O136" s="270">
        <f t="shared" si="22"/>
        <v>10496563</v>
      </c>
    </row>
    <row r="137" spans="1:15" x14ac:dyDescent="0.2">
      <c r="B137" s="220" t="s">
        <v>1217</v>
      </c>
      <c r="C137" s="270">
        <v>0</v>
      </c>
      <c r="D137" s="270">
        <v>0</v>
      </c>
      <c r="E137" s="270">
        <v>0</v>
      </c>
      <c r="F137" s="270">
        <v>0</v>
      </c>
      <c r="G137" s="270">
        <v>0</v>
      </c>
      <c r="H137" s="270">
        <v>0</v>
      </c>
      <c r="I137" s="270">
        <v>0</v>
      </c>
      <c r="J137" s="270">
        <v>0</v>
      </c>
      <c r="K137" s="270">
        <v>0</v>
      </c>
      <c r="L137" s="270">
        <v>0</v>
      </c>
      <c r="M137" s="270">
        <v>0</v>
      </c>
      <c r="N137" s="270">
        <v>0</v>
      </c>
      <c r="O137" s="270">
        <f t="shared" si="22"/>
        <v>0</v>
      </c>
    </row>
    <row r="138" spans="1:15" x14ac:dyDescent="0.2">
      <c r="B138" s="220" t="s">
        <v>1218</v>
      </c>
      <c r="C138" s="270">
        <v>0</v>
      </c>
      <c r="D138" s="270">
        <v>0</v>
      </c>
      <c r="E138" s="270">
        <v>0</v>
      </c>
      <c r="F138" s="270">
        <v>0</v>
      </c>
      <c r="G138" s="270">
        <v>0</v>
      </c>
      <c r="H138" s="270">
        <v>0</v>
      </c>
      <c r="I138" s="270">
        <v>0</v>
      </c>
      <c r="J138" s="270">
        <v>0</v>
      </c>
      <c r="K138" s="270">
        <v>0</v>
      </c>
      <c r="L138" s="270">
        <v>0</v>
      </c>
      <c r="M138" s="270">
        <v>0</v>
      </c>
      <c r="N138" s="270">
        <v>0</v>
      </c>
      <c r="O138" s="270">
        <f t="shared" si="22"/>
        <v>0</v>
      </c>
    </row>
    <row r="139" spans="1:15" x14ac:dyDescent="0.2">
      <c r="B139" s="220" t="s">
        <v>1189</v>
      </c>
      <c r="C139" s="233">
        <v>10861</v>
      </c>
      <c r="D139" s="233">
        <v>10861</v>
      </c>
      <c r="E139" s="233">
        <v>13705</v>
      </c>
      <c r="F139" s="233">
        <v>10861</v>
      </c>
      <c r="G139" s="233">
        <v>13186</v>
      </c>
      <c r="H139" s="233">
        <v>10861</v>
      </c>
      <c r="I139" s="233">
        <v>15671</v>
      </c>
      <c r="J139" s="233">
        <v>15212</v>
      </c>
      <c r="K139" s="233">
        <v>10861</v>
      </c>
      <c r="L139" s="233">
        <v>10861</v>
      </c>
      <c r="M139" s="233">
        <v>14594</v>
      </c>
      <c r="N139" s="233">
        <v>14214</v>
      </c>
      <c r="O139" s="233">
        <f t="shared" si="22"/>
        <v>151748</v>
      </c>
    </row>
    <row r="140" spans="1:15" x14ac:dyDescent="0.2">
      <c r="B140" s="220" t="s">
        <v>1190</v>
      </c>
      <c r="C140" s="233">
        <v>31570</v>
      </c>
      <c r="D140" s="233">
        <v>29224</v>
      </c>
      <c r="E140" s="233">
        <v>36164</v>
      </c>
      <c r="F140" s="233">
        <v>33816</v>
      </c>
      <c r="G140" s="233">
        <v>39076</v>
      </c>
      <c r="H140" s="233">
        <v>38941</v>
      </c>
      <c r="I140" s="233">
        <v>36194</v>
      </c>
      <c r="J140" s="233">
        <v>44448</v>
      </c>
      <c r="K140" s="233">
        <v>37309</v>
      </c>
      <c r="L140" s="233">
        <v>38503</v>
      </c>
      <c r="M140" s="233">
        <v>30268</v>
      </c>
      <c r="N140" s="233">
        <v>22785</v>
      </c>
      <c r="O140" s="233">
        <f t="shared" si="22"/>
        <v>418298</v>
      </c>
    </row>
    <row r="141" spans="1:15" x14ac:dyDescent="0.2">
      <c r="B141" s="220" t="s">
        <v>1191</v>
      </c>
      <c r="C141" s="233">
        <v>6855</v>
      </c>
      <c r="D141" s="233">
        <v>10778</v>
      </c>
      <c r="E141" s="233">
        <v>9756</v>
      </c>
      <c r="F141" s="233">
        <v>2120</v>
      </c>
      <c r="G141" s="233">
        <v>8622</v>
      </c>
      <c r="H141" s="233">
        <v>4472</v>
      </c>
      <c r="I141" s="233">
        <v>6207</v>
      </c>
      <c r="J141" s="233">
        <v>12448</v>
      </c>
      <c r="K141" s="233">
        <v>9682</v>
      </c>
      <c r="L141" s="233">
        <v>10696</v>
      </c>
      <c r="M141" s="233">
        <v>6117</v>
      </c>
      <c r="N141" s="233">
        <v>3582</v>
      </c>
      <c r="O141" s="233">
        <f t="shared" si="22"/>
        <v>91335</v>
      </c>
    </row>
    <row r="142" spans="1:15" x14ac:dyDescent="0.2">
      <c r="B142" s="220" t="s">
        <v>1192</v>
      </c>
      <c r="C142" s="233">
        <v>8172</v>
      </c>
      <c r="D142" s="233">
        <v>7792</v>
      </c>
      <c r="E142" s="233">
        <v>6451</v>
      </c>
      <c r="F142" s="233">
        <v>6907</v>
      </c>
      <c r="G142" s="233">
        <v>10837</v>
      </c>
      <c r="H142" s="233">
        <v>10149</v>
      </c>
      <c r="I142" s="233">
        <v>11243</v>
      </c>
      <c r="J142" s="233">
        <v>13982</v>
      </c>
      <c r="K142" s="233">
        <v>8765</v>
      </c>
      <c r="L142" s="233">
        <v>8883</v>
      </c>
      <c r="M142" s="233">
        <v>8906</v>
      </c>
      <c r="N142" s="233">
        <v>7284</v>
      </c>
      <c r="O142" s="233">
        <f t="shared" si="22"/>
        <v>109371</v>
      </c>
    </row>
    <row r="143" spans="1:15" x14ac:dyDescent="0.2">
      <c r="B143" s="220" t="s">
        <v>1193</v>
      </c>
      <c r="C143" s="291">
        <f t="shared" ref="C143:N143" si="25">SUM(C139:C142)</f>
        <v>57458</v>
      </c>
      <c r="D143" s="291">
        <f t="shared" si="25"/>
        <v>58655</v>
      </c>
      <c r="E143" s="291">
        <f t="shared" si="25"/>
        <v>66076</v>
      </c>
      <c r="F143" s="291">
        <f t="shared" si="25"/>
        <v>53704</v>
      </c>
      <c r="G143" s="291">
        <f t="shared" si="25"/>
        <v>71721</v>
      </c>
      <c r="H143" s="291">
        <f t="shared" si="25"/>
        <v>64423</v>
      </c>
      <c r="I143" s="291">
        <f t="shared" si="25"/>
        <v>69315</v>
      </c>
      <c r="J143" s="291">
        <f t="shared" si="25"/>
        <v>86090</v>
      </c>
      <c r="K143" s="291">
        <f t="shared" si="25"/>
        <v>66617</v>
      </c>
      <c r="L143" s="291">
        <f t="shared" si="25"/>
        <v>68943</v>
      </c>
      <c r="M143" s="291">
        <f t="shared" si="25"/>
        <v>59885</v>
      </c>
      <c r="N143" s="291">
        <f t="shared" si="25"/>
        <v>47865</v>
      </c>
      <c r="O143" s="291">
        <f t="shared" si="22"/>
        <v>770752</v>
      </c>
    </row>
    <row r="144" spans="1:15" x14ac:dyDescent="0.2">
      <c r="A144" s="240">
        <v>11</v>
      </c>
      <c r="B144" s="219" t="s">
        <v>1208</v>
      </c>
    </row>
    <row r="145" spans="1:15" x14ac:dyDescent="0.2">
      <c r="A145" s="240" t="s">
        <v>1225</v>
      </c>
      <c r="B145" s="220" t="s">
        <v>1188</v>
      </c>
      <c r="C145" s="270">
        <v>525</v>
      </c>
      <c r="D145" s="270">
        <v>525</v>
      </c>
      <c r="E145" s="270">
        <v>525</v>
      </c>
      <c r="F145" s="270">
        <v>525</v>
      </c>
      <c r="G145" s="270">
        <v>525</v>
      </c>
      <c r="H145" s="270">
        <v>525</v>
      </c>
      <c r="I145" s="270">
        <v>525</v>
      </c>
      <c r="J145" s="270">
        <v>525</v>
      </c>
      <c r="K145" s="270">
        <v>525</v>
      </c>
      <c r="L145" s="270">
        <v>525</v>
      </c>
      <c r="M145" s="270">
        <v>525</v>
      </c>
      <c r="N145" s="270">
        <v>525</v>
      </c>
      <c r="O145" s="270">
        <f t="shared" si="22"/>
        <v>6300</v>
      </c>
    </row>
    <row r="146" spans="1:15" x14ac:dyDescent="0.2">
      <c r="B146" s="220" t="s">
        <v>1213</v>
      </c>
      <c r="C146" s="270">
        <v>0</v>
      </c>
      <c r="D146" s="270">
        <v>0</v>
      </c>
      <c r="E146" s="270">
        <v>0</v>
      </c>
      <c r="F146" s="270">
        <v>0</v>
      </c>
      <c r="G146" s="270">
        <v>0</v>
      </c>
      <c r="H146" s="270">
        <v>0</v>
      </c>
      <c r="I146" s="270">
        <v>0</v>
      </c>
      <c r="J146" s="270">
        <v>0</v>
      </c>
      <c r="K146" s="270">
        <v>0</v>
      </c>
      <c r="L146" s="270">
        <v>0</v>
      </c>
      <c r="M146" s="270">
        <v>0</v>
      </c>
      <c r="N146" s="270">
        <v>0</v>
      </c>
      <c r="O146" s="270">
        <f t="shared" si="22"/>
        <v>0</v>
      </c>
    </row>
    <row r="147" spans="1:15" x14ac:dyDescent="0.2">
      <c r="B147" s="220" t="s">
        <v>1214</v>
      </c>
      <c r="C147" s="270">
        <v>0</v>
      </c>
      <c r="D147" s="270">
        <v>0</v>
      </c>
      <c r="E147" s="270">
        <v>0</v>
      </c>
      <c r="F147" s="270">
        <v>0</v>
      </c>
      <c r="G147" s="270">
        <v>0</v>
      </c>
      <c r="H147" s="270">
        <v>0</v>
      </c>
      <c r="I147" s="270">
        <v>0</v>
      </c>
      <c r="J147" s="270">
        <v>0</v>
      </c>
      <c r="K147" s="270">
        <v>0</v>
      </c>
      <c r="L147" s="270">
        <v>0</v>
      </c>
      <c r="M147" s="270">
        <v>0</v>
      </c>
      <c r="N147" s="270">
        <v>0</v>
      </c>
      <c r="O147" s="270">
        <f t="shared" si="22"/>
        <v>0</v>
      </c>
    </row>
    <row r="148" spans="1:15" x14ac:dyDescent="0.2">
      <c r="B148" s="220" t="s">
        <v>1215</v>
      </c>
      <c r="C148" s="270">
        <v>0</v>
      </c>
      <c r="D148" s="270">
        <v>0</v>
      </c>
      <c r="E148" s="270">
        <v>0</v>
      </c>
      <c r="F148" s="270">
        <v>0</v>
      </c>
      <c r="G148" s="270">
        <v>0</v>
      </c>
      <c r="H148" s="270">
        <v>0</v>
      </c>
      <c r="I148" s="270">
        <v>0</v>
      </c>
      <c r="J148" s="270">
        <v>0</v>
      </c>
      <c r="K148" s="270">
        <v>0</v>
      </c>
      <c r="L148" s="270">
        <v>0</v>
      </c>
      <c r="M148" s="270">
        <v>0</v>
      </c>
      <c r="N148" s="270">
        <v>0</v>
      </c>
      <c r="O148" s="270">
        <f t="shared" si="22"/>
        <v>0</v>
      </c>
    </row>
    <row r="149" spans="1:15" x14ac:dyDescent="0.2">
      <c r="B149" s="220" t="s">
        <v>1216</v>
      </c>
      <c r="C149" s="270">
        <v>242170</v>
      </c>
      <c r="D149" s="270">
        <v>230784</v>
      </c>
      <c r="E149" s="270">
        <v>250257</v>
      </c>
      <c r="F149" s="270">
        <v>262065</v>
      </c>
      <c r="G149" s="270">
        <v>292752</v>
      </c>
      <c r="H149" s="270">
        <v>276504</v>
      </c>
      <c r="I149" s="270">
        <v>296738</v>
      </c>
      <c r="J149" s="270">
        <v>306693</v>
      </c>
      <c r="K149" s="270">
        <v>278098</v>
      </c>
      <c r="L149" s="270">
        <v>271634</v>
      </c>
      <c r="M149" s="270">
        <v>254221</v>
      </c>
      <c r="N149" s="270">
        <v>243480</v>
      </c>
      <c r="O149" s="270">
        <f t="shared" si="22"/>
        <v>3205396</v>
      </c>
    </row>
    <row r="150" spans="1:15" x14ac:dyDescent="0.2">
      <c r="B150" s="220" t="s">
        <v>1217</v>
      </c>
      <c r="C150" s="270">
        <v>0</v>
      </c>
      <c r="D150" s="270">
        <v>0</v>
      </c>
      <c r="E150" s="270">
        <v>0</v>
      </c>
      <c r="F150" s="270">
        <v>0</v>
      </c>
      <c r="G150" s="270">
        <v>0</v>
      </c>
      <c r="H150" s="270">
        <v>0</v>
      </c>
      <c r="I150" s="270">
        <v>0</v>
      </c>
      <c r="J150" s="270">
        <v>0</v>
      </c>
      <c r="K150" s="270">
        <v>0</v>
      </c>
      <c r="L150" s="270">
        <v>0</v>
      </c>
      <c r="M150" s="270">
        <v>0</v>
      </c>
      <c r="N150" s="270">
        <v>0</v>
      </c>
      <c r="O150" s="270">
        <f t="shared" si="22"/>
        <v>0</v>
      </c>
    </row>
    <row r="151" spans="1:15" x14ac:dyDescent="0.2">
      <c r="B151" s="220" t="s">
        <v>1218</v>
      </c>
      <c r="C151" s="270">
        <v>0</v>
      </c>
      <c r="D151" s="270">
        <v>0</v>
      </c>
      <c r="E151" s="270">
        <v>0</v>
      </c>
      <c r="F151" s="270">
        <v>0</v>
      </c>
      <c r="G151" s="270">
        <v>0</v>
      </c>
      <c r="H151" s="270">
        <v>0</v>
      </c>
      <c r="I151" s="270">
        <v>0</v>
      </c>
      <c r="J151" s="270">
        <v>0</v>
      </c>
      <c r="K151" s="270">
        <v>0</v>
      </c>
      <c r="L151" s="270">
        <v>0</v>
      </c>
      <c r="M151" s="270">
        <v>0</v>
      </c>
      <c r="N151" s="270">
        <v>0</v>
      </c>
      <c r="O151" s="270">
        <f t="shared" si="22"/>
        <v>0</v>
      </c>
    </row>
    <row r="152" spans="1:15" x14ac:dyDescent="0.2">
      <c r="B152" s="220" t="s">
        <v>1189</v>
      </c>
      <c r="C152" s="233">
        <v>3932</v>
      </c>
      <c r="D152" s="233">
        <v>3932</v>
      </c>
      <c r="E152" s="233">
        <v>3932</v>
      </c>
      <c r="F152" s="233">
        <v>3932</v>
      </c>
      <c r="G152" s="233">
        <v>3932</v>
      </c>
      <c r="H152" s="233">
        <v>3932</v>
      </c>
      <c r="I152" s="233">
        <v>3932</v>
      </c>
      <c r="J152" s="233">
        <v>3932</v>
      </c>
      <c r="K152" s="233">
        <v>3932</v>
      </c>
      <c r="L152" s="233">
        <v>3932</v>
      </c>
      <c r="M152" s="233">
        <v>3932</v>
      </c>
      <c r="N152" s="233">
        <v>3932</v>
      </c>
      <c r="O152" s="233">
        <f t="shared" si="22"/>
        <v>47184</v>
      </c>
    </row>
    <row r="153" spans="1:15" x14ac:dyDescent="0.2">
      <c r="B153" s="220" t="s">
        <v>1190</v>
      </c>
      <c r="C153" s="233">
        <v>9659</v>
      </c>
      <c r="D153" s="233">
        <v>9205</v>
      </c>
      <c r="E153" s="233">
        <v>9981</v>
      </c>
      <c r="F153" s="233">
        <v>10452</v>
      </c>
      <c r="G153" s="233">
        <v>11676</v>
      </c>
      <c r="H153" s="233">
        <v>11028</v>
      </c>
      <c r="I153" s="233">
        <v>11835</v>
      </c>
      <c r="J153" s="233">
        <v>12232</v>
      </c>
      <c r="K153" s="233">
        <v>11092</v>
      </c>
      <c r="L153" s="233">
        <v>10834</v>
      </c>
      <c r="M153" s="233">
        <v>10139</v>
      </c>
      <c r="N153" s="233">
        <v>9711</v>
      </c>
      <c r="O153" s="233">
        <f t="shared" si="22"/>
        <v>127844</v>
      </c>
    </row>
    <row r="154" spans="1:15" x14ac:dyDescent="0.2">
      <c r="B154" s="220" t="s">
        <v>1191</v>
      </c>
      <c r="C154" s="233">
        <v>2097</v>
      </c>
      <c r="D154" s="233">
        <v>3395</v>
      </c>
      <c r="E154" s="233">
        <v>2693</v>
      </c>
      <c r="F154" s="233">
        <v>655</v>
      </c>
      <c r="G154" s="233">
        <v>2576</v>
      </c>
      <c r="H154" s="233">
        <v>1266</v>
      </c>
      <c r="I154" s="233">
        <v>2030</v>
      </c>
      <c r="J154" s="233">
        <v>3426</v>
      </c>
      <c r="K154" s="233">
        <v>2878</v>
      </c>
      <c r="L154" s="233">
        <v>3010</v>
      </c>
      <c r="M154" s="233">
        <v>2049</v>
      </c>
      <c r="N154" s="233">
        <v>1539</v>
      </c>
      <c r="O154" s="233">
        <f t="shared" si="22"/>
        <v>27614</v>
      </c>
    </row>
    <row r="155" spans="1:15" x14ac:dyDescent="0.2">
      <c r="B155" s="220" t="s">
        <v>1192</v>
      </c>
      <c r="C155" s="233">
        <v>2601</v>
      </c>
      <c r="D155" s="233">
        <v>2533</v>
      </c>
      <c r="E155" s="233">
        <v>1797</v>
      </c>
      <c r="F155" s="233">
        <v>2220</v>
      </c>
      <c r="G155" s="233">
        <v>3237</v>
      </c>
      <c r="H155" s="233">
        <v>3034</v>
      </c>
      <c r="I155" s="233">
        <v>3445</v>
      </c>
      <c r="J155" s="233">
        <v>3799</v>
      </c>
      <c r="K155" s="233">
        <v>2712</v>
      </c>
      <c r="L155" s="233">
        <v>2629</v>
      </c>
      <c r="M155" s="233">
        <v>2816</v>
      </c>
      <c r="N155" s="233">
        <v>2725</v>
      </c>
      <c r="O155" s="233">
        <f t="shared" si="22"/>
        <v>33548</v>
      </c>
    </row>
    <row r="156" spans="1:15" x14ac:dyDescent="0.2">
      <c r="B156" s="220" t="s">
        <v>1193</v>
      </c>
      <c r="C156" s="291">
        <f t="shared" ref="C156:N156" si="26">SUM(C152:C155)</f>
        <v>18289</v>
      </c>
      <c r="D156" s="291">
        <f t="shared" si="26"/>
        <v>19065</v>
      </c>
      <c r="E156" s="291">
        <f t="shared" si="26"/>
        <v>18403</v>
      </c>
      <c r="F156" s="291">
        <f t="shared" si="26"/>
        <v>17259</v>
      </c>
      <c r="G156" s="291">
        <f t="shared" si="26"/>
        <v>21421</v>
      </c>
      <c r="H156" s="291">
        <f t="shared" si="26"/>
        <v>19260</v>
      </c>
      <c r="I156" s="291">
        <f t="shared" si="26"/>
        <v>21242</v>
      </c>
      <c r="J156" s="291">
        <f t="shared" si="26"/>
        <v>23389</v>
      </c>
      <c r="K156" s="291">
        <f t="shared" si="26"/>
        <v>20614</v>
      </c>
      <c r="L156" s="291">
        <f t="shared" si="26"/>
        <v>20405</v>
      </c>
      <c r="M156" s="291">
        <f t="shared" si="26"/>
        <v>18936</v>
      </c>
      <c r="N156" s="291">
        <f t="shared" si="26"/>
        <v>17907</v>
      </c>
      <c r="O156" s="291">
        <f t="shared" si="22"/>
        <v>236190</v>
      </c>
    </row>
    <row r="157" spans="1:15" x14ac:dyDescent="0.2">
      <c r="A157" s="240">
        <v>10</v>
      </c>
      <c r="B157" s="219" t="s">
        <v>1203</v>
      </c>
    </row>
    <row r="158" spans="1:15" x14ac:dyDescent="0.2">
      <c r="A158" s="240" t="s">
        <v>1224</v>
      </c>
      <c r="B158" s="220" t="s">
        <v>1188</v>
      </c>
      <c r="C158" s="270">
        <v>5396</v>
      </c>
      <c r="D158" s="270">
        <v>5396</v>
      </c>
      <c r="E158" s="270">
        <v>5396</v>
      </c>
      <c r="F158" s="270">
        <v>5396</v>
      </c>
      <c r="G158" s="270">
        <v>5396</v>
      </c>
      <c r="H158" s="270">
        <v>5593</v>
      </c>
      <c r="I158" s="270">
        <v>5593</v>
      </c>
      <c r="J158" s="270">
        <v>5593</v>
      </c>
      <c r="K158" s="270">
        <v>5593</v>
      </c>
      <c r="L158" s="270">
        <v>5240</v>
      </c>
      <c r="M158" s="270">
        <v>5396</v>
      </c>
      <c r="N158" s="270">
        <v>5396</v>
      </c>
      <c r="O158" s="270">
        <f t="shared" ref="O158:O169" si="27">SUM(C158:N158)</f>
        <v>65384</v>
      </c>
    </row>
    <row r="159" spans="1:15" x14ac:dyDescent="0.2">
      <c r="B159" s="220" t="s">
        <v>1213</v>
      </c>
      <c r="C159" s="270">
        <v>0</v>
      </c>
      <c r="D159" s="270"/>
      <c r="E159" s="270">
        <v>0</v>
      </c>
      <c r="F159" s="270">
        <v>0</v>
      </c>
      <c r="G159" s="270">
        <v>0</v>
      </c>
      <c r="H159" s="270">
        <v>0</v>
      </c>
      <c r="I159" s="270">
        <v>0</v>
      </c>
      <c r="J159" s="270">
        <v>0</v>
      </c>
      <c r="K159" s="270">
        <v>0</v>
      </c>
      <c r="L159" s="270">
        <v>0</v>
      </c>
      <c r="M159" s="270">
        <v>0</v>
      </c>
      <c r="N159" s="270">
        <v>0</v>
      </c>
      <c r="O159" s="270">
        <f t="shared" si="27"/>
        <v>0</v>
      </c>
    </row>
    <row r="160" spans="1:15" x14ac:dyDescent="0.2">
      <c r="B160" s="220" t="s">
        <v>1214</v>
      </c>
      <c r="C160" s="270">
        <v>0</v>
      </c>
      <c r="D160" s="270">
        <v>0</v>
      </c>
      <c r="E160" s="270">
        <v>0</v>
      </c>
      <c r="F160" s="270">
        <v>0</v>
      </c>
      <c r="G160" s="270">
        <v>0</v>
      </c>
      <c r="H160" s="270">
        <v>0</v>
      </c>
      <c r="I160" s="270">
        <v>0</v>
      </c>
      <c r="J160" s="270">
        <v>0</v>
      </c>
      <c r="K160" s="270">
        <v>0</v>
      </c>
      <c r="L160" s="270">
        <v>0</v>
      </c>
      <c r="M160" s="270">
        <v>0</v>
      </c>
      <c r="N160" s="270">
        <v>0</v>
      </c>
      <c r="O160" s="270">
        <f t="shared" si="27"/>
        <v>0</v>
      </c>
    </row>
    <row r="161" spans="1:15" x14ac:dyDescent="0.2">
      <c r="B161" s="220" t="s">
        <v>1215</v>
      </c>
      <c r="C161" s="270">
        <v>0</v>
      </c>
      <c r="D161" s="270">
        <v>0</v>
      </c>
      <c r="E161" s="270">
        <v>0</v>
      </c>
      <c r="F161" s="270">
        <v>0</v>
      </c>
      <c r="G161" s="270">
        <v>0</v>
      </c>
      <c r="H161" s="270">
        <v>0</v>
      </c>
      <c r="I161" s="270">
        <v>0</v>
      </c>
      <c r="J161" s="270">
        <v>0</v>
      </c>
      <c r="K161" s="270">
        <v>0</v>
      </c>
      <c r="L161" s="270">
        <v>0</v>
      </c>
      <c r="M161" s="270">
        <v>0</v>
      </c>
      <c r="N161" s="270">
        <v>0</v>
      </c>
      <c r="O161" s="270">
        <f t="shared" si="27"/>
        <v>0</v>
      </c>
    </row>
    <row r="162" spans="1:15" x14ac:dyDescent="0.2">
      <c r="B162" s="220" t="s">
        <v>1216</v>
      </c>
      <c r="C162" s="270">
        <v>2967098</v>
      </c>
      <c r="D162" s="270">
        <v>2691087</v>
      </c>
      <c r="E162" s="270">
        <v>2936084</v>
      </c>
      <c r="F162" s="270">
        <v>2871217</v>
      </c>
      <c r="G162" s="270">
        <v>2980128</v>
      </c>
      <c r="H162" s="270">
        <v>3049336</v>
      </c>
      <c r="I162" s="270">
        <v>3055898</v>
      </c>
      <c r="J162" s="270">
        <v>3337505</v>
      </c>
      <c r="K162" s="270">
        <v>2956012</v>
      </c>
      <c r="L162" s="270">
        <v>2868486</v>
      </c>
      <c r="M162" s="270">
        <v>2770823</v>
      </c>
      <c r="N162" s="270">
        <v>2838358</v>
      </c>
      <c r="O162" s="270">
        <f t="shared" si="27"/>
        <v>35322032</v>
      </c>
    </row>
    <row r="163" spans="1:15" x14ac:dyDescent="0.2">
      <c r="B163" s="220" t="s">
        <v>1217</v>
      </c>
      <c r="C163" s="270">
        <v>0</v>
      </c>
      <c r="D163" s="270">
        <v>0</v>
      </c>
      <c r="E163" s="270">
        <v>0</v>
      </c>
      <c r="F163" s="270">
        <v>0</v>
      </c>
      <c r="G163" s="270">
        <v>0</v>
      </c>
      <c r="H163" s="270">
        <v>0</v>
      </c>
      <c r="I163" s="270">
        <v>0</v>
      </c>
      <c r="J163" s="270">
        <v>0</v>
      </c>
      <c r="K163" s="270">
        <v>0</v>
      </c>
      <c r="L163" s="270">
        <v>0</v>
      </c>
      <c r="M163" s="270">
        <v>0</v>
      </c>
      <c r="N163" s="270">
        <v>0</v>
      </c>
      <c r="O163" s="270">
        <f t="shared" si="27"/>
        <v>0</v>
      </c>
    </row>
    <row r="164" spans="1:15" x14ac:dyDescent="0.2">
      <c r="B164" s="220" t="s">
        <v>1218</v>
      </c>
      <c r="C164" s="270">
        <v>0</v>
      </c>
      <c r="D164" s="270">
        <v>0</v>
      </c>
      <c r="E164" s="270">
        <v>0</v>
      </c>
      <c r="F164" s="270">
        <v>0</v>
      </c>
      <c r="G164" s="270">
        <v>0</v>
      </c>
      <c r="H164" s="270">
        <v>0</v>
      </c>
      <c r="I164" s="270">
        <v>0</v>
      </c>
      <c r="J164" s="270">
        <v>0</v>
      </c>
      <c r="K164" s="270">
        <v>0</v>
      </c>
      <c r="L164" s="270">
        <v>0</v>
      </c>
      <c r="M164" s="270">
        <v>0</v>
      </c>
      <c r="N164" s="270">
        <v>0</v>
      </c>
      <c r="O164" s="270">
        <f t="shared" si="27"/>
        <v>0</v>
      </c>
    </row>
    <row r="165" spans="1:15" x14ac:dyDescent="0.2">
      <c r="B165" s="220" t="s">
        <v>1189</v>
      </c>
      <c r="C165" s="233">
        <v>40416</v>
      </c>
      <c r="D165" s="233">
        <v>40416</v>
      </c>
      <c r="E165" s="233">
        <v>40416</v>
      </c>
      <c r="F165" s="233">
        <v>40416</v>
      </c>
      <c r="G165" s="233">
        <v>40416</v>
      </c>
      <c r="H165" s="233">
        <v>41892</v>
      </c>
      <c r="I165" s="233">
        <v>41892</v>
      </c>
      <c r="J165" s="233">
        <v>41892</v>
      </c>
      <c r="K165" s="233">
        <v>41892</v>
      </c>
      <c r="L165" s="233">
        <v>39248</v>
      </c>
      <c r="M165" s="233">
        <v>40416</v>
      </c>
      <c r="N165" s="233">
        <v>40416</v>
      </c>
      <c r="O165" s="233">
        <f t="shared" si="27"/>
        <v>489728</v>
      </c>
    </row>
    <row r="166" spans="1:15" x14ac:dyDescent="0.2">
      <c r="B166" s="220" t="s">
        <v>1190</v>
      </c>
      <c r="C166" s="233">
        <v>118340</v>
      </c>
      <c r="D166" s="233">
        <v>107331</v>
      </c>
      <c r="E166" s="233">
        <v>117103</v>
      </c>
      <c r="F166" s="233">
        <v>114516</v>
      </c>
      <c r="G166" s="233">
        <v>118859</v>
      </c>
      <c r="H166" s="233">
        <v>121620</v>
      </c>
      <c r="I166" s="233">
        <v>121881</v>
      </c>
      <c r="J166" s="233">
        <v>133113</v>
      </c>
      <c r="K166" s="233">
        <v>117898</v>
      </c>
      <c r="L166" s="233">
        <v>114407</v>
      </c>
      <c r="M166" s="233">
        <v>110512</v>
      </c>
      <c r="N166" s="233">
        <v>113205</v>
      </c>
      <c r="O166" s="233">
        <f t="shared" si="27"/>
        <v>1408785</v>
      </c>
    </row>
    <row r="167" spans="1:15" x14ac:dyDescent="0.2">
      <c r="B167" s="220" t="s">
        <v>1191</v>
      </c>
      <c r="C167" s="233">
        <v>25695</v>
      </c>
      <c r="D167" s="233">
        <v>39586</v>
      </c>
      <c r="E167" s="233">
        <v>31592</v>
      </c>
      <c r="F167" s="233">
        <v>7178</v>
      </c>
      <c r="G167" s="233">
        <v>26225</v>
      </c>
      <c r="H167" s="233">
        <v>13966</v>
      </c>
      <c r="I167" s="233">
        <v>20902</v>
      </c>
      <c r="J167" s="233">
        <v>37280</v>
      </c>
      <c r="K167" s="233">
        <v>30595</v>
      </c>
      <c r="L167" s="233">
        <v>31783</v>
      </c>
      <c r="M167" s="233">
        <v>22333</v>
      </c>
      <c r="N167" s="233">
        <v>17938</v>
      </c>
      <c r="O167" s="233">
        <f t="shared" si="27"/>
        <v>305073</v>
      </c>
    </row>
    <row r="168" spans="1:15" x14ac:dyDescent="0.2">
      <c r="B168" s="220" t="s">
        <v>1192</v>
      </c>
      <c r="C168" s="233">
        <v>30582</v>
      </c>
      <c r="D168" s="233">
        <v>28699</v>
      </c>
      <c r="E168" s="233">
        <v>20462</v>
      </c>
      <c r="F168" s="233">
        <v>23927</v>
      </c>
      <c r="G168" s="233">
        <v>33019</v>
      </c>
      <c r="H168" s="233">
        <v>33188</v>
      </c>
      <c r="I168" s="233">
        <v>35753</v>
      </c>
      <c r="J168" s="233">
        <v>41162</v>
      </c>
      <c r="K168" s="233">
        <v>28843</v>
      </c>
      <c r="L168" s="233">
        <v>27426</v>
      </c>
      <c r="M168" s="233">
        <v>30269</v>
      </c>
      <c r="N168" s="233">
        <v>30795</v>
      </c>
      <c r="O168" s="233">
        <f t="shared" si="27"/>
        <v>364125</v>
      </c>
    </row>
    <row r="169" spans="1:15" x14ac:dyDescent="0.2">
      <c r="B169" s="220" t="s">
        <v>1193</v>
      </c>
      <c r="C169" s="291">
        <f t="shared" ref="C169:N169" si="28">SUM(C165:C168)</f>
        <v>215033</v>
      </c>
      <c r="D169" s="291">
        <f t="shared" si="28"/>
        <v>216032</v>
      </c>
      <c r="E169" s="291">
        <f t="shared" si="28"/>
        <v>209573</v>
      </c>
      <c r="F169" s="291">
        <f t="shared" si="28"/>
        <v>186037</v>
      </c>
      <c r="G169" s="291">
        <f t="shared" si="28"/>
        <v>218519</v>
      </c>
      <c r="H169" s="291">
        <f t="shared" si="28"/>
        <v>210666</v>
      </c>
      <c r="I169" s="291">
        <f t="shared" si="28"/>
        <v>220428</v>
      </c>
      <c r="J169" s="291">
        <f t="shared" si="28"/>
        <v>253447</v>
      </c>
      <c r="K169" s="291">
        <f t="shared" si="28"/>
        <v>219228</v>
      </c>
      <c r="L169" s="291">
        <f t="shared" si="28"/>
        <v>212864</v>
      </c>
      <c r="M169" s="291">
        <f t="shared" si="28"/>
        <v>203530</v>
      </c>
      <c r="N169" s="291">
        <f t="shared" si="28"/>
        <v>202354</v>
      </c>
      <c r="O169" s="291">
        <f t="shared" si="27"/>
        <v>2567711</v>
      </c>
    </row>
    <row r="170" spans="1:15" x14ac:dyDescent="0.2">
      <c r="A170" s="240">
        <v>11</v>
      </c>
      <c r="B170" s="219" t="s">
        <v>1209</v>
      </c>
    </row>
    <row r="171" spans="1:15" x14ac:dyDescent="0.2">
      <c r="A171" s="240" t="s">
        <v>1225</v>
      </c>
      <c r="B171" s="220" t="s">
        <v>1188</v>
      </c>
      <c r="C171" s="270">
        <v>500</v>
      </c>
      <c r="D171" s="270">
        <v>500</v>
      </c>
      <c r="E171" s="270">
        <v>500</v>
      </c>
      <c r="F171" s="270">
        <v>500</v>
      </c>
      <c r="G171" s="270">
        <v>500</v>
      </c>
      <c r="H171" s="270">
        <v>500</v>
      </c>
      <c r="I171" s="270">
        <v>557</v>
      </c>
      <c r="J171" s="270">
        <v>522</v>
      </c>
      <c r="K171" s="270">
        <v>507</v>
      </c>
      <c r="L171" s="270">
        <v>500</v>
      </c>
      <c r="M171" s="270">
        <v>500</v>
      </c>
      <c r="N171" s="270">
        <v>500</v>
      </c>
      <c r="O171" s="270">
        <f t="shared" si="22"/>
        <v>6086</v>
      </c>
    </row>
    <row r="172" spans="1:15" x14ac:dyDescent="0.2">
      <c r="B172" s="220" t="s">
        <v>1213</v>
      </c>
      <c r="C172" s="270">
        <v>0</v>
      </c>
      <c r="D172" s="270">
        <v>0</v>
      </c>
      <c r="E172" s="270">
        <v>0</v>
      </c>
      <c r="F172" s="270">
        <v>0</v>
      </c>
      <c r="G172" s="270">
        <v>0</v>
      </c>
      <c r="H172" s="270">
        <v>0</v>
      </c>
      <c r="I172" s="270">
        <v>0</v>
      </c>
      <c r="J172" s="270">
        <v>0</v>
      </c>
      <c r="K172" s="270">
        <v>0</v>
      </c>
      <c r="L172" s="270">
        <v>0</v>
      </c>
      <c r="M172" s="270">
        <v>0</v>
      </c>
      <c r="N172" s="270">
        <v>0</v>
      </c>
      <c r="O172" s="270">
        <f t="shared" si="22"/>
        <v>0</v>
      </c>
    </row>
    <row r="173" spans="1:15" x14ac:dyDescent="0.2">
      <c r="B173" s="220" t="s">
        <v>1214</v>
      </c>
      <c r="C173" s="270">
        <v>0</v>
      </c>
      <c r="D173" s="270">
        <v>0</v>
      </c>
      <c r="E173" s="270">
        <v>0</v>
      </c>
      <c r="F173" s="270">
        <v>0</v>
      </c>
      <c r="G173" s="270">
        <v>0</v>
      </c>
      <c r="H173" s="270">
        <v>0</v>
      </c>
      <c r="I173" s="270">
        <v>0</v>
      </c>
      <c r="J173" s="270">
        <v>0</v>
      </c>
      <c r="K173" s="270">
        <v>0</v>
      </c>
      <c r="L173" s="270">
        <v>0</v>
      </c>
      <c r="M173" s="270">
        <v>0</v>
      </c>
      <c r="N173" s="270">
        <v>0</v>
      </c>
      <c r="O173" s="270">
        <f t="shared" si="22"/>
        <v>0</v>
      </c>
    </row>
    <row r="174" spans="1:15" x14ac:dyDescent="0.2">
      <c r="B174" s="220" t="s">
        <v>1215</v>
      </c>
      <c r="C174" s="270">
        <v>0</v>
      </c>
      <c r="D174" s="270">
        <v>0</v>
      </c>
      <c r="E174" s="270">
        <v>0</v>
      </c>
      <c r="F174" s="270">
        <v>0</v>
      </c>
      <c r="G174" s="270">
        <v>0</v>
      </c>
      <c r="H174" s="270">
        <v>0</v>
      </c>
      <c r="I174" s="270">
        <v>0</v>
      </c>
      <c r="J174" s="270">
        <v>0</v>
      </c>
      <c r="K174" s="270">
        <v>0</v>
      </c>
      <c r="L174" s="270">
        <v>0</v>
      </c>
      <c r="M174" s="270">
        <v>0</v>
      </c>
      <c r="N174" s="270">
        <v>0</v>
      </c>
      <c r="O174" s="270">
        <f t="shared" si="22"/>
        <v>0</v>
      </c>
    </row>
    <row r="175" spans="1:15" x14ac:dyDescent="0.2">
      <c r="B175" s="220" t="s">
        <v>1216</v>
      </c>
      <c r="C175" s="270">
        <v>223278</v>
      </c>
      <c r="D175" s="270">
        <v>219802</v>
      </c>
      <c r="E175" s="270">
        <v>235878</v>
      </c>
      <c r="F175" s="270">
        <v>242372</v>
      </c>
      <c r="G175" s="270">
        <v>290237</v>
      </c>
      <c r="H175" s="270">
        <v>281961</v>
      </c>
      <c r="I175" s="270">
        <v>323709</v>
      </c>
      <c r="J175" s="270">
        <v>329709</v>
      </c>
      <c r="K175" s="270">
        <v>287945</v>
      </c>
      <c r="L175" s="270">
        <v>256079</v>
      </c>
      <c r="M175" s="270">
        <v>232383</v>
      </c>
      <c r="N175" s="270">
        <v>230211</v>
      </c>
      <c r="O175" s="270">
        <f t="shared" si="22"/>
        <v>3153564</v>
      </c>
    </row>
    <row r="176" spans="1:15" x14ac:dyDescent="0.2">
      <c r="B176" s="220" t="s">
        <v>1217</v>
      </c>
      <c r="C176" s="270">
        <v>0</v>
      </c>
      <c r="D176" s="270">
        <v>0</v>
      </c>
      <c r="E176" s="270">
        <v>0</v>
      </c>
      <c r="F176" s="270">
        <v>0</v>
      </c>
      <c r="G176" s="270">
        <v>0</v>
      </c>
      <c r="H176" s="270">
        <v>0</v>
      </c>
      <c r="I176" s="270">
        <v>0</v>
      </c>
      <c r="J176" s="270">
        <v>0</v>
      </c>
      <c r="K176" s="270">
        <v>0</v>
      </c>
      <c r="L176" s="270">
        <v>0</v>
      </c>
      <c r="M176" s="270">
        <v>0</v>
      </c>
      <c r="N176" s="270">
        <v>0</v>
      </c>
      <c r="O176" s="270">
        <f t="shared" si="22"/>
        <v>0</v>
      </c>
    </row>
    <row r="177" spans="1:15" x14ac:dyDescent="0.2">
      <c r="B177" s="220" t="s">
        <v>1218</v>
      </c>
      <c r="C177" s="270">
        <v>0</v>
      </c>
      <c r="D177" s="270">
        <v>0</v>
      </c>
      <c r="E177" s="270">
        <v>0</v>
      </c>
      <c r="F177" s="270">
        <v>0</v>
      </c>
      <c r="G177" s="270">
        <v>0</v>
      </c>
      <c r="H177" s="270">
        <v>0</v>
      </c>
      <c r="I177" s="270">
        <v>0</v>
      </c>
      <c r="J177" s="270">
        <v>0</v>
      </c>
      <c r="K177" s="270">
        <v>0</v>
      </c>
      <c r="L177" s="270">
        <v>0</v>
      </c>
      <c r="M177" s="270">
        <v>0</v>
      </c>
      <c r="N177" s="270">
        <v>0</v>
      </c>
      <c r="O177" s="270">
        <f t="shared" si="22"/>
        <v>0</v>
      </c>
    </row>
    <row r="178" spans="1:15" x14ac:dyDescent="0.2">
      <c r="B178" s="220" t="s">
        <v>1189</v>
      </c>
      <c r="C178" s="233">
        <v>3745</v>
      </c>
      <c r="D178" s="233">
        <v>3745</v>
      </c>
      <c r="E178" s="233">
        <v>3745</v>
      </c>
      <c r="F178" s="233">
        <v>3745</v>
      </c>
      <c r="G178" s="233">
        <v>3745</v>
      </c>
      <c r="H178" s="233">
        <v>3745</v>
      </c>
      <c r="I178" s="233">
        <v>4314</v>
      </c>
      <c r="J178" s="233">
        <v>3965</v>
      </c>
      <c r="K178" s="233">
        <v>3815</v>
      </c>
      <c r="L178" s="233">
        <v>3745</v>
      </c>
      <c r="M178" s="233">
        <v>3745</v>
      </c>
      <c r="N178" s="233">
        <v>3745</v>
      </c>
      <c r="O178" s="233">
        <f t="shared" si="22"/>
        <v>45799</v>
      </c>
    </row>
    <row r="179" spans="1:15" x14ac:dyDescent="0.2">
      <c r="B179" s="220" t="s">
        <v>1190</v>
      </c>
      <c r="C179" s="233">
        <v>8905</v>
      </c>
      <c r="D179" s="233">
        <v>8767</v>
      </c>
      <c r="E179" s="233">
        <v>9408</v>
      </c>
      <c r="F179" s="233">
        <v>9667</v>
      </c>
      <c r="G179" s="233">
        <v>11576</v>
      </c>
      <c r="H179" s="233">
        <v>11246</v>
      </c>
      <c r="I179" s="233">
        <v>12911</v>
      </c>
      <c r="J179" s="233">
        <v>13150</v>
      </c>
      <c r="K179" s="233">
        <v>11484</v>
      </c>
      <c r="L179" s="233">
        <v>10213</v>
      </c>
      <c r="M179" s="233">
        <v>9268</v>
      </c>
      <c r="N179" s="233">
        <v>9182</v>
      </c>
      <c r="O179" s="233">
        <f t="shared" ref="O179:O208" si="29">SUM(C179:N179)</f>
        <v>125777</v>
      </c>
    </row>
    <row r="180" spans="1:15" x14ac:dyDescent="0.2">
      <c r="B180" s="220" t="s">
        <v>1191</v>
      </c>
      <c r="C180" s="233">
        <v>1934</v>
      </c>
      <c r="D180" s="233">
        <v>3233</v>
      </c>
      <c r="E180" s="233">
        <v>2538</v>
      </c>
      <c r="F180" s="233">
        <v>606</v>
      </c>
      <c r="G180" s="233">
        <v>2554</v>
      </c>
      <c r="H180" s="233">
        <v>1291</v>
      </c>
      <c r="I180" s="233">
        <v>2214</v>
      </c>
      <c r="J180" s="233">
        <v>3683</v>
      </c>
      <c r="K180" s="233">
        <v>2980</v>
      </c>
      <c r="L180" s="233">
        <v>2837</v>
      </c>
      <c r="M180" s="233">
        <v>1873</v>
      </c>
      <c r="N180" s="233">
        <v>1455</v>
      </c>
      <c r="O180" s="233">
        <f t="shared" si="29"/>
        <v>27198</v>
      </c>
    </row>
    <row r="181" spans="1:15" x14ac:dyDescent="0.2">
      <c r="B181" s="220" t="s">
        <v>1192</v>
      </c>
      <c r="C181" s="233">
        <v>2418</v>
      </c>
      <c r="D181" s="233">
        <v>2412</v>
      </c>
      <c r="E181" s="233">
        <v>1698</v>
      </c>
      <c r="F181" s="233">
        <v>2069</v>
      </c>
      <c r="G181" s="233">
        <v>3182</v>
      </c>
      <c r="H181" s="233">
        <v>3045</v>
      </c>
      <c r="I181" s="233">
        <v>3763</v>
      </c>
      <c r="J181" s="233">
        <v>4033</v>
      </c>
      <c r="K181" s="233">
        <v>2769</v>
      </c>
      <c r="L181" s="233">
        <v>2484</v>
      </c>
      <c r="M181" s="233">
        <v>2601</v>
      </c>
      <c r="N181" s="233">
        <v>2582</v>
      </c>
      <c r="O181" s="233">
        <f t="shared" si="29"/>
        <v>33056</v>
      </c>
    </row>
    <row r="182" spans="1:15" x14ac:dyDescent="0.2">
      <c r="B182" s="220" t="s">
        <v>1193</v>
      </c>
      <c r="C182" s="291">
        <f t="shared" ref="C182:N182" si="30">SUM(C178:C181)</f>
        <v>17002</v>
      </c>
      <c r="D182" s="291">
        <f t="shared" si="30"/>
        <v>18157</v>
      </c>
      <c r="E182" s="291">
        <f t="shared" si="30"/>
        <v>17389</v>
      </c>
      <c r="F182" s="291">
        <f t="shared" si="30"/>
        <v>16087</v>
      </c>
      <c r="G182" s="291">
        <f t="shared" si="30"/>
        <v>21057</v>
      </c>
      <c r="H182" s="291">
        <f t="shared" si="30"/>
        <v>19327</v>
      </c>
      <c r="I182" s="291">
        <f t="shared" si="30"/>
        <v>23202</v>
      </c>
      <c r="J182" s="291">
        <f t="shared" si="30"/>
        <v>24831</v>
      </c>
      <c r="K182" s="291">
        <f t="shared" si="30"/>
        <v>21048</v>
      </c>
      <c r="L182" s="291">
        <f t="shared" si="30"/>
        <v>19279</v>
      </c>
      <c r="M182" s="291">
        <f t="shared" si="30"/>
        <v>17487</v>
      </c>
      <c r="N182" s="291">
        <f t="shared" si="30"/>
        <v>16964</v>
      </c>
      <c r="O182" s="291">
        <f t="shared" si="29"/>
        <v>231830</v>
      </c>
    </row>
    <row r="183" spans="1:15" x14ac:dyDescent="0.2">
      <c r="A183" s="240">
        <v>11</v>
      </c>
      <c r="B183" s="219" t="s">
        <v>1210</v>
      </c>
    </row>
    <row r="184" spans="1:15" x14ac:dyDescent="0.2">
      <c r="A184" s="240" t="s">
        <v>1225</v>
      </c>
      <c r="B184" s="220" t="s">
        <v>1188</v>
      </c>
      <c r="C184" s="270">
        <v>1650</v>
      </c>
      <c r="D184" s="270">
        <v>1650</v>
      </c>
      <c r="E184" s="270">
        <v>1650</v>
      </c>
      <c r="F184" s="270">
        <v>1650</v>
      </c>
      <c r="G184" s="270">
        <v>1650</v>
      </c>
      <c r="H184" s="270">
        <v>1650</v>
      </c>
      <c r="I184" s="270">
        <v>1650</v>
      </c>
      <c r="J184" s="270">
        <v>1650</v>
      </c>
      <c r="K184" s="270">
        <v>1650</v>
      </c>
      <c r="L184" s="270">
        <v>1680</v>
      </c>
      <c r="M184" s="270">
        <v>1650</v>
      </c>
      <c r="N184" s="270">
        <v>1650</v>
      </c>
      <c r="O184" s="270">
        <f t="shared" si="29"/>
        <v>19830</v>
      </c>
    </row>
    <row r="185" spans="1:15" x14ac:dyDescent="0.2">
      <c r="B185" s="220" t="s">
        <v>1213</v>
      </c>
      <c r="C185" s="270">
        <v>0</v>
      </c>
      <c r="D185" s="270">
        <v>0</v>
      </c>
      <c r="E185" s="270">
        <v>0</v>
      </c>
      <c r="F185" s="270">
        <v>0</v>
      </c>
      <c r="G185" s="270">
        <v>0</v>
      </c>
      <c r="H185" s="270">
        <v>0</v>
      </c>
      <c r="I185" s="270">
        <v>0</v>
      </c>
      <c r="J185" s="270">
        <v>0</v>
      </c>
      <c r="K185" s="270">
        <v>0</v>
      </c>
      <c r="L185" s="270">
        <v>0</v>
      </c>
      <c r="M185" s="270">
        <v>0</v>
      </c>
      <c r="N185" s="270">
        <v>0</v>
      </c>
      <c r="O185" s="270">
        <f t="shared" si="29"/>
        <v>0</v>
      </c>
    </row>
    <row r="186" spans="1:15" x14ac:dyDescent="0.2">
      <c r="B186" s="220" t="s">
        <v>1214</v>
      </c>
      <c r="C186" s="270">
        <v>0</v>
      </c>
      <c r="D186" s="270">
        <v>0</v>
      </c>
      <c r="E186" s="270">
        <v>0</v>
      </c>
      <c r="F186" s="270">
        <v>0</v>
      </c>
      <c r="G186" s="270">
        <v>0</v>
      </c>
      <c r="H186" s="270">
        <v>0</v>
      </c>
      <c r="I186" s="270">
        <v>0</v>
      </c>
      <c r="J186" s="270">
        <v>0</v>
      </c>
      <c r="K186" s="270">
        <v>0</v>
      </c>
      <c r="L186" s="270">
        <v>0</v>
      </c>
      <c r="M186" s="270">
        <v>0</v>
      </c>
      <c r="N186" s="270">
        <v>0</v>
      </c>
      <c r="O186" s="270">
        <f t="shared" si="29"/>
        <v>0</v>
      </c>
    </row>
    <row r="187" spans="1:15" x14ac:dyDescent="0.2">
      <c r="B187" s="220" t="s">
        <v>1215</v>
      </c>
      <c r="C187" s="270">
        <v>0</v>
      </c>
      <c r="D187" s="270">
        <v>0</v>
      </c>
      <c r="E187" s="270">
        <v>0</v>
      </c>
      <c r="F187" s="270">
        <v>0</v>
      </c>
      <c r="G187" s="270">
        <v>0</v>
      </c>
      <c r="H187" s="270">
        <v>0</v>
      </c>
      <c r="I187" s="270">
        <v>0</v>
      </c>
      <c r="J187" s="270">
        <v>0</v>
      </c>
      <c r="K187" s="270">
        <v>0</v>
      </c>
      <c r="L187" s="270">
        <v>0</v>
      </c>
      <c r="M187" s="270">
        <v>0</v>
      </c>
      <c r="N187" s="270">
        <v>0</v>
      </c>
      <c r="O187" s="270">
        <f t="shared" si="29"/>
        <v>0</v>
      </c>
    </row>
    <row r="188" spans="1:15" x14ac:dyDescent="0.2">
      <c r="B188" s="220" t="s">
        <v>1216</v>
      </c>
      <c r="C188" s="270">
        <v>800066</v>
      </c>
      <c r="D188" s="270">
        <v>784250</v>
      </c>
      <c r="E188" s="270">
        <v>831964</v>
      </c>
      <c r="F188" s="270">
        <v>853254</v>
      </c>
      <c r="G188" s="270">
        <v>837285</v>
      </c>
      <c r="H188" s="270">
        <v>893603</v>
      </c>
      <c r="I188" s="270">
        <v>892052</v>
      </c>
      <c r="J188" s="270">
        <v>920779</v>
      </c>
      <c r="K188" s="270">
        <v>825227</v>
      </c>
      <c r="L188" s="270">
        <v>869215</v>
      </c>
      <c r="M188" s="270">
        <v>822655</v>
      </c>
      <c r="N188" s="270">
        <v>777240</v>
      </c>
      <c r="O188" s="270">
        <f t="shared" si="29"/>
        <v>10107590</v>
      </c>
    </row>
    <row r="189" spans="1:15" x14ac:dyDescent="0.2">
      <c r="B189" s="220" t="s">
        <v>1217</v>
      </c>
      <c r="C189" s="270">
        <v>0</v>
      </c>
      <c r="D189" s="270">
        <v>0</v>
      </c>
      <c r="E189" s="270">
        <v>0</v>
      </c>
      <c r="F189" s="270">
        <v>0</v>
      </c>
      <c r="G189" s="270">
        <v>0</v>
      </c>
      <c r="H189" s="270">
        <v>0</v>
      </c>
      <c r="I189" s="270">
        <v>0</v>
      </c>
      <c r="J189" s="270">
        <v>0</v>
      </c>
      <c r="K189" s="270">
        <v>0</v>
      </c>
      <c r="L189" s="270">
        <v>0</v>
      </c>
      <c r="M189" s="270">
        <v>0</v>
      </c>
      <c r="N189" s="270">
        <v>0</v>
      </c>
      <c r="O189" s="270">
        <f t="shared" si="29"/>
        <v>0</v>
      </c>
    </row>
    <row r="190" spans="1:15" x14ac:dyDescent="0.2">
      <c r="B190" s="220" t="s">
        <v>1218</v>
      </c>
      <c r="C190" s="270">
        <v>0</v>
      </c>
      <c r="D190" s="270">
        <v>0</v>
      </c>
      <c r="E190" s="270">
        <v>0</v>
      </c>
      <c r="F190" s="270">
        <v>0</v>
      </c>
      <c r="G190" s="270">
        <v>0</v>
      </c>
      <c r="H190" s="270">
        <v>0</v>
      </c>
      <c r="I190" s="270">
        <v>0</v>
      </c>
      <c r="J190" s="270">
        <v>0</v>
      </c>
      <c r="K190" s="270">
        <v>0</v>
      </c>
      <c r="L190" s="270">
        <v>0</v>
      </c>
      <c r="M190" s="270">
        <v>0</v>
      </c>
      <c r="N190" s="270">
        <v>0</v>
      </c>
      <c r="O190" s="270">
        <f t="shared" si="29"/>
        <v>0</v>
      </c>
    </row>
    <row r="191" spans="1:15" x14ac:dyDescent="0.2">
      <c r="B191" s="220" t="s">
        <v>1189</v>
      </c>
      <c r="C191" s="233">
        <v>12359</v>
      </c>
      <c r="D191" s="233">
        <v>12359</v>
      </c>
      <c r="E191" s="233">
        <v>12359</v>
      </c>
      <c r="F191" s="233">
        <v>12359</v>
      </c>
      <c r="G191" s="233">
        <v>12359</v>
      </c>
      <c r="H191" s="233">
        <v>12359</v>
      </c>
      <c r="I191" s="233">
        <v>12359</v>
      </c>
      <c r="J191" s="233">
        <v>12359</v>
      </c>
      <c r="K191" s="233">
        <v>12359</v>
      </c>
      <c r="L191" s="233">
        <v>12658</v>
      </c>
      <c r="M191" s="233">
        <v>12359</v>
      </c>
      <c r="N191" s="233">
        <v>12359</v>
      </c>
      <c r="O191" s="233">
        <f t="shared" si="29"/>
        <v>148607</v>
      </c>
    </row>
    <row r="192" spans="1:15" x14ac:dyDescent="0.2">
      <c r="B192" s="220" t="s">
        <v>1190</v>
      </c>
      <c r="C192" s="233">
        <v>31910</v>
      </c>
      <c r="D192" s="233">
        <v>31279</v>
      </c>
      <c r="E192" s="233">
        <v>33182</v>
      </c>
      <c r="F192" s="233">
        <v>34031</v>
      </c>
      <c r="G192" s="233">
        <v>33394</v>
      </c>
      <c r="H192" s="233">
        <v>35640</v>
      </c>
      <c r="I192" s="233">
        <v>35579</v>
      </c>
      <c r="J192" s="233">
        <v>36724</v>
      </c>
      <c r="K192" s="233">
        <v>32913</v>
      </c>
      <c r="L192" s="233">
        <v>34668</v>
      </c>
      <c r="M192" s="233">
        <v>32811</v>
      </c>
      <c r="N192" s="233">
        <v>30999</v>
      </c>
      <c r="O192" s="233">
        <f t="shared" si="29"/>
        <v>403130</v>
      </c>
    </row>
    <row r="193" spans="1:15" x14ac:dyDescent="0.2">
      <c r="B193" s="220" t="s">
        <v>1191</v>
      </c>
      <c r="C193" s="233">
        <v>6929</v>
      </c>
      <c r="D193" s="233">
        <v>11536</v>
      </c>
      <c r="E193" s="233">
        <v>8952</v>
      </c>
      <c r="F193" s="233">
        <v>2133</v>
      </c>
      <c r="G193" s="233">
        <v>7368</v>
      </c>
      <c r="H193" s="233">
        <v>4093</v>
      </c>
      <c r="I193" s="233">
        <v>6102</v>
      </c>
      <c r="J193" s="233">
        <v>10285</v>
      </c>
      <c r="K193" s="233">
        <v>8541</v>
      </c>
      <c r="L193" s="233">
        <v>9631</v>
      </c>
      <c r="M193" s="233">
        <v>6631</v>
      </c>
      <c r="N193" s="233">
        <v>4912</v>
      </c>
      <c r="O193" s="233">
        <f t="shared" si="29"/>
        <v>87113</v>
      </c>
    </row>
    <row r="194" spans="1:15" x14ac:dyDescent="0.2">
      <c r="B194" s="220" t="s">
        <v>1192</v>
      </c>
      <c r="C194" s="233">
        <v>8489</v>
      </c>
      <c r="D194" s="233">
        <v>8453</v>
      </c>
      <c r="E194" s="233">
        <v>5896</v>
      </c>
      <c r="F194" s="233">
        <v>7162</v>
      </c>
      <c r="G194" s="233">
        <v>9456</v>
      </c>
      <c r="H194" s="233">
        <v>9741</v>
      </c>
      <c r="I194" s="233">
        <v>10462</v>
      </c>
      <c r="J194" s="233">
        <v>11511</v>
      </c>
      <c r="K194" s="233">
        <v>8153</v>
      </c>
      <c r="L194" s="233">
        <v>8424</v>
      </c>
      <c r="M194" s="233">
        <v>9050</v>
      </c>
      <c r="N194" s="233">
        <v>8664</v>
      </c>
      <c r="O194" s="233">
        <f t="shared" si="29"/>
        <v>105461</v>
      </c>
    </row>
    <row r="195" spans="1:15" x14ac:dyDescent="0.2">
      <c r="B195" s="220" t="s">
        <v>1193</v>
      </c>
      <c r="C195" s="291">
        <f t="shared" ref="C195:N195" si="31">SUM(C191:C194)</f>
        <v>59687</v>
      </c>
      <c r="D195" s="291">
        <f t="shared" si="31"/>
        <v>63627</v>
      </c>
      <c r="E195" s="291">
        <f t="shared" si="31"/>
        <v>60389</v>
      </c>
      <c r="F195" s="291">
        <f t="shared" si="31"/>
        <v>55685</v>
      </c>
      <c r="G195" s="291">
        <f t="shared" si="31"/>
        <v>62577</v>
      </c>
      <c r="H195" s="291">
        <f t="shared" si="31"/>
        <v>61833</v>
      </c>
      <c r="I195" s="291">
        <f t="shared" si="31"/>
        <v>64502</v>
      </c>
      <c r="J195" s="291">
        <f t="shared" si="31"/>
        <v>70879</v>
      </c>
      <c r="K195" s="291">
        <f t="shared" si="31"/>
        <v>61966</v>
      </c>
      <c r="L195" s="291">
        <f t="shared" si="31"/>
        <v>65381</v>
      </c>
      <c r="M195" s="291">
        <f t="shared" si="31"/>
        <v>60851</v>
      </c>
      <c r="N195" s="291">
        <f t="shared" si="31"/>
        <v>56934</v>
      </c>
      <c r="O195" s="291">
        <f t="shared" si="29"/>
        <v>744311</v>
      </c>
    </row>
    <row r="196" spans="1:15" x14ac:dyDescent="0.2">
      <c r="A196" s="240">
        <v>11</v>
      </c>
      <c r="B196" s="219" t="s">
        <v>1211</v>
      </c>
    </row>
    <row r="197" spans="1:15" x14ac:dyDescent="0.2">
      <c r="A197" s="240" t="s">
        <v>1225</v>
      </c>
      <c r="B197" s="220" t="s">
        <v>1188</v>
      </c>
      <c r="C197" s="270">
        <v>900</v>
      </c>
      <c r="D197" s="270">
        <v>900</v>
      </c>
      <c r="E197" s="270">
        <v>900</v>
      </c>
      <c r="F197" s="270">
        <v>900</v>
      </c>
      <c r="G197" s="270">
        <v>900</v>
      </c>
      <c r="H197" s="270">
        <v>900</v>
      </c>
      <c r="I197" s="270">
        <v>900</v>
      </c>
      <c r="J197" s="270">
        <v>900</v>
      </c>
      <c r="K197" s="270">
        <v>900</v>
      </c>
      <c r="L197" s="270">
        <v>974</v>
      </c>
      <c r="M197" s="270">
        <v>900</v>
      </c>
      <c r="N197" s="270">
        <v>930</v>
      </c>
      <c r="O197" s="270">
        <f t="shared" si="29"/>
        <v>10904</v>
      </c>
    </row>
    <row r="198" spans="1:15" x14ac:dyDescent="0.2">
      <c r="B198" s="220" t="s">
        <v>1213</v>
      </c>
      <c r="C198" s="270">
        <v>0</v>
      </c>
      <c r="D198" s="270">
        <v>0</v>
      </c>
      <c r="E198" s="270">
        <v>0</v>
      </c>
      <c r="F198" s="270">
        <v>0</v>
      </c>
      <c r="G198" s="270">
        <v>0</v>
      </c>
      <c r="H198" s="270">
        <v>0</v>
      </c>
      <c r="I198" s="270">
        <v>0</v>
      </c>
      <c r="J198" s="270">
        <v>0</v>
      </c>
      <c r="K198" s="270">
        <v>0</v>
      </c>
      <c r="L198" s="270">
        <v>0</v>
      </c>
      <c r="M198" s="270">
        <v>0</v>
      </c>
      <c r="N198" s="270">
        <v>0</v>
      </c>
      <c r="O198" s="270">
        <f t="shared" si="29"/>
        <v>0</v>
      </c>
    </row>
    <row r="199" spans="1:15" x14ac:dyDescent="0.2">
      <c r="B199" s="220" t="s">
        <v>1214</v>
      </c>
      <c r="C199" s="270">
        <v>0</v>
      </c>
      <c r="D199" s="270">
        <v>0</v>
      </c>
      <c r="E199" s="270">
        <v>0</v>
      </c>
      <c r="F199" s="270">
        <v>0</v>
      </c>
      <c r="G199" s="270">
        <v>0</v>
      </c>
      <c r="H199" s="270">
        <v>0</v>
      </c>
      <c r="I199" s="270">
        <v>0</v>
      </c>
      <c r="J199" s="270">
        <v>0</v>
      </c>
      <c r="K199" s="270">
        <v>0</v>
      </c>
      <c r="L199" s="270">
        <v>0</v>
      </c>
      <c r="M199" s="270">
        <v>0</v>
      </c>
      <c r="N199" s="270">
        <v>0</v>
      </c>
      <c r="O199" s="270">
        <f t="shared" si="29"/>
        <v>0</v>
      </c>
    </row>
    <row r="200" spans="1:15" x14ac:dyDescent="0.2">
      <c r="B200" s="220" t="s">
        <v>1215</v>
      </c>
      <c r="C200" s="270">
        <v>0</v>
      </c>
      <c r="D200" s="270">
        <v>0</v>
      </c>
      <c r="E200" s="270">
        <v>0</v>
      </c>
      <c r="F200" s="270">
        <v>0</v>
      </c>
      <c r="G200" s="270">
        <v>0</v>
      </c>
      <c r="H200" s="270">
        <v>0</v>
      </c>
      <c r="I200" s="270">
        <v>0</v>
      </c>
      <c r="J200" s="270">
        <v>0</v>
      </c>
      <c r="K200" s="270">
        <v>0</v>
      </c>
      <c r="L200" s="270">
        <v>0</v>
      </c>
      <c r="M200" s="270">
        <v>0</v>
      </c>
      <c r="N200" s="270">
        <v>0</v>
      </c>
      <c r="O200" s="270">
        <f t="shared" si="29"/>
        <v>0</v>
      </c>
    </row>
    <row r="201" spans="1:15" x14ac:dyDescent="0.2">
      <c r="B201" s="220" t="s">
        <v>1216</v>
      </c>
      <c r="C201" s="270">
        <v>476509</v>
      </c>
      <c r="D201" s="270">
        <v>443533</v>
      </c>
      <c r="E201" s="270">
        <v>486562</v>
      </c>
      <c r="F201" s="270">
        <v>456212</v>
      </c>
      <c r="G201" s="270">
        <v>455966</v>
      </c>
      <c r="H201" s="270">
        <v>448817</v>
      </c>
      <c r="I201" s="270">
        <v>448361</v>
      </c>
      <c r="J201" s="270">
        <v>450892</v>
      </c>
      <c r="K201" s="270">
        <v>402030</v>
      </c>
      <c r="L201" s="270">
        <v>482658</v>
      </c>
      <c r="M201" s="270">
        <v>472115</v>
      </c>
      <c r="N201" s="270">
        <v>442853</v>
      </c>
      <c r="O201" s="270">
        <f t="shared" si="29"/>
        <v>5466508</v>
      </c>
    </row>
    <row r="202" spans="1:15" x14ac:dyDescent="0.2">
      <c r="B202" s="220" t="s">
        <v>1217</v>
      </c>
      <c r="C202" s="270">
        <v>0</v>
      </c>
      <c r="D202" s="270">
        <v>0</v>
      </c>
      <c r="E202" s="270">
        <v>0</v>
      </c>
      <c r="F202" s="270">
        <v>0</v>
      </c>
      <c r="G202" s="270">
        <v>0</v>
      </c>
      <c r="H202" s="270">
        <v>0</v>
      </c>
      <c r="I202" s="270">
        <v>0</v>
      </c>
      <c r="J202" s="270">
        <v>0</v>
      </c>
      <c r="K202" s="270">
        <v>0</v>
      </c>
      <c r="L202" s="270">
        <v>0</v>
      </c>
      <c r="M202" s="270">
        <v>0</v>
      </c>
      <c r="N202" s="270">
        <v>0</v>
      </c>
      <c r="O202" s="270">
        <f t="shared" si="29"/>
        <v>0</v>
      </c>
    </row>
    <row r="203" spans="1:15" x14ac:dyDescent="0.2">
      <c r="B203" s="220" t="s">
        <v>1218</v>
      </c>
      <c r="C203" s="270">
        <v>0</v>
      </c>
      <c r="D203" s="270">
        <v>0</v>
      </c>
      <c r="E203" s="270">
        <v>0</v>
      </c>
      <c r="F203" s="270">
        <v>0</v>
      </c>
      <c r="G203" s="270">
        <v>0</v>
      </c>
      <c r="H203" s="270">
        <v>0</v>
      </c>
      <c r="I203" s="270">
        <v>0</v>
      </c>
      <c r="J203" s="270">
        <v>0</v>
      </c>
      <c r="K203" s="270">
        <v>0</v>
      </c>
      <c r="L203" s="270">
        <v>0</v>
      </c>
      <c r="M203" s="270">
        <v>0</v>
      </c>
      <c r="N203" s="270">
        <v>0</v>
      </c>
      <c r="O203" s="270">
        <f t="shared" si="29"/>
        <v>0</v>
      </c>
    </row>
    <row r="204" spans="1:15" x14ac:dyDescent="0.2">
      <c r="B204" s="220" t="s">
        <v>1189</v>
      </c>
      <c r="C204" s="233">
        <v>6741</v>
      </c>
      <c r="D204" s="233">
        <v>6741</v>
      </c>
      <c r="E204" s="233">
        <v>6741</v>
      </c>
      <c r="F204" s="233">
        <v>6741</v>
      </c>
      <c r="G204" s="233">
        <v>6741</v>
      </c>
      <c r="H204" s="233">
        <v>6741</v>
      </c>
      <c r="I204" s="233">
        <v>6741</v>
      </c>
      <c r="J204" s="233">
        <v>6741</v>
      </c>
      <c r="K204" s="233">
        <v>6741</v>
      </c>
      <c r="L204" s="233">
        <v>7480</v>
      </c>
      <c r="M204" s="233">
        <v>6741</v>
      </c>
      <c r="N204" s="233">
        <v>7040</v>
      </c>
      <c r="O204" s="233">
        <f t="shared" si="29"/>
        <v>81930</v>
      </c>
    </row>
    <row r="205" spans="1:15" x14ac:dyDescent="0.2">
      <c r="B205" s="220" t="s">
        <v>1190</v>
      </c>
      <c r="C205" s="233">
        <v>19005</v>
      </c>
      <c r="D205" s="233">
        <v>17690</v>
      </c>
      <c r="E205" s="233">
        <v>19406</v>
      </c>
      <c r="F205" s="233">
        <v>18196</v>
      </c>
      <c r="G205" s="233">
        <v>18186</v>
      </c>
      <c r="H205" s="233">
        <v>17901</v>
      </c>
      <c r="I205" s="233">
        <v>17882</v>
      </c>
      <c r="J205" s="233">
        <v>17983</v>
      </c>
      <c r="K205" s="233">
        <v>16035</v>
      </c>
      <c r="L205" s="233">
        <v>19250</v>
      </c>
      <c r="M205" s="233">
        <v>18830</v>
      </c>
      <c r="N205" s="233">
        <v>17663</v>
      </c>
      <c r="O205" s="233">
        <f t="shared" si="29"/>
        <v>218027</v>
      </c>
    </row>
    <row r="206" spans="1:15" x14ac:dyDescent="0.2">
      <c r="B206" s="220" t="s">
        <v>1191</v>
      </c>
      <c r="C206" s="233">
        <v>4127</v>
      </c>
      <c r="D206" s="233">
        <v>6524</v>
      </c>
      <c r="E206" s="233">
        <v>5235</v>
      </c>
      <c r="F206" s="233">
        <v>1141</v>
      </c>
      <c r="G206" s="233">
        <v>4013</v>
      </c>
      <c r="H206" s="233">
        <v>2056</v>
      </c>
      <c r="I206" s="233">
        <v>3067</v>
      </c>
      <c r="J206" s="233">
        <v>5036</v>
      </c>
      <c r="K206" s="233">
        <v>4161</v>
      </c>
      <c r="L206" s="233">
        <v>5348</v>
      </c>
      <c r="M206" s="233">
        <v>3805</v>
      </c>
      <c r="N206" s="233">
        <v>2799</v>
      </c>
      <c r="O206" s="233">
        <f t="shared" si="29"/>
        <v>47312</v>
      </c>
    </row>
    <row r="207" spans="1:15" x14ac:dyDescent="0.2">
      <c r="B207" s="220" t="s">
        <v>1192</v>
      </c>
      <c r="C207" s="233">
        <v>4953</v>
      </c>
      <c r="D207" s="233">
        <v>4742</v>
      </c>
      <c r="E207" s="233">
        <v>3396</v>
      </c>
      <c r="F207" s="233">
        <v>3849</v>
      </c>
      <c r="G207" s="233">
        <v>5151</v>
      </c>
      <c r="H207" s="233">
        <v>4993</v>
      </c>
      <c r="I207" s="233">
        <v>5361</v>
      </c>
      <c r="J207" s="233">
        <v>5770</v>
      </c>
      <c r="K207" s="233">
        <v>4081</v>
      </c>
      <c r="L207" s="233">
        <v>4744</v>
      </c>
      <c r="M207" s="233">
        <v>5132</v>
      </c>
      <c r="N207" s="233">
        <v>4937</v>
      </c>
      <c r="O207" s="233">
        <f t="shared" si="29"/>
        <v>57109</v>
      </c>
    </row>
    <row r="208" spans="1:15" x14ac:dyDescent="0.2">
      <c r="B208" s="220" t="s">
        <v>1193</v>
      </c>
      <c r="C208" s="291">
        <f t="shared" ref="C208:N208" si="32">SUM(C204:C207)</f>
        <v>34826</v>
      </c>
      <c r="D208" s="291">
        <f t="shared" si="32"/>
        <v>35697</v>
      </c>
      <c r="E208" s="291">
        <f t="shared" si="32"/>
        <v>34778</v>
      </c>
      <c r="F208" s="291">
        <f t="shared" si="32"/>
        <v>29927</v>
      </c>
      <c r="G208" s="291">
        <f t="shared" si="32"/>
        <v>34091</v>
      </c>
      <c r="H208" s="291">
        <f t="shared" si="32"/>
        <v>31691</v>
      </c>
      <c r="I208" s="291">
        <f t="shared" si="32"/>
        <v>33051</v>
      </c>
      <c r="J208" s="291">
        <f t="shared" si="32"/>
        <v>35530</v>
      </c>
      <c r="K208" s="291">
        <f t="shared" si="32"/>
        <v>31018</v>
      </c>
      <c r="L208" s="291">
        <f t="shared" si="32"/>
        <v>36822</v>
      </c>
      <c r="M208" s="291">
        <f t="shared" si="32"/>
        <v>34508</v>
      </c>
      <c r="N208" s="291">
        <f t="shared" si="32"/>
        <v>32439</v>
      </c>
      <c r="O208" s="291">
        <f t="shared" si="29"/>
        <v>404378</v>
      </c>
    </row>
    <row r="210" spans="2:15" x14ac:dyDescent="0.2">
      <c r="B210" s="288" t="s">
        <v>1228</v>
      </c>
    </row>
    <row r="212" spans="2:15" x14ac:dyDescent="0.2">
      <c r="B212" s="219" t="s">
        <v>1199</v>
      </c>
    </row>
    <row r="213" spans="2:15" x14ac:dyDescent="0.2">
      <c r="B213" s="232" t="s">
        <v>1073</v>
      </c>
      <c r="C213" s="226">
        <f>C54+C100+C165+(C57+C103+C168)*C37</f>
        <v>154132.4</v>
      </c>
      <c r="D213" s="226">
        <f t="shared" ref="D213:O213" si="33">D54+D100+D165+(D57+D103+D168)*D37</f>
        <v>153337.4</v>
      </c>
      <c r="E213" s="226">
        <f t="shared" si="33"/>
        <v>139765.4</v>
      </c>
      <c r="F213" s="226">
        <f t="shared" si="33"/>
        <v>145140.20000000001</v>
      </c>
      <c r="G213" s="226">
        <f t="shared" si="33"/>
        <v>158799.20000000001</v>
      </c>
      <c r="H213" s="226">
        <f t="shared" si="33"/>
        <v>163050</v>
      </c>
      <c r="I213" s="226">
        <f t="shared" si="33"/>
        <v>164605.79999999999</v>
      </c>
      <c r="J213" s="226">
        <f t="shared" si="33"/>
        <v>175012.4</v>
      </c>
      <c r="K213" s="226">
        <f t="shared" si="33"/>
        <v>156326.6</v>
      </c>
      <c r="L213" s="226">
        <f t="shared" si="33"/>
        <v>151830.39999999999</v>
      </c>
      <c r="M213" s="226">
        <f t="shared" si="33"/>
        <v>154693.4</v>
      </c>
      <c r="N213" s="226">
        <f t="shared" si="33"/>
        <v>153794</v>
      </c>
      <c r="O213" s="226">
        <f t="shared" si="33"/>
        <v>1870487.2</v>
      </c>
    </row>
    <row r="214" spans="2:15" x14ac:dyDescent="0.2">
      <c r="B214" s="232" t="s">
        <v>1074</v>
      </c>
      <c r="C214" s="226">
        <f>C55+C56+C101+C102++C166+C167+(C57+C103+C168)*C38</f>
        <v>357111.6</v>
      </c>
      <c r="D214" s="226">
        <f t="shared" ref="D214:O214" si="34">D55+D56+D101+D102++D166+D167+(D57+D103+D168)*D38</f>
        <v>384000.6</v>
      </c>
      <c r="E214" s="226">
        <f t="shared" si="34"/>
        <v>359682.6</v>
      </c>
      <c r="F214" s="226">
        <f t="shared" si="34"/>
        <v>303649.8</v>
      </c>
      <c r="G214" s="226">
        <f t="shared" si="34"/>
        <v>373857.8</v>
      </c>
      <c r="H214" s="226">
        <f t="shared" si="34"/>
        <v>376385</v>
      </c>
      <c r="I214" s="226">
        <f t="shared" si="34"/>
        <v>374351.2</v>
      </c>
      <c r="J214" s="226">
        <f t="shared" si="34"/>
        <v>471806.6</v>
      </c>
      <c r="K214" s="226">
        <f t="shared" si="34"/>
        <v>405406.4</v>
      </c>
      <c r="L214" s="226">
        <f t="shared" si="34"/>
        <v>397816.6</v>
      </c>
      <c r="M214" s="226">
        <f t="shared" si="34"/>
        <v>340492.6</v>
      </c>
      <c r="N214" s="226">
        <f t="shared" si="34"/>
        <v>320276</v>
      </c>
      <c r="O214" s="226">
        <f t="shared" si="34"/>
        <v>4464836.8</v>
      </c>
    </row>
    <row r="215" spans="2:15" x14ac:dyDescent="0.2">
      <c r="B215" s="292" t="s">
        <v>0</v>
      </c>
      <c r="C215" s="247">
        <f>SUM(C213:C214)</f>
        <v>511244</v>
      </c>
      <c r="D215" s="247">
        <f t="shared" ref="D215:O215" si="35">SUM(D213:D214)</f>
        <v>537338</v>
      </c>
      <c r="E215" s="247">
        <f t="shared" si="35"/>
        <v>499448</v>
      </c>
      <c r="F215" s="247">
        <f t="shared" si="35"/>
        <v>448790</v>
      </c>
      <c r="G215" s="247">
        <f t="shared" si="35"/>
        <v>532657</v>
      </c>
      <c r="H215" s="247">
        <f t="shared" si="35"/>
        <v>539435</v>
      </c>
      <c r="I215" s="247">
        <f t="shared" si="35"/>
        <v>538957</v>
      </c>
      <c r="J215" s="247">
        <f t="shared" si="35"/>
        <v>646819</v>
      </c>
      <c r="K215" s="247">
        <f t="shared" si="35"/>
        <v>561733</v>
      </c>
      <c r="L215" s="247">
        <f t="shared" si="35"/>
        <v>549647</v>
      </c>
      <c r="M215" s="247">
        <f t="shared" si="35"/>
        <v>495186</v>
      </c>
      <c r="N215" s="247">
        <f t="shared" si="35"/>
        <v>474070</v>
      </c>
      <c r="O215" s="247">
        <f t="shared" si="35"/>
        <v>6335324</v>
      </c>
    </row>
    <row r="216" spans="2:15" x14ac:dyDescent="0.2">
      <c r="B216" s="232" t="s">
        <v>1075</v>
      </c>
      <c r="C216" s="226">
        <f>C58+C104+C169-C215</f>
        <v>0</v>
      </c>
      <c r="D216" s="226">
        <f t="shared" ref="D216:O216" si="36">D58+D104+D169-D215</f>
        <v>0</v>
      </c>
      <c r="E216" s="226">
        <f t="shared" si="36"/>
        <v>0</v>
      </c>
      <c r="F216" s="226">
        <f t="shared" si="36"/>
        <v>0</v>
      </c>
      <c r="G216" s="226">
        <f t="shared" si="36"/>
        <v>0</v>
      </c>
      <c r="H216" s="226">
        <f t="shared" si="36"/>
        <v>0</v>
      </c>
      <c r="I216" s="226">
        <f t="shared" si="36"/>
        <v>0</v>
      </c>
      <c r="J216" s="226">
        <f t="shared" si="36"/>
        <v>0</v>
      </c>
      <c r="K216" s="226">
        <f t="shared" si="36"/>
        <v>0</v>
      </c>
      <c r="L216" s="226">
        <f t="shared" si="36"/>
        <v>0</v>
      </c>
      <c r="M216" s="226">
        <f t="shared" si="36"/>
        <v>0</v>
      </c>
      <c r="N216" s="226">
        <f t="shared" si="36"/>
        <v>0</v>
      </c>
      <c r="O216" s="226">
        <f t="shared" si="36"/>
        <v>0</v>
      </c>
    </row>
    <row r="218" spans="2:15" x14ac:dyDescent="0.2">
      <c r="B218" s="219" t="s">
        <v>1187</v>
      </c>
    </row>
    <row r="219" spans="2:15" x14ac:dyDescent="0.2">
      <c r="B219" s="232" t="s">
        <v>1073</v>
      </c>
      <c r="C219" s="226">
        <f>C67+C113+C126+C139+C152+C178+C191+C204+(C70+C116+C129+C142+C155+C181+C194+C207)*C37</f>
        <v>108458.4</v>
      </c>
      <c r="D219" s="226">
        <f t="shared" ref="D219:O219" si="37">D67+D113+D126+D139+D152+D178+D191+D204+(D70+D116+D129+D142+D155+D181+D194+D207)*D37</f>
        <v>107303.8</v>
      </c>
      <c r="E219" s="226">
        <f t="shared" si="37"/>
        <v>96804.800000000003</v>
      </c>
      <c r="F219" s="226">
        <f t="shared" si="37"/>
        <v>101355</v>
      </c>
      <c r="G219" s="226">
        <f t="shared" si="37"/>
        <v>112902.6</v>
      </c>
      <c r="H219" s="226">
        <f t="shared" si="37"/>
        <v>115643</v>
      </c>
      <c r="I219" s="226">
        <f t="shared" si="37"/>
        <v>118071.6</v>
      </c>
      <c r="J219" s="226">
        <f t="shared" si="37"/>
        <v>122860.6</v>
      </c>
      <c r="K219" s="226">
        <f t="shared" si="37"/>
        <v>104722.6</v>
      </c>
      <c r="L219" s="226">
        <f t="shared" si="37"/>
        <v>108573.4</v>
      </c>
      <c r="M219" s="226">
        <f t="shared" si="37"/>
        <v>111811</v>
      </c>
      <c r="N219" s="226">
        <f t="shared" si="37"/>
        <v>111160.8</v>
      </c>
      <c r="O219" s="226">
        <f t="shared" si="37"/>
        <v>1319667.6000000001</v>
      </c>
    </row>
    <row r="220" spans="2:15" x14ac:dyDescent="0.2">
      <c r="B220" s="232" t="s">
        <v>1074</v>
      </c>
      <c r="C220" s="226">
        <f>C68+C69+C114+C115+C127+C128+C140+C141+C153+C154+C179+C180+C192+C193+C205+C206+(C70+C116+C129+C142+C155+C181+C194+C207)*C38</f>
        <v>258852.6</v>
      </c>
      <c r="D220" s="226">
        <f t="shared" ref="D220:O220" si="38">D68+D69+D114+D115+D127+D128+D140+D141+D153+D154+D179+D180+D192+D193+D205+D206+(D70+D116+D129+D142+D155+D181+D194+D207)*D38</f>
        <v>279701.2</v>
      </c>
      <c r="E220" s="226">
        <f t="shared" si="38"/>
        <v>255647.2</v>
      </c>
      <c r="F220" s="226">
        <f t="shared" si="38"/>
        <v>227373</v>
      </c>
      <c r="G220" s="226">
        <f t="shared" si="38"/>
        <v>268629.40000000002</v>
      </c>
      <c r="H220" s="226">
        <f t="shared" si="38"/>
        <v>252393</v>
      </c>
      <c r="I220" s="226">
        <f t="shared" si="38"/>
        <v>259103.4</v>
      </c>
      <c r="J220" s="226">
        <f t="shared" si="38"/>
        <v>310741.40000000002</v>
      </c>
      <c r="K220" s="226">
        <f t="shared" si="38"/>
        <v>258400.4</v>
      </c>
      <c r="L220" s="226">
        <f t="shared" si="38"/>
        <v>287907.59999999998</v>
      </c>
      <c r="M220" s="226">
        <f t="shared" si="38"/>
        <v>247820</v>
      </c>
      <c r="N220" s="226">
        <f t="shared" si="38"/>
        <v>224440.2</v>
      </c>
      <c r="O220" s="226">
        <f t="shared" si="38"/>
        <v>3131009.4</v>
      </c>
    </row>
    <row r="221" spans="2:15" x14ac:dyDescent="0.2">
      <c r="B221" s="292" t="s">
        <v>0</v>
      </c>
      <c r="C221" s="247">
        <f>SUM(C219:C220)</f>
        <v>367311</v>
      </c>
      <c r="D221" s="247">
        <f t="shared" ref="D221:O221" si="39">SUM(D219:D220)</f>
        <v>387005</v>
      </c>
      <c r="E221" s="247">
        <f t="shared" si="39"/>
        <v>352452</v>
      </c>
      <c r="F221" s="247">
        <f t="shared" si="39"/>
        <v>328728</v>
      </c>
      <c r="G221" s="247">
        <f t="shared" si="39"/>
        <v>381532</v>
      </c>
      <c r="H221" s="247">
        <f t="shared" si="39"/>
        <v>368036</v>
      </c>
      <c r="I221" s="247">
        <f t="shared" si="39"/>
        <v>377175</v>
      </c>
      <c r="J221" s="247">
        <f t="shared" si="39"/>
        <v>433602</v>
      </c>
      <c r="K221" s="247">
        <f t="shared" si="39"/>
        <v>363123</v>
      </c>
      <c r="L221" s="247">
        <f t="shared" si="39"/>
        <v>396481</v>
      </c>
      <c r="M221" s="247">
        <f t="shared" si="39"/>
        <v>359631</v>
      </c>
      <c r="N221" s="247">
        <f t="shared" si="39"/>
        <v>335601</v>
      </c>
      <c r="O221" s="247">
        <f t="shared" si="39"/>
        <v>4450677</v>
      </c>
    </row>
    <row r="222" spans="2:15" x14ac:dyDescent="0.2">
      <c r="B222" s="232" t="s">
        <v>1075</v>
      </c>
      <c r="C222" s="226">
        <f>C71+C117+C130+C143+C156+C182+C195+C208-C221</f>
        <v>0</v>
      </c>
      <c r="D222" s="226">
        <f t="shared" ref="D222:O222" si="40">D71+D117+D130+D143+D156+D182+D195+D208-D221</f>
        <v>0</v>
      </c>
      <c r="E222" s="226">
        <f t="shared" si="40"/>
        <v>0</v>
      </c>
      <c r="F222" s="226">
        <f t="shared" si="40"/>
        <v>0</v>
      </c>
      <c r="G222" s="226">
        <f t="shared" si="40"/>
        <v>0</v>
      </c>
      <c r="H222" s="226">
        <f t="shared" si="40"/>
        <v>0</v>
      </c>
      <c r="I222" s="226">
        <f t="shared" si="40"/>
        <v>0</v>
      </c>
      <c r="J222" s="226">
        <f t="shared" si="40"/>
        <v>0</v>
      </c>
      <c r="K222" s="226">
        <f t="shared" si="40"/>
        <v>0</v>
      </c>
      <c r="L222" s="226">
        <f t="shared" si="40"/>
        <v>0</v>
      </c>
      <c r="M222" s="226">
        <f t="shared" si="40"/>
        <v>0</v>
      </c>
      <c r="N222" s="226">
        <f t="shared" si="40"/>
        <v>0</v>
      </c>
      <c r="O222" s="226">
        <f t="shared" si="40"/>
        <v>0</v>
      </c>
    </row>
    <row r="224" spans="2:15" x14ac:dyDescent="0.2">
      <c r="B224" s="219" t="s">
        <v>1200</v>
      </c>
    </row>
    <row r="225" spans="2:15" x14ac:dyDescent="0.2">
      <c r="B225" s="232" t="s">
        <v>1073</v>
      </c>
      <c r="C225" s="226">
        <f>C81+C82+C83+(C87)*C37</f>
        <v>64228.399999999994</v>
      </c>
      <c r="D225" s="226">
        <f t="shared" ref="D225:O225" si="41">D81+D82+D83+(D87)*D37</f>
        <v>60824</v>
      </c>
      <c r="E225" s="226">
        <f t="shared" si="41"/>
        <v>49293.599999999999</v>
      </c>
      <c r="F225" s="226">
        <f t="shared" si="41"/>
        <v>5137</v>
      </c>
      <c r="G225" s="226">
        <f t="shared" si="41"/>
        <v>5102.8</v>
      </c>
      <c r="H225" s="226">
        <f t="shared" si="41"/>
        <v>5179</v>
      </c>
      <c r="I225" s="226">
        <f t="shared" si="41"/>
        <v>5360.8</v>
      </c>
      <c r="J225" s="226">
        <f t="shared" si="41"/>
        <v>5039.2</v>
      </c>
      <c r="K225" s="226">
        <f t="shared" si="41"/>
        <v>7323.4</v>
      </c>
      <c r="L225" s="226">
        <f t="shared" si="41"/>
        <v>55341.2</v>
      </c>
      <c r="M225" s="226">
        <f t="shared" si="41"/>
        <v>50361.2</v>
      </c>
      <c r="N225" s="226">
        <f t="shared" si="41"/>
        <v>65860.2</v>
      </c>
      <c r="O225" s="226">
        <f t="shared" si="41"/>
        <v>379050.8</v>
      </c>
    </row>
    <row r="226" spans="2:15" x14ac:dyDescent="0.2">
      <c r="B226" s="232" t="s">
        <v>1074</v>
      </c>
      <c r="C226" s="226">
        <f>C85+C86+C89+C90+(C87)*C38</f>
        <v>225254.6</v>
      </c>
      <c r="D226" s="226">
        <f t="shared" ref="D226:O226" si="42">D85+D86+D89+D90+(D87)*D38</f>
        <v>198121</v>
      </c>
      <c r="E226" s="226">
        <f t="shared" si="42"/>
        <v>105215.4</v>
      </c>
      <c r="F226" s="226">
        <f t="shared" si="42"/>
        <v>12903</v>
      </c>
      <c r="G226" s="226">
        <f t="shared" si="42"/>
        <v>9876.2000000000007</v>
      </c>
      <c r="H226" s="226">
        <f t="shared" si="42"/>
        <v>9992</v>
      </c>
      <c r="I226" s="226">
        <f t="shared" si="42"/>
        <v>11240.2</v>
      </c>
      <c r="J226" s="226">
        <f t="shared" si="42"/>
        <v>8242.7999999999993</v>
      </c>
      <c r="K226" s="226">
        <f t="shared" si="42"/>
        <v>38008.6</v>
      </c>
      <c r="L226" s="226">
        <f t="shared" si="42"/>
        <v>144215.79999999999</v>
      </c>
      <c r="M226" s="226">
        <f t="shared" si="42"/>
        <v>160821.79999999999</v>
      </c>
      <c r="N226" s="226">
        <f t="shared" si="42"/>
        <v>213029.8</v>
      </c>
      <c r="O226" s="226">
        <f t="shared" si="42"/>
        <v>1136921.2</v>
      </c>
    </row>
    <row r="227" spans="2:15" x14ac:dyDescent="0.2">
      <c r="B227" s="292" t="s">
        <v>0</v>
      </c>
      <c r="C227" s="247">
        <f>SUM(C225:C226)</f>
        <v>289483</v>
      </c>
      <c r="D227" s="247">
        <f t="shared" ref="D227:O227" si="43">SUM(D225:D226)</f>
        <v>258945</v>
      </c>
      <c r="E227" s="247">
        <f t="shared" si="43"/>
        <v>154509</v>
      </c>
      <c r="F227" s="247">
        <f t="shared" si="43"/>
        <v>18040</v>
      </c>
      <c r="G227" s="247">
        <f t="shared" si="43"/>
        <v>14979</v>
      </c>
      <c r="H227" s="247">
        <f t="shared" si="43"/>
        <v>15171</v>
      </c>
      <c r="I227" s="247">
        <f t="shared" si="43"/>
        <v>16601</v>
      </c>
      <c r="J227" s="247">
        <f t="shared" si="43"/>
        <v>13282</v>
      </c>
      <c r="K227" s="247">
        <f t="shared" si="43"/>
        <v>45332</v>
      </c>
      <c r="L227" s="247">
        <f t="shared" si="43"/>
        <v>199557</v>
      </c>
      <c r="M227" s="247">
        <f t="shared" si="43"/>
        <v>211183</v>
      </c>
      <c r="N227" s="247">
        <f t="shared" si="43"/>
        <v>278890</v>
      </c>
      <c r="O227" s="247">
        <f t="shared" si="43"/>
        <v>1515972</v>
      </c>
    </row>
    <row r="228" spans="2:15" x14ac:dyDescent="0.2">
      <c r="B228" s="232" t="s">
        <v>1075</v>
      </c>
      <c r="C228" s="226">
        <f>C91-C227</f>
        <v>0</v>
      </c>
      <c r="D228" s="226">
        <f t="shared" ref="D228:O228" si="44">D91-D227</f>
        <v>0</v>
      </c>
      <c r="E228" s="226">
        <f t="shared" si="44"/>
        <v>0</v>
      </c>
      <c r="F228" s="226">
        <f t="shared" si="44"/>
        <v>0</v>
      </c>
      <c r="G228" s="226">
        <f t="shared" si="44"/>
        <v>0</v>
      </c>
      <c r="H228" s="226">
        <f t="shared" si="44"/>
        <v>0</v>
      </c>
      <c r="I228" s="226">
        <f t="shared" si="44"/>
        <v>0</v>
      </c>
      <c r="J228" s="226">
        <f t="shared" si="44"/>
        <v>0</v>
      </c>
      <c r="K228" s="226">
        <f t="shared" si="44"/>
        <v>0</v>
      </c>
      <c r="L228" s="226">
        <f t="shared" si="44"/>
        <v>0</v>
      </c>
      <c r="M228" s="226">
        <f t="shared" si="44"/>
        <v>0</v>
      </c>
      <c r="N228" s="226">
        <f t="shared" si="44"/>
        <v>0</v>
      </c>
      <c r="O228" s="226">
        <f t="shared" si="44"/>
        <v>0</v>
      </c>
    </row>
    <row r="230" spans="2:15" x14ac:dyDescent="0.2">
      <c r="B230" s="219" t="s">
        <v>1220</v>
      </c>
    </row>
    <row r="231" spans="2:15" x14ac:dyDescent="0.2">
      <c r="B231" s="232" t="s">
        <v>1073</v>
      </c>
      <c r="C231" s="226">
        <f>C225+C219</f>
        <v>172686.8</v>
      </c>
      <c r="D231" s="226">
        <f t="shared" ref="D231:O231" si="45">D225+D219</f>
        <v>168127.8</v>
      </c>
      <c r="E231" s="226">
        <f t="shared" si="45"/>
        <v>146098.4</v>
      </c>
      <c r="F231" s="226">
        <f t="shared" si="45"/>
        <v>106492</v>
      </c>
      <c r="G231" s="226">
        <f t="shared" si="45"/>
        <v>118005.40000000001</v>
      </c>
      <c r="H231" s="226">
        <f t="shared" si="45"/>
        <v>120822</v>
      </c>
      <c r="I231" s="226">
        <f t="shared" si="45"/>
        <v>123432.40000000001</v>
      </c>
      <c r="J231" s="226">
        <f t="shared" si="45"/>
        <v>127899.8</v>
      </c>
      <c r="K231" s="226">
        <f t="shared" si="45"/>
        <v>112046</v>
      </c>
      <c r="L231" s="226">
        <f t="shared" si="45"/>
        <v>163914.59999999998</v>
      </c>
      <c r="M231" s="226">
        <f t="shared" si="45"/>
        <v>162172.20000000001</v>
      </c>
      <c r="N231" s="226">
        <f t="shared" si="45"/>
        <v>177021</v>
      </c>
      <c r="O231" s="226">
        <f t="shared" si="45"/>
        <v>1698718.4000000001</v>
      </c>
    </row>
    <row r="232" spans="2:15" x14ac:dyDescent="0.2">
      <c r="B232" s="232" t="s">
        <v>1074</v>
      </c>
      <c r="C232" s="226">
        <f>C226+C220</f>
        <v>484107.2</v>
      </c>
      <c r="D232" s="226">
        <f t="shared" ref="D232:O232" si="46">D226+D220</f>
        <v>477822.2</v>
      </c>
      <c r="E232" s="226">
        <f t="shared" si="46"/>
        <v>360862.6</v>
      </c>
      <c r="F232" s="226">
        <f t="shared" si="46"/>
        <v>240276</v>
      </c>
      <c r="G232" s="226">
        <f t="shared" si="46"/>
        <v>278505.60000000003</v>
      </c>
      <c r="H232" s="226">
        <f t="shared" si="46"/>
        <v>262385</v>
      </c>
      <c r="I232" s="226">
        <f t="shared" si="46"/>
        <v>270343.59999999998</v>
      </c>
      <c r="J232" s="226">
        <f t="shared" si="46"/>
        <v>318984.2</v>
      </c>
      <c r="K232" s="226">
        <f t="shared" si="46"/>
        <v>296409</v>
      </c>
      <c r="L232" s="226">
        <f t="shared" si="46"/>
        <v>432123.39999999997</v>
      </c>
      <c r="M232" s="226">
        <f t="shared" si="46"/>
        <v>408641.8</v>
      </c>
      <c r="N232" s="226">
        <f t="shared" si="46"/>
        <v>437470</v>
      </c>
      <c r="O232" s="226">
        <f t="shared" si="46"/>
        <v>4267930.5999999996</v>
      </c>
    </row>
    <row r="233" spans="2:15" x14ac:dyDescent="0.2">
      <c r="B233" s="292" t="s">
        <v>0</v>
      </c>
      <c r="C233" s="247">
        <f>SUM(C231:C232)</f>
        <v>656794</v>
      </c>
      <c r="D233" s="247">
        <f t="shared" ref="D233:O233" si="47">SUM(D231:D232)</f>
        <v>645950</v>
      </c>
      <c r="E233" s="247">
        <f t="shared" si="47"/>
        <v>506961</v>
      </c>
      <c r="F233" s="247">
        <f t="shared" si="47"/>
        <v>346768</v>
      </c>
      <c r="G233" s="247">
        <f t="shared" si="47"/>
        <v>396511.00000000006</v>
      </c>
      <c r="H233" s="247">
        <f t="shared" si="47"/>
        <v>383207</v>
      </c>
      <c r="I233" s="247">
        <f t="shared" si="47"/>
        <v>393776</v>
      </c>
      <c r="J233" s="247">
        <f t="shared" si="47"/>
        <v>446884</v>
      </c>
      <c r="K233" s="247">
        <f t="shared" si="47"/>
        <v>408455</v>
      </c>
      <c r="L233" s="247">
        <f t="shared" si="47"/>
        <v>596038</v>
      </c>
      <c r="M233" s="247">
        <f t="shared" si="47"/>
        <v>570814</v>
      </c>
      <c r="N233" s="247">
        <f t="shared" si="47"/>
        <v>614491</v>
      </c>
      <c r="O233" s="247">
        <f t="shared" si="47"/>
        <v>5966649</v>
      </c>
    </row>
    <row r="234" spans="2:15" x14ac:dyDescent="0.2">
      <c r="B234" s="232" t="s">
        <v>1075</v>
      </c>
      <c r="C234" s="226">
        <f>C233-C227-C221</f>
        <v>0</v>
      </c>
      <c r="D234" s="226">
        <f t="shared" ref="D234:O234" si="48">D233-D227-D221</f>
        <v>0</v>
      </c>
      <c r="E234" s="226">
        <f t="shared" si="48"/>
        <v>0</v>
      </c>
      <c r="F234" s="226">
        <f t="shared" si="48"/>
        <v>0</v>
      </c>
      <c r="G234" s="226">
        <f t="shared" si="48"/>
        <v>0</v>
      </c>
      <c r="H234" s="226">
        <f t="shared" si="48"/>
        <v>0</v>
      </c>
      <c r="I234" s="226">
        <f t="shared" si="48"/>
        <v>0</v>
      </c>
      <c r="J234" s="226">
        <f t="shared" si="48"/>
        <v>0</v>
      </c>
      <c r="K234" s="226">
        <f t="shared" si="48"/>
        <v>0</v>
      </c>
      <c r="L234" s="226">
        <f t="shared" si="48"/>
        <v>0</v>
      </c>
      <c r="M234" s="226">
        <f t="shared" si="48"/>
        <v>0</v>
      </c>
      <c r="N234" s="226">
        <f t="shared" si="48"/>
        <v>0</v>
      </c>
      <c r="O234" s="226">
        <f t="shared" si="48"/>
        <v>0</v>
      </c>
    </row>
    <row r="236" spans="2:15" x14ac:dyDescent="0.2">
      <c r="B236" s="219" t="s">
        <v>1221</v>
      </c>
    </row>
    <row r="237" spans="2:15" x14ac:dyDescent="0.2">
      <c r="B237" s="232" t="s">
        <v>1073</v>
      </c>
      <c r="C237" s="226">
        <f>C231+C213</f>
        <v>326819.19999999995</v>
      </c>
      <c r="D237" s="226">
        <f t="shared" ref="D237:O237" si="49">D231+D213</f>
        <v>321465.19999999995</v>
      </c>
      <c r="E237" s="226">
        <f t="shared" si="49"/>
        <v>285863.8</v>
      </c>
      <c r="F237" s="226">
        <f t="shared" si="49"/>
        <v>251632.2</v>
      </c>
      <c r="G237" s="226">
        <f t="shared" si="49"/>
        <v>276804.60000000003</v>
      </c>
      <c r="H237" s="226">
        <f t="shared" si="49"/>
        <v>283872</v>
      </c>
      <c r="I237" s="226">
        <f t="shared" si="49"/>
        <v>288038.2</v>
      </c>
      <c r="J237" s="226">
        <f t="shared" si="49"/>
        <v>302912.2</v>
      </c>
      <c r="K237" s="226">
        <f t="shared" si="49"/>
        <v>268372.59999999998</v>
      </c>
      <c r="L237" s="226">
        <f t="shared" si="49"/>
        <v>315745</v>
      </c>
      <c r="M237" s="226">
        <f t="shared" si="49"/>
        <v>316865.59999999998</v>
      </c>
      <c r="N237" s="226">
        <f t="shared" si="49"/>
        <v>330815</v>
      </c>
      <c r="O237" s="226">
        <f t="shared" si="49"/>
        <v>3569205.6</v>
      </c>
    </row>
    <row r="238" spans="2:15" x14ac:dyDescent="0.2">
      <c r="B238" s="232" t="s">
        <v>1074</v>
      </c>
      <c r="C238" s="226">
        <f>C232+C214</f>
        <v>841218.8</v>
      </c>
      <c r="D238" s="226">
        <f t="shared" ref="D238:O238" si="50">D232+D214</f>
        <v>861822.8</v>
      </c>
      <c r="E238" s="226">
        <f t="shared" si="50"/>
        <v>720545.2</v>
      </c>
      <c r="F238" s="226">
        <f t="shared" si="50"/>
        <v>543925.80000000005</v>
      </c>
      <c r="G238" s="226">
        <f t="shared" si="50"/>
        <v>652363.4</v>
      </c>
      <c r="H238" s="226">
        <f t="shared" si="50"/>
        <v>638770</v>
      </c>
      <c r="I238" s="226">
        <f t="shared" si="50"/>
        <v>644694.80000000005</v>
      </c>
      <c r="J238" s="226">
        <f t="shared" si="50"/>
        <v>790790.8</v>
      </c>
      <c r="K238" s="226">
        <f t="shared" si="50"/>
        <v>701815.4</v>
      </c>
      <c r="L238" s="226">
        <f t="shared" si="50"/>
        <v>829940</v>
      </c>
      <c r="M238" s="226">
        <f t="shared" si="50"/>
        <v>749134.39999999991</v>
      </c>
      <c r="N238" s="226">
        <f t="shared" si="50"/>
        <v>757746</v>
      </c>
      <c r="O238" s="226">
        <f t="shared" si="50"/>
        <v>8732767.3999999985</v>
      </c>
    </row>
    <row r="239" spans="2:15" x14ac:dyDescent="0.2">
      <c r="B239" s="292" t="s">
        <v>0</v>
      </c>
      <c r="C239" s="247">
        <f>SUM(C237:C238)</f>
        <v>1168038</v>
      </c>
      <c r="D239" s="247">
        <f t="shared" ref="D239:O239" si="51">SUM(D237:D238)</f>
        <v>1183288</v>
      </c>
      <c r="E239" s="247">
        <f t="shared" si="51"/>
        <v>1006409</v>
      </c>
      <c r="F239" s="247">
        <f t="shared" si="51"/>
        <v>795558</v>
      </c>
      <c r="G239" s="247">
        <f t="shared" si="51"/>
        <v>929168</v>
      </c>
      <c r="H239" s="247">
        <f t="shared" si="51"/>
        <v>922642</v>
      </c>
      <c r="I239" s="247">
        <f t="shared" si="51"/>
        <v>932733</v>
      </c>
      <c r="J239" s="247">
        <f t="shared" si="51"/>
        <v>1093703</v>
      </c>
      <c r="K239" s="247">
        <f t="shared" si="51"/>
        <v>970188</v>
      </c>
      <c r="L239" s="247">
        <f t="shared" si="51"/>
        <v>1145685</v>
      </c>
      <c r="M239" s="247">
        <f t="shared" si="51"/>
        <v>1066000</v>
      </c>
      <c r="N239" s="247">
        <f t="shared" si="51"/>
        <v>1088561</v>
      </c>
      <c r="O239" s="247">
        <f t="shared" si="51"/>
        <v>12301972.999999998</v>
      </c>
    </row>
    <row r="240" spans="2:15" x14ac:dyDescent="0.2">
      <c r="B240" s="232" t="s">
        <v>1075</v>
      </c>
      <c r="C240" s="226">
        <f>C239-C233-C215</f>
        <v>0</v>
      </c>
      <c r="D240" s="226">
        <f t="shared" ref="D240:O240" si="52">D239-D233-D215</f>
        <v>0</v>
      </c>
      <c r="E240" s="226">
        <f t="shared" si="52"/>
        <v>0</v>
      </c>
      <c r="F240" s="226">
        <f t="shared" si="52"/>
        <v>0</v>
      </c>
      <c r="G240" s="226">
        <f t="shared" si="52"/>
        <v>0</v>
      </c>
      <c r="H240" s="226">
        <f t="shared" si="52"/>
        <v>0</v>
      </c>
      <c r="I240" s="226">
        <f t="shared" si="52"/>
        <v>0</v>
      </c>
      <c r="J240" s="226">
        <f t="shared" si="52"/>
        <v>0</v>
      </c>
      <c r="K240" s="226">
        <f t="shared" si="52"/>
        <v>0</v>
      </c>
      <c r="L240" s="226">
        <f t="shared" si="52"/>
        <v>0</v>
      </c>
      <c r="M240" s="226">
        <f t="shared" si="52"/>
        <v>0</v>
      </c>
      <c r="N240" s="226">
        <f t="shared" si="52"/>
        <v>0</v>
      </c>
      <c r="O240" s="226">
        <f t="shared" si="52"/>
        <v>0</v>
      </c>
    </row>
    <row r="242" spans="2:15" x14ac:dyDescent="0.2">
      <c r="B242" s="288" t="s">
        <v>1227</v>
      </c>
    </row>
    <row r="244" spans="2:15" x14ac:dyDescent="0.2">
      <c r="B244" s="232" t="s">
        <v>1223</v>
      </c>
    </row>
    <row r="245" spans="2:15" x14ac:dyDescent="0.2">
      <c r="B245" s="232" t="s">
        <v>1073</v>
      </c>
      <c r="C245" s="226">
        <f>C100+(C103*C37)</f>
        <v>16757</v>
      </c>
      <c r="D245" s="226">
        <f t="shared" ref="D245:O245" si="53">D100+(D103*D37)</f>
        <v>16412</v>
      </c>
      <c r="E245" s="226">
        <f t="shared" si="53"/>
        <v>14934.2</v>
      </c>
      <c r="F245" s="226">
        <f t="shared" si="53"/>
        <v>15708.8</v>
      </c>
      <c r="G245" s="226">
        <f t="shared" si="53"/>
        <v>17866.400000000001</v>
      </c>
      <c r="H245" s="226">
        <f t="shared" si="53"/>
        <v>17992.8</v>
      </c>
      <c r="I245" s="226">
        <f t="shared" si="53"/>
        <v>19403.400000000001</v>
      </c>
      <c r="J245" s="226">
        <f t="shared" si="53"/>
        <v>19817.599999999999</v>
      </c>
      <c r="K245" s="226">
        <f t="shared" si="53"/>
        <v>17411</v>
      </c>
      <c r="L245" s="226">
        <f t="shared" si="53"/>
        <v>16709.599999999999</v>
      </c>
      <c r="M245" s="226">
        <f t="shared" si="53"/>
        <v>16558.400000000001</v>
      </c>
      <c r="N245" s="226">
        <f t="shared" si="53"/>
        <v>16773.2</v>
      </c>
      <c r="O245" s="226">
        <f t="shared" si="53"/>
        <v>206344.4</v>
      </c>
    </row>
    <row r="246" spans="2:15" x14ac:dyDescent="0.2">
      <c r="B246" s="232" t="s">
        <v>1074</v>
      </c>
      <c r="C246" s="226">
        <f>C101+C102+(C103*C38)</f>
        <v>39180</v>
      </c>
      <c r="D246" s="226">
        <f t="shared" ref="D246:O246" si="54">D101+D102+(D103*D38)</f>
        <v>39138</v>
      </c>
      <c r="E246" s="226">
        <f t="shared" si="54"/>
        <v>35427.800000000003</v>
      </c>
      <c r="F246" s="226">
        <f t="shared" si="54"/>
        <v>32556.2</v>
      </c>
      <c r="G246" s="226">
        <f t="shared" si="54"/>
        <v>47013.599999999999</v>
      </c>
      <c r="H246" s="226">
        <f t="shared" si="54"/>
        <v>43754.2</v>
      </c>
      <c r="I246" s="226">
        <f t="shared" si="54"/>
        <v>55065.599999999999</v>
      </c>
      <c r="J246" s="226">
        <f t="shared" si="54"/>
        <v>60571.4</v>
      </c>
      <c r="K246" s="226">
        <f t="shared" si="54"/>
        <v>51335</v>
      </c>
      <c r="L246" s="226">
        <f t="shared" si="54"/>
        <v>44417.4</v>
      </c>
      <c r="M246" s="226">
        <f t="shared" si="54"/>
        <v>34706.6</v>
      </c>
      <c r="N246" s="226">
        <f t="shared" si="54"/>
        <v>35678.800000000003</v>
      </c>
      <c r="O246" s="226">
        <f t="shared" si="54"/>
        <v>518844.6</v>
      </c>
    </row>
    <row r="247" spans="2:15" x14ac:dyDescent="0.2">
      <c r="B247" s="232" t="s">
        <v>0</v>
      </c>
      <c r="C247" s="247">
        <f>SUM(C245:C246)</f>
        <v>55937</v>
      </c>
      <c r="D247" s="247">
        <f t="shared" ref="D247:O247" si="55">SUM(D245:D246)</f>
        <v>55550</v>
      </c>
      <c r="E247" s="247">
        <f t="shared" si="55"/>
        <v>50362</v>
      </c>
      <c r="F247" s="247">
        <f t="shared" si="55"/>
        <v>48265</v>
      </c>
      <c r="G247" s="247">
        <f t="shared" si="55"/>
        <v>64880</v>
      </c>
      <c r="H247" s="247">
        <f t="shared" si="55"/>
        <v>61747</v>
      </c>
      <c r="I247" s="247">
        <f t="shared" si="55"/>
        <v>74469</v>
      </c>
      <c r="J247" s="247">
        <f t="shared" si="55"/>
        <v>80389</v>
      </c>
      <c r="K247" s="247">
        <f t="shared" si="55"/>
        <v>68746</v>
      </c>
      <c r="L247" s="247">
        <f t="shared" si="55"/>
        <v>61127</v>
      </c>
      <c r="M247" s="247">
        <f t="shared" si="55"/>
        <v>51265</v>
      </c>
      <c r="N247" s="247">
        <f t="shared" si="55"/>
        <v>52452</v>
      </c>
      <c r="O247" s="247">
        <f t="shared" si="55"/>
        <v>725189</v>
      </c>
    </row>
    <row r="248" spans="2:15" x14ac:dyDescent="0.2">
      <c r="B248" s="232" t="s">
        <v>1075</v>
      </c>
      <c r="C248" s="226">
        <f>C247-C104</f>
        <v>0</v>
      </c>
      <c r="D248" s="226">
        <f t="shared" ref="D248:O248" si="56">D247-D104</f>
        <v>0</v>
      </c>
      <c r="E248" s="226">
        <f t="shared" si="56"/>
        <v>0</v>
      </c>
      <c r="F248" s="226">
        <f t="shared" si="56"/>
        <v>0</v>
      </c>
      <c r="G248" s="226">
        <f t="shared" si="56"/>
        <v>0</v>
      </c>
      <c r="H248" s="226">
        <f t="shared" si="56"/>
        <v>0</v>
      </c>
      <c r="I248" s="226">
        <f t="shared" si="56"/>
        <v>0</v>
      </c>
      <c r="J248" s="226">
        <f t="shared" si="56"/>
        <v>0</v>
      </c>
      <c r="K248" s="226">
        <f t="shared" si="56"/>
        <v>0</v>
      </c>
      <c r="L248" s="226">
        <f t="shared" si="56"/>
        <v>0</v>
      </c>
      <c r="M248" s="226">
        <f t="shared" si="56"/>
        <v>0</v>
      </c>
      <c r="N248" s="226">
        <f t="shared" si="56"/>
        <v>0</v>
      </c>
      <c r="O248" s="226">
        <f t="shared" si="56"/>
        <v>0</v>
      </c>
    </row>
    <row r="250" spans="2:15" x14ac:dyDescent="0.2">
      <c r="B250" s="232" t="s">
        <v>1224</v>
      </c>
    </row>
    <row r="251" spans="2:15" x14ac:dyDescent="0.2">
      <c r="B251" s="232" t="s">
        <v>1073</v>
      </c>
      <c r="C251" s="226">
        <f>C54+C165+(C57+C168)*C37</f>
        <v>137375.4</v>
      </c>
      <c r="D251" s="226">
        <f t="shared" ref="D251:O251" si="57">D54+D165+(D57+D168)*D37</f>
        <v>136925.4</v>
      </c>
      <c r="E251" s="226">
        <f t="shared" si="57"/>
        <v>124831.2</v>
      </c>
      <c r="F251" s="226">
        <f t="shared" si="57"/>
        <v>129431.4</v>
      </c>
      <c r="G251" s="226">
        <f t="shared" si="57"/>
        <v>140932.79999999999</v>
      </c>
      <c r="H251" s="226">
        <f t="shared" si="57"/>
        <v>145057.20000000001</v>
      </c>
      <c r="I251" s="226">
        <f t="shared" si="57"/>
        <v>145202.4</v>
      </c>
      <c r="J251" s="226">
        <f t="shared" si="57"/>
        <v>155194.79999999999</v>
      </c>
      <c r="K251" s="226">
        <f t="shared" si="57"/>
        <v>138915.6</v>
      </c>
      <c r="L251" s="226">
        <f t="shared" si="57"/>
        <v>135120.79999999999</v>
      </c>
      <c r="M251" s="226">
        <f t="shared" si="57"/>
        <v>138135</v>
      </c>
      <c r="N251" s="226">
        <f t="shared" si="57"/>
        <v>137020.79999999999</v>
      </c>
      <c r="O251" s="226">
        <f t="shared" si="57"/>
        <v>1664142.8</v>
      </c>
    </row>
    <row r="252" spans="2:15" x14ac:dyDescent="0.2">
      <c r="B252" s="232" t="s">
        <v>1074</v>
      </c>
      <c r="C252" s="226">
        <f>C55+C56+C166+C167+(C57+C168)*C38</f>
        <v>317931.59999999998</v>
      </c>
      <c r="D252" s="226">
        <f t="shared" ref="D252:O252" si="58">D55+D56+D166+D167+(D57+D168)*D38</f>
        <v>344862.6</v>
      </c>
      <c r="E252" s="226">
        <f t="shared" si="58"/>
        <v>324254.8</v>
      </c>
      <c r="F252" s="226">
        <f t="shared" si="58"/>
        <v>271093.59999999998</v>
      </c>
      <c r="G252" s="226">
        <f t="shared" si="58"/>
        <v>326844.2</v>
      </c>
      <c r="H252" s="226">
        <f t="shared" si="58"/>
        <v>332630.8</v>
      </c>
      <c r="I252" s="226">
        <f t="shared" si="58"/>
        <v>319285.59999999998</v>
      </c>
      <c r="J252" s="226">
        <f t="shared" si="58"/>
        <v>411235.2</v>
      </c>
      <c r="K252" s="226">
        <f t="shared" si="58"/>
        <v>354071.4</v>
      </c>
      <c r="L252" s="226">
        <f t="shared" si="58"/>
        <v>353399.2</v>
      </c>
      <c r="M252" s="226">
        <f t="shared" si="58"/>
        <v>305786</v>
      </c>
      <c r="N252" s="226">
        <f t="shared" si="58"/>
        <v>284597.2</v>
      </c>
      <c r="O252" s="226">
        <f t="shared" si="58"/>
        <v>3945992.2</v>
      </c>
    </row>
    <row r="253" spans="2:15" x14ac:dyDescent="0.2">
      <c r="B253" s="232" t="s">
        <v>0</v>
      </c>
      <c r="C253" s="247">
        <f>C251+C252</f>
        <v>455307</v>
      </c>
      <c r="D253" s="247">
        <f t="shared" ref="D253:O253" si="59">D251+D252</f>
        <v>481788</v>
      </c>
      <c r="E253" s="247">
        <f t="shared" si="59"/>
        <v>449086</v>
      </c>
      <c r="F253" s="247">
        <f t="shared" si="59"/>
        <v>400525</v>
      </c>
      <c r="G253" s="247">
        <f t="shared" si="59"/>
        <v>467777</v>
      </c>
      <c r="H253" s="247">
        <f t="shared" si="59"/>
        <v>477688</v>
      </c>
      <c r="I253" s="247">
        <f t="shared" si="59"/>
        <v>464488</v>
      </c>
      <c r="J253" s="247">
        <f t="shared" si="59"/>
        <v>566430</v>
      </c>
      <c r="K253" s="247">
        <f t="shared" si="59"/>
        <v>492987</v>
      </c>
      <c r="L253" s="247">
        <f t="shared" si="59"/>
        <v>488520</v>
      </c>
      <c r="M253" s="247">
        <f t="shared" si="59"/>
        <v>443921</v>
      </c>
      <c r="N253" s="247">
        <f t="shared" si="59"/>
        <v>421618</v>
      </c>
      <c r="O253" s="247">
        <f t="shared" si="59"/>
        <v>5610135</v>
      </c>
    </row>
    <row r="254" spans="2:15" x14ac:dyDescent="0.2">
      <c r="B254" s="232" t="s">
        <v>1075</v>
      </c>
      <c r="C254" s="226">
        <f>C253-C58-C169</f>
        <v>0</v>
      </c>
      <c r="D254" s="226">
        <f t="shared" ref="D254:O254" si="60">D253-D58-D169</f>
        <v>0</v>
      </c>
      <c r="E254" s="226">
        <f t="shared" si="60"/>
        <v>0</v>
      </c>
      <c r="F254" s="226">
        <f t="shared" si="60"/>
        <v>0</v>
      </c>
      <c r="G254" s="226">
        <f t="shared" si="60"/>
        <v>0</v>
      </c>
      <c r="H254" s="226">
        <f t="shared" si="60"/>
        <v>0</v>
      </c>
      <c r="I254" s="226">
        <f t="shared" si="60"/>
        <v>0</v>
      </c>
      <c r="J254" s="226">
        <f t="shared" si="60"/>
        <v>0</v>
      </c>
      <c r="K254" s="226">
        <f t="shared" si="60"/>
        <v>0</v>
      </c>
      <c r="L254" s="226">
        <f t="shared" si="60"/>
        <v>0</v>
      </c>
      <c r="M254" s="226">
        <f t="shared" si="60"/>
        <v>0</v>
      </c>
      <c r="N254" s="226">
        <f t="shared" si="60"/>
        <v>0</v>
      </c>
      <c r="O254" s="226">
        <f t="shared" si="60"/>
        <v>0</v>
      </c>
    </row>
    <row r="256" spans="2:15" x14ac:dyDescent="0.2">
      <c r="B256" s="232" t="s">
        <v>1225</v>
      </c>
    </row>
    <row r="257" spans="1:15" x14ac:dyDescent="0.2">
      <c r="B257" s="232" t="s">
        <v>1073</v>
      </c>
      <c r="C257" s="226">
        <f>C237-C251-C245</f>
        <v>172686.79999999996</v>
      </c>
      <c r="D257" s="226">
        <f t="shared" ref="D257:O257" si="61">D237-D251-D245</f>
        <v>168127.79999999996</v>
      </c>
      <c r="E257" s="226">
        <f t="shared" si="61"/>
        <v>146098.39999999997</v>
      </c>
      <c r="F257" s="226">
        <f t="shared" si="61"/>
        <v>106492.00000000001</v>
      </c>
      <c r="G257" s="226">
        <f t="shared" si="61"/>
        <v>118005.40000000005</v>
      </c>
      <c r="H257" s="226">
        <f t="shared" si="61"/>
        <v>120821.99999999999</v>
      </c>
      <c r="I257" s="226">
        <f t="shared" si="61"/>
        <v>123432.40000000002</v>
      </c>
      <c r="J257" s="226">
        <f t="shared" si="61"/>
        <v>127899.80000000002</v>
      </c>
      <c r="K257" s="226">
        <f t="shared" si="61"/>
        <v>112045.99999999997</v>
      </c>
      <c r="L257" s="226">
        <f t="shared" si="61"/>
        <v>163914.6</v>
      </c>
      <c r="M257" s="226">
        <f t="shared" si="61"/>
        <v>162172.19999999998</v>
      </c>
      <c r="N257" s="226">
        <f t="shared" si="61"/>
        <v>177021</v>
      </c>
      <c r="O257" s="226">
        <f t="shared" si="61"/>
        <v>1698718.4000000001</v>
      </c>
    </row>
    <row r="258" spans="1:15" x14ac:dyDescent="0.2">
      <c r="B258" s="232" t="s">
        <v>1074</v>
      </c>
      <c r="C258" s="226">
        <f>C238-C252-C246</f>
        <v>484107.20000000007</v>
      </c>
      <c r="D258" s="226">
        <f t="shared" ref="D258:O258" si="62">D238-D252-D246</f>
        <v>477822.20000000007</v>
      </c>
      <c r="E258" s="226">
        <f t="shared" si="62"/>
        <v>360862.6</v>
      </c>
      <c r="F258" s="226">
        <f t="shared" si="62"/>
        <v>240276.00000000006</v>
      </c>
      <c r="G258" s="226">
        <f t="shared" si="62"/>
        <v>278505.60000000003</v>
      </c>
      <c r="H258" s="226">
        <f t="shared" si="62"/>
        <v>262385</v>
      </c>
      <c r="I258" s="226">
        <f t="shared" si="62"/>
        <v>270343.60000000009</v>
      </c>
      <c r="J258" s="226">
        <f t="shared" si="62"/>
        <v>318984.2</v>
      </c>
      <c r="K258" s="226">
        <f t="shared" si="62"/>
        <v>296409</v>
      </c>
      <c r="L258" s="226">
        <f t="shared" si="62"/>
        <v>432123.39999999997</v>
      </c>
      <c r="M258" s="226">
        <f t="shared" si="62"/>
        <v>408641.79999999993</v>
      </c>
      <c r="N258" s="226">
        <f t="shared" si="62"/>
        <v>437470</v>
      </c>
      <c r="O258" s="226">
        <f t="shared" si="62"/>
        <v>4267930.5999999987</v>
      </c>
    </row>
    <row r="259" spans="1:15" x14ac:dyDescent="0.2">
      <c r="B259" s="232" t="s">
        <v>0</v>
      </c>
      <c r="C259" s="247">
        <f>C257+C258</f>
        <v>656794</v>
      </c>
      <c r="D259" s="247">
        <f t="shared" ref="D259:O259" si="63">D257+D258</f>
        <v>645950</v>
      </c>
      <c r="E259" s="247">
        <f t="shared" si="63"/>
        <v>506960.99999999994</v>
      </c>
      <c r="F259" s="247">
        <f t="shared" si="63"/>
        <v>346768.00000000006</v>
      </c>
      <c r="G259" s="247">
        <f t="shared" si="63"/>
        <v>396511.00000000012</v>
      </c>
      <c r="H259" s="247">
        <f t="shared" si="63"/>
        <v>383207</v>
      </c>
      <c r="I259" s="247">
        <f t="shared" si="63"/>
        <v>393776.00000000012</v>
      </c>
      <c r="J259" s="247">
        <f t="shared" si="63"/>
        <v>446884</v>
      </c>
      <c r="K259" s="247">
        <f t="shared" si="63"/>
        <v>408455</v>
      </c>
      <c r="L259" s="247">
        <f t="shared" si="63"/>
        <v>596038</v>
      </c>
      <c r="M259" s="247">
        <f t="shared" si="63"/>
        <v>570813.99999999988</v>
      </c>
      <c r="N259" s="247">
        <f t="shared" si="63"/>
        <v>614491</v>
      </c>
      <c r="O259" s="247">
        <f t="shared" si="63"/>
        <v>5966648.9999999991</v>
      </c>
    </row>
    <row r="260" spans="1:15" x14ac:dyDescent="0.2">
      <c r="B260" s="232" t="s">
        <v>1075</v>
      </c>
      <c r="C260" s="226">
        <f>C239-C253-C247-C259</f>
        <v>0</v>
      </c>
      <c r="D260" s="226">
        <f t="shared" ref="D260:O260" si="64">D239-D253-D247-D259</f>
        <v>0</v>
      </c>
      <c r="E260" s="226">
        <f t="shared" si="64"/>
        <v>0</v>
      </c>
      <c r="F260" s="226">
        <f t="shared" si="64"/>
        <v>0</v>
      </c>
      <c r="G260" s="226">
        <f t="shared" si="64"/>
        <v>0</v>
      </c>
      <c r="H260" s="226">
        <f t="shared" si="64"/>
        <v>0</v>
      </c>
      <c r="I260" s="226">
        <f t="shared" si="64"/>
        <v>0</v>
      </c>
      <c r="J260" s="226">
        <f t="shared" si="64"/>
        <v>0</v>
      </c>
      <c r="K260" s="226">
        <f t="shared" si="64"/>
        <v>0</v>
      </c>
      <c r="L260" s="226">
        <f t="shared" si="64"/>
        <v>0</v>
      </c>
      <c r="M260" s="226">
        <f t="shared" si="64"/>
        <v>0</v>
      </c>
      <c r="N260" s="226">
        <f t="shared" si="64"/>
        <v>0</v>
      </c>
      <c r="O260" s="226">
        <f t="shared" si="64"/>
        <v>0</v>
      </c>
    </row>
    <row r="262" spans="1:15" x14ac:dyDescent="0.2">
      <c r="A262" s="265" t="s">
        <v>1226</v>
      </c>
    </row>
    <row r="264" spans="1:15" x14ac:dyDescent="0.2">
      <c r="B264" s="232" t="s">
        <v>939</v>
      </c>
      <c r="C264" s="293">
        <f>(C9+C12+(C13*C38))/C7</f>
        <v>5.9382774467364945E-2</v>
      </c>
      <c r="D264" s="293">
        <f t="shared" ref="D264:O264" si="65">(D9+D12+(D13*D38))/D7</f>
        <v>6.5244343355950599E-2</v>
      </c>
      <c r="E264" s="293">
        <f t="shared" si="65"/>
        <v>5.9615943494852268E-2</v>
      </c>
      <c r="F264" s="293">
        <f t="shared" si="65"/>
        <v>5.2023599837125054E-2</v>
      </c>
      <c r="G264" s="293">
        <f t="shared" si="65"/>
        <v>6.0623591131496346E-2</v>
      </c>
      <c r="H264" s="293">
        <f t="shared" si="65"/>
        <v>5.6423108549983149E-2</v>
      </c>
      <c r="I264" s="293">
        <f t="shared" si="65"/>
        <v>5.9397980327705067E-2</v>
      </c>
      <c r="J264" s="293">
        <f t="shared" si="65"/>
        <v>6.3883619781830089E-2</v>
      </c>
      <c r="K264" s="293">
        <f t="shared" si="65"/>
        <v>6.1703741971619916E-2</v>
      </c>
      <c r="L264" s="293">
        <f t="shared" si="65"/>
        <v>6.088500917235623E-2</v>
      </c>
      <c r="M264" s="293">
        <f t="shared" si="65"/>
        <v>5.8883234745646745E-2</v>
      </c>
      <c r="N264" s="293">
        <f t="shared" si="65"/>
        <v>5.6829786899054546E-2</v>
      </c>
      <c r="O264" s="293">
        <f t="shared" si="65"/>
        <v>5.9667676094711811E-2</v>
      </c>
    </row>
    <row r="265" spans="1:15" x14ac:dyDescent="0.2">
      <c r="B265" s="232" t="s">
        <v>938</v>
      </c>
      <c r="C265" s="294">
        <f>(C8+C10+C11+(C13*C37))/C6</f>
        <v>9.4699871174843189</v>
      </c>
      <c r="D265" s="294">
        <f t="shared" ref="D265:O265" si="66">(D8+D10+D11+(D13*D37))/D6</f>
        <v>9.7211850406006199</v>
      </c>
      <c r="E265" s="294">
        <f t="shared" si="66"/>
        <v>8.9737533814247072</v>
      </c>
      <c r="F265" s="294">
        <f t="shared" si="66"/>
        <v>9.8214211901419439</v>
      </c>
      <c r="G265" s="294">
        <f t="shared" si="66"/>
        <v>10.742880642222168</v>
      </c>
      <c r="H265" s="294">
        <f t="shared" si="66"/>
        <v>10.940134638492129</v>
      </c>
      <c r="I265" s="294">
        <f t="shared" si="66"/>
        <v>10.952290925979309</v>
      </c>
      <c r="J265" s="294">
        <f t="shared" si="66"/>
        <v>11.031993458734059</v>
      </c>
      <c r="K265" s="294">
        <f t="shared" si="66"/>
        <v>10.053248634204536</v>
      </c>
      <c r="L265" s="294">
        <f t="shared" si="66"/>
        <v>10.252685629212516</v>
      </c>
      <c r="M265" s="294">
        <f t="shared" si="66"/>
        <v>9.6820050376873645</v>
      </c>
      <c r="N265" s="294">
        <f t="shared" si="66"/>
        <v>10.182750719386124</v>
      </c>
      <c r="O265" s="294">
        <f t="shared" si="66"/>
        <v>10.063800013492679</v>
      </c>
    </row>
    <row r="267" spans="1:15" x14ac:dyDescent="0.2">
      <c r="C267" s="295"/>
    </row>
    <row r="268" spans="1:15" x14ac:dyDescent="0.2">
      <c r="C268" s="296"/>
    </row>
    <row r="276" spans="2:15" x14ac:dyDescent="0.2">
      <c r="B276" s="232" t="s">
        <v>1229</v>
      </c>
      <c r="C276" s="226">
        <f>C81</f>
        <v>3745</v>
      </c>
      <c r="D276" s="226">
        <f t="shared" ref="D276:O276" si="67">D81</f>
        <v>3745</v>
      </c>
      <c r="E276" s="226">
        <f t="shared" si="67"/>
        <v>3745</v>
      </c>
      <c r="F276" s="226">
        <f t="shared" si="67"/>
        <v>3745</v>
      </c>
      <c r="G276" s="226">
        <f t="shared" si="67"/>
        <v>3745</v>
      </c>
      <c r="H276" s="226">
        <f t="shared" si="67"/>
        <v>3745</v>
      </c>
      <c r="I276" s="226">
        <f t="shared" si="67"/>
        <v>3745</v>
      </c>
      <c r="J276" s="226">
        <f t="shared" si="67"/>
        <v>3745</v>
      </c>
      <c r="K276" s="226">
        <f t="shared" si="67"/>
        <v>3745</v>
      </c>
      <c r="L276" s="226">
        <f t="shared" si="67"/>
        <v>3745</v>
      </c>
      <c r="M276" s="226">
        <f t="shared" si="67"/>
        <v>3745</v>
      </c>
      <c r="N276" s="226">
        <f t="shared" si="67"/>
        <v>3745</v>
      </c>
      <c r="O276" s="226">
        <f t="shared" si="67"/>
        <v>44940</v>
      </c>
    </row>
    <row r="277" spans="2:15" x14ac:dyDescent="0.2">
      <c r="B277" s="232" t="s">
        <v>1230</v>
      </c>
      <c r="C277" s="226">
        <f>C82</f>
        <v>79391</v>
      </c>
      <c r="D277" s="226">
        <f t="shared" ref="D277:O277" si="68">D82</f>
        <v>79201</v>
      </c>
      <c r="E277" s="226">
        <f t="shared" si="68"/>
        <v>79331</v>
      </c>
      <c r="F277" s="226">
        <f t="shared" si="68"/>
        <v>0</v>
      </c>
      <c r="G277" s="226">
        <f t="shared" si="68"/>
        <v>0</v>
      </c>
      <c r="H277" s="226">
        <f t="shared" si="68"/>
        <v>0</v>
      </c>
      <c r="I277" s="226">
        <f t="shared" si="68"/>
        <v>0</v>
      </c>
      <c r="J277" s="226">
        <f t="shared" si="68"/>
        <v>0</v>
      </c>
      <c r="K277" s="226">
        <f t="shared" si="68"/>
        <v>0</v>
      </c>
      <c r="L277" s="226">
        <f t="shared" si="68"/>
        <v>78583</v>
      </c>
      <c r="M277" s="226">
        <f t="shared" si="68"/>
        <v>59451</v>
      </c>
      <c r="N277" s="226">
        <f t="shared" si="68"/>
        <v>79680</v>
      </c>
      <c r="O277" s="226">
        <f t="shared" si="68"/>
        <v>455637</v>
      </c>
    </row>
    <row r="278" spans="2:15" x14ac:dyDescent="0.2">
      <c r="B278" s="232" t="s">
        <v>1231</v>
      </c>
      <c r="C278" s="232">
        <v>9.98</v>
      </c>
      <c r="D278" s="232">
        <v>10.98</v>
      </c>
      <c r="E278" s="232">
        <v>11.98</v>
      </c>
      <c r="F278" s="232">
        <v>12.98</v>
      </c>
      <c r="G278" s="232">
        <v>13.98</v>
      </c>
      <c r="H278" s="232">
        <v>14.98</v>
      </c>
      <c r="I278" s="232">
        <v>15.98</v>
      </c>
      <c r="J278" s="232">
        <v>16.98</v>
      </c>
      <c r="K278" s="232">
        <v>17.98</v>
      </c>
      <c r="L278" s="232">
        <v>18.98</v>
      </c>
      <c r="M278" s="232">
        <v>19.98</v>
      </c>
      <c r="N278" s="232">
        <v>20.98</v>
      </c>
      <c r="O278" s="232">
        <v>21.98</v>
      </c>
    </row>
    <row r="279" spans="2:15" x14ac:dyDescent="0.2">
      <c r="B279" s="232" t="s">
        <v>1232</v>
      </c>
      <c r="C279" s="285">
        <f>C277/C278</f>
        <v>7955.0100200400802</v>
      </c>
      <c r="D279" s="285">
        <f t="shared" ref="D279:O279" si="69">D277/D278</f>
        <v>7213.205828779599</v>
      </c>
      <c r="E279" s="285">
        <f t="shared" si="69"/>
        <v>6621.9532554257094</v>
      </c>
      <c r="F279" s="285">
        <f t="shared" si="69"/>
        <v>0</v>
      </c>
      <c r="G279" s="285">
        <f t="shared" si="69"/>
        <v>0</v>
      </c>
      <c r="H279" s="285">
        <f t="shared" si="69"/>
        <v>0</v>
      </c>
      <c r="I279" s="285">
        <f t="shared" si="69"/>
        <v>0</v>
      </c>
      <c r="J279" s="285">
        <f t="shared" si="69"/>
        <v>0</v>
      </c>
      <c r="K279" s="285">
        <f t="shared" si="69"/>
        <v>0</v>
      </c>
      <c r="L279" s="285">
        <f t="shared" si="69"/>
        <v>4140.3055848261329</v>
      </c>
      <c r="M279" s="285">
        <f t="shared" si="69"/>
        <v>2975.5255255255256</v>
      </c>
      <c r="N279" s="285">
        <f t="shared" si="69"/>
        <v>3797.902764537655</v>
      </c>
      <c r="O279" s="285">
        <f t="shared" si="69"/>
        <v>20729.617834394903</v>
      </c>
    </row>
    <row r="284" spans="2:15" x14ac:dyDescent="0.2">
      <c r="B284" s="232" t="s">
        <v>1224</v>
      </c>
    </row>
    <row r="285" spans="2:15" x14ac:dyDescent="0.2">
      <c r="B285" s="232" t="s">
        <v>863</v>
      </c>
      <c r="C285" s="238">
        <f>C51</f>
        <v>3103200</v>
      </c>
      <c r="D285" s="238">
        <f t="shared" ref="D285:O285" si="70">D51</f>
        <v>3156838</v>
      </c>
      <c r="E285" s="238">
        <f t="shared" si="70"/>
        <v>3120222</v>
      </c>
      <c r="F285" s="238">
        <f t="shared" si="70"/>
        <v>3103200</v>
      </c>
      <c r="G285" s="238">
        <f t="shared" si="70"/>
        <v>3152720</v>
      </c>
      <c r="H285" s="238">
        <f t="shared" si="70"/>
        <v>3733504</v>
      </c>
      <c r="I285" s="238">
        <f t="shared" si="70"/>
        <v>3132578</v>
      </c>
      <c r="J285" s="238">
        <f t="shared" si="70"/>
        <v>3996650</v>
      </c>
      <c r="K285" s="238">
        <f t="shared" si="70"/>
        <v>3575952</v>
      </c>
      <c r="L285" s="238">
        <f t="shared" si="70"/>
        <v>3571779</v>
      </c>
      <c r="M285" s="238">
        <f t="shared" si="70"/>
        <v>3103200</v>
      </c>
      <c r="N285" s="238">
        <f t="shared" si="70"/>
        <v>3103200</v>
      </c>
      <c r="O285" s="238">
        <f t="shared" si="70"/>
        <v>39853043</v>
      </c>
    </row>
    <row r="286" spans="2:15" x14ac:dyDescent="0.2">
      <c r="B286" s="232" t="s">
        <v>1233</v>
      </c>
      <c r="C286" s="238">
        <f>C47</f>
        <v>7758</v>
      </c>
      <c r="D286" s="238">
        <f t="shared" ref="D286:O286" si="71">D47</f>
        <v>7758</v>
      </c>
      <c r="E286" s="238">
        <f t="shared" si="71"/>
        <v>7758</v>
      </c>
      <c r="F286" s="238">
        <f t="shared" si="71"/>
        <v>7758</v>
      </c>
      <c r="G286" s="238">
        <f t="shared" si="71"/>
        <v>7758</v>
      </c>
      <c r="H286" s="238">
        <f t="shared" si="71"/>
        <v>7758</v>
      </c>
      <c r="I286" s="238">
        <f t="shared" si="71"/>
        <v>7758</v>
      </c>
      <c r="J286" s="238">
        <f t="shared" si="71"/>
        <v>7758</v>
      </c>
      <c r="K286" s="238">
        <f t="shared" si="71"/>
        <v>7758</v>
      </c>
      <c r="L286" s="238">
        <f t="shared" si="71"/>
        <v>7758</v>
      </c>
      <c r="M286" s="238">
        <f t="shared" si="71"/>
        <v>7758</v>
      </c>
      <c r="N286" s="238">
        <f t="shared" si="71"/>
        <v>7758</v>
      </c>
      <c r="O286" s="238">
        <f t="shared" si="71"/>
        <v>93096</v>
      </c>
    </row>
    <row r="287" spans="2:15" x14ac:dyDescent="0.2">
      <c r="B287" s="232" t="s">
        <v>1234</v>
      </c>
      <c r="C287" s="232">
        <f>C285/C286</f>
        <v>400</v>
      </c>
      <c r="D287" s="232">
        <f t="shared" ref="D287:O287" si="72">D285/D286</f>
        <v>406.91389533384893</v>
      </c>
      <c r="E287" s="232">
        <f t="shared" si="72"/>
        <v>402.19412219644238</v>
      </c>
      <c r="F287" s="232">
        <f t="shared" si="72"/>
        <v>400</v>
      </c>
      <c r="G287" s="232">
        <f t="shared" si="72"/>
        <v>406.38308842485179</v>
      </c>
      <c r="H287" s="232">
        <f t="shared" si="72"/>
        <v>481.24568187677238</v>
      </c>
      <c r="I287" s="232">
        <f t="shared" si="72"/>
        <v>403.7868007218355</v>
      </c>
      <c r="J287" s="232">
        <f t="shared" si="72"/>
        <v>515.16499097705594</v>
      </c>
      <c r="K287" s="232">
        <f t="shared" si="72"/>
        <v>460.93735498839908</v>
      </c>
      <c r="L287" s="232">
        <f t="shared" si="72"/>
        <v>460.39945862335651</v>
      </c>
      <c r="M287" s="232">
        <f t="shared" si="72"/>
        <v>400</v>
      </c>
      <c r="N287" s="232">
        <f t="shared" si="72"/>
        <v>400</v>
      </c>
      <c r="O287" s="232">
        <f t="shared" si="72"/>
        <v>428.08544942854689</v>
      </c>
    </row>
    <row r="288" spans="2:15" x14ac:dyDescent="0.2">
      <c r="B288" s="232" t="s">
        <v>1236</v>
      </c>
      <c r="C288" s="238">
        <f>400*C286</f>
        <v>3103200</v>
      </c>
      <c r="D288" s="238">
        <f t="shared" ref="D288:O288" si="73">400*D286</f>
        <v>3103200</v>
      </c>
      <c r="E288" s="238">
        <f t="shared" si="73"/>
        <v>3103200</v>
      </c>
      <c r="F288" s="238">
        <f t="shared" si="73"/>
        <v>3103200</v>
      </c>
      <c r="G288" s="238">
        <f t="shared" si="73"/>
        <v>3103200</v>
      </c>
      <c r="H288" s="238">
        <f t="shared" si="73"/>
        <v>3103200</v>
      </c>
      <c r="I288" s="238">
        <f t="shared" si="73"/>
        <v>3103200</v>
      </c>
      <c r="J288" s="238">
        <f t="shared" si="73"/>
        <v>3103200</v>
      </c>
      <c r="K288" s="238">
        <f t="shared" si="73"/>
        <v>3103200</v>
      </c>
      <c r="L288" s="238">
        <f t="shared" si="73"/>
        <v>3103200</v>
      </c>
      <c r="M288" s="238">
        <f t="shared" si="73"/>
        <v>3103200</v>
      </c>
      <c r="N288" s="238">
        <f t="shared" si="73"/>
        <v>3103200</v>
      </c>
      <c r="O288" s="238">
        <f t="shared" si="73"/>
        <v>37238400</v>
      </c>
    </row>
    <row r="289" spans="2:15" x14ac:dyDescent="0.2">
      <c r="B289" s="232" t="s">
        <v>1237</v>
      </c>
      <c r="C289" s="238">
        <f>C285-C288</f>
        <v>0</v>
      </c>
      <c r="D289" s="238">
        <f t="shared" ref="D289:O289" si="74">D285-D288</f>
        <v>53638</v>
      </c>
      <c r="E289" s="238">
        <f t="shared" si="74"/>
        <v>17022</v>
      </c>
      <c r="F289" s="238">
        <f t="shared" si="74"/>
        <v>0</v>
      </c>
      <c r="G289" s="238">
        <f t="shared" si="74"/>
        <v>49520</v>
      </c>
      <c r="H289" s="238">
        <f t="shared" si="74"/>
        <v>630304</v>
      </c>
      <c r="I289" s="238">
        <f t="shared" si="74"/>
        <v>29378</v>
      </c>
      <c r="J289" s="238">
        <f t="shared" si="74"/>
        <v>893450</v>
      </c>
      <c r="K289" s="238">
        <f t="shared" si="74"/>
        <v>472752</v>
      </c>
      <c r="L289" s="238">
        <f t="shared" si="74"/>
        <v>468579</v>
      </c>
      <c r="M289" s="238">
        <f t="shared" si="74"/>
        <v>0</v>
      </c>
      <c r="N289" s="238">
        <f t="shared" si="74"/>
        <v>0</v>
      </c>
      <c r="O289" s="238">
        <f t="shared" si="74"/>
        <v>2614643</v>
      </c>
    </row>
    <row r="295" spans="2:15" x14ac:dyDescent="0.2">
      <c r="B295" s="232" t="s">
        <v>1224</v>
      </c>
    </row>
    <row r="296" spans="2:15" x14ac:dyDescent="0.2">
      <c r="B296" s="232" t="s">
        <v>863</v>
      </c>
      <c r="C296" s="238">
        <f>C162</f>
        <v>2967098</v>
      </c>
      <c r="D296" s="238">
        <f t="shared" ref="D296:O296" si="75">D162</f>
        <v>2691087</v>
      </c>
      <c r="E296" s="238">
        <f t="shared" si="75"/>
        <v>2936084</v>
      </c>
      <c r="F296" s="238">
        <f t="shared" si="75"/>
        <v>2871217</v>
      </c>
      <c r="G296" s="238">
        <f t="shared" si="75"/>
        <v>2980128</v>
      </c>
      <c r="H296" s="238">
        <f t="shared" si="75"/>
        <v>3049336</v>
      </c>
      <c r="I296" s="238">
        <f t="shared" si="75"/>
        <v>3055898</v>
      </c>
      <c r="J296" s="238">
        <f t="shared" si="75"/>
        <v>3337505</v>
      </c>
      <c r="K296" s="238">
        <f t="shared" si="75"/>
        <v>2956012</v>
      </c>
      <c r="L296" s="238">
        <f t="shared" si="75"/>
        <v>2868486</v>
      </c>
      <c r="M296" s="238">
        <f t="shared" si="75"/>
        <v>2770823</v>
      </c>
      <c r="N296" s="238">
        <f t="shared" si="75"/>
        <v>2838358</v>
      </c>
      <c r="O296" s="238">
        <f t="shared" si="75"/>
        <v>35322032</v>
      </c>
    </row>
    <row r="297" spans="2:15" x14ac:dyDescent="0.2">
      <c r="B297" s="232" t="s">
        <v>1235</v>
      </c>
      <c r="C297" s="238">
        <f>C158</f>
        <v>5396</v>
      </c>
      <c r="D297" s="238">
        <f t="shared" ref="D297:O297" si="76">D158</f>
        <v>5396</v>
      </c>
      <c r="E297" s="238">
        <f t="shared" si="76"/>
        <v>5396</v>
      </c>
      <c r="F297" s="238">
        <f t="shared" si="76"/>
        <v>5396</v>
      </c>
      <c r="G297" s="238">
        <f t="shared" si="76"/>
        <v>5396</v>
      </c>
      <c r="H297" s="238">
        <f t="shared" si="76"/>
        <v>5593</v>
      </c>
      <c r="I297" s="238">
        <f t="shared" si="76"/>
        <v>5593</v>
      </c>
      <c r="J297" s="238">
        <f t="shared" si="76"/>
        <v>5593</v>
      </c>
      <c r="K297" s="238">
        <f t="shared" si="76"/>
        <v>5593</v>
      </c>
      <c r="L297" s="238">
        <f t="shared" si="76"/>
        <v>5240</v>
      </c>
      <c r="M297" s="238">
        <f t="shared" si="76"/>
        <v>5396</v>
      </c>
      <c r="N297" s="238">
        <f t="shared" si="76"/>
        <v>5396</v>
      </c>
      <c r="O297" s="238">
        <f t="shared" si="76"/>
        <v>65384</v>
      </c>
    </row>
    <row r="298" spans="2:15" x14ac:dyDescent="0.2">
      <c r="B298" s="232" t="s">
        <v>1234</v>
      </c>
      <c r="C298" s="232">
        <f>C296/C297</f>
        <v>549.86990363232019</v>
      </c>
      <c r="D298" s="232">
        <f t="shared" ref="D298:O298" si="77">D296/D297</f>
        <v>498.71886582653815</v>
      </c>
      <c r="E298" s="232">
        <f t="shared" si="77"/>
        <v>544.12231282431435</v>
      </c>
      <c r="F298" s="232">
        <f t="shared" si="77"/>
        <v>532.10100074128979</v>
      </c>
      <c r="G298" s="232">
        <f t="shared" si="77"/>
        <v>552.28465530022243</v>
      </c>
      <c r="H298" s="232">
        <f t="shared" si="77"/>
        <v>545.20579295548009</v>
      </c>
      <c r="I298" s="232">
        <f t="shared" si="77"/>
        <v>546.37904523511531</v>
      </c>
      <c r="J298" s="232">
        <f t="shared" si="77"/>
        <v>596.72894689790814</v>
      </c>
      <c r="K298" s="232">
        <f t="shared" si="77"/>
        <v>528.51993563382803</v>
      </c>
      <c r="L298" s="232">
        <f t="shared" si="77"/>
        <v>547.42099236641218</v>
      </c>
      <c r="M298" s="232">
        <f t="shared" si="77"/>
        <v>513.49573758339511</v>
      </c>
      <c r="N298" s="232">
        <f t="shared" si="77"/>
        <v>526.01148999258714</v>
      </c>
      <c r="O298" s="232">
        <f t="shared" si="77"/>
        <v>540.2243974060932</v>
      </c>
    </row>
    <row r="299" spans="2:15" x14ac:dyDescent="0.2">
      <c r="B299" s="232" t="s">
        <v>1236</v>
      </c>
      <c r="C299" s="238">
        <f>400*C297</f>
        <v>2158400</v>
      </c>
      <c r="D299" s="238">
        <f t="shared" ref="D299:O299" si="78">400*D297</f>
        <v>2158400</v>
      </c>
      <c r="E299" s="238">
        <f t="shared" si="78"/>
        <v>2158400</v>
      </c>
      <c r="F299" s="238">
        <f t="shared" si="78"/>
        <v>2158400</v>
      </c>
      <c r="G299" s="238">
        <f t="shared" si="78"/>
        <v>2158400</v>
      </c>
      <c r="H299" s="238">
        <f t="shared" si="78"/>
        <v>2237200</v>
      </c>
      <c r="I299" s="238">
        <f t="shared" si="78"/>
        <v>2237200</v>
      </c>
      <c r="J299" s="238">
        <f t="shared" si="78"/>
        <v>2237200</v>
      </c>
      <c r="K299" s="238">
        <f t="shared" si="78"/>
        <v>2237200</v>
      </c>
      <c r="L299" s="238">
        <f t="shared" si="78"/>
        <v>2096000</v>
      </c>
      <c r="M299" s="238">
        <f t="shared" si="78"/>
        <v>2158400</v>
      </c>
      <c r="N299" s="238">
        <f t="shared" si="78"/>
        <v>2158400</v>
      </c>
      <c r="O299" s="238">
        <f t="shared" si="78"/>
        <v>26153600</v>
      </c>
    </row>
    <row r="300" spans="2:15" x14ac:dyDescent="0.2">
      <c r="B300" s="232" t="s">
        <v>1237</v>
      </c>
      <c r="C300" s="238">
        <f>C296-C299</f>
        <v>808698</v>
      </c>
      <c r="D300" s="238">
        <f t="shared" ref="D300:O300" si="79">D296-D299</f>
        <v>532687</v>
      </c>
      <c r="E300" s="238">
        <f t="shared" si="79"/>
        <v>777684</v>
      </c>
      <c r="F300" s="238">
        <f t="shared" si="79"/>
        <v>712817</v>
      </c>
      <c r="G300" s="238">
        <f t="shared" si="79"/>
        <v>821728</v>
      </c>
      <c r="H300" s="238">
        <f t="shared" si="79"/>
        <v>812136</v>
      </c>
      <c r="I300" s="238">
        <f t="shared" si="79"/>
        <v>818698</v>
      </c>
      <c r="J300" s="238">
        <f t="shared" si="79"/>
        <v>1100305</v>
      </c>
      <c r="K300" s="238">
        <f t="shared" si="79"/>
        <v>718812</v>
      </c>
      <c r="L300" s="238">
        <f t="shared" si="79"/>
        <v>772486</v>
      </c>
      <c r="M300" s="238">
        <f t="shared" si="79"/>
        <v>612423</v>
      </c>
      <c r="N300" s="238">
        <f t="shared" si="79"/>
        <v>679958</v>
      </c>
      <c r="O300" s="238">
        <f t="shared" si="79"/>
        <v>9168432</v>
      </c>
    </row>
    <row r="303" spans="2:15" x14ac:dyDescent="0.2">
      <c r="B303" s="232" t="s">
        <v>0</v>
      </c>
    </row>
    <row r="304" spans="2:15" x14ac:dyDescent="0.2">
      <c r="B304" s="232" t="s">
        <v>863</v>
      </c>
      <c r="C304" s="238"/>
    </row>
    <row r="305" spans="2:15" x14ac:dyDescent="0.2">
      <c r="B305" s="232" t="s">
        <v>1235</v>
      </c>
    </row>
    <row r="306" spans="2:15" x14ac:dyDescent="0.2">
      <c r="B306" s="232" t="s">
        <v>1234</v>
      </c>
    </row>
    <row r="307" spans="2:15" x14ac:dyDescent="0.2">
      <c r="B307" s="232" t="s">
        <v>1236</v>
      </c>
      <c r="C307" s="238">
        <f>C299</f>
        <v>2158400</v>
      </c>
      <c r="D307" s="238">
        <f t="shared" ref="D307:O307" si="80">D299</f>
        <v>2158400</v>
      </c>
      <c r="E307" s="238">
        <f t="shared" si="80"/>
        <v>2158400</v>
      </c>
      <c r="F307" s="238">
        <f t="shared" si="80"/>
        <v>2158400</v>
      </c>
      <c r="G307" s="238">
        <f t="shared" si="80"/>
        <v>2158400</v>
      </c>
      <c r="H307" s="238">
        <f t="shared" si="80"/>
        <v>2237200</v>
      </c>
      <c r="I307" s="238">
        <f t="shared" si="80"/>
        <v>2237200</v>
      </c>
      <c r="J307" s="238">
        <f t="shared" si="80"/>
        <v>2237200</v>
      </c>
      <c r="K307" s="238">
        <f t="shared" si="80"/>
        <v>2237200</v>
      </c>
      <c r="L307" s="238">
        <f t="shared" si="80"/>
        <v>2096000</v>
      </c>
      <c r="M307" s="238">
        <f t="shared" si="80"/>
        <v>2158400</v>
      </c>
      <c r="N307" s="238">
        <f t="shared" si="80"/>
        <v>2158400</v>
      </c>
      <c r="O307" s="238">
        <f t="shared" si="80"/>
        <v>26153600</v>
      </c>
    </row>
    <row r="308" spans="2:15" x14ac:dyDescent="0.2">
      <c r="B308" s="232" t="s">
        <v>1237</v>
      </c>
      <c r="C308" s="238">
        <f>C300</f>
        <v>808698</v>
      </c>
      <c r="D308" s="238">
        <f t="shared" ref="D308:O308" si="81">D300</f>
        <v>532687</v>
      </c>
      <c r="E308" s="238">
        <f t="shared" si="81"/>
        <v>777684</v>
      </c>
      <c r="F308" s="238">
        <f t="shared" si="81"/>
        <v>712817</v>
      </c>
      <c r="G308" s="238">
        <f t="shared" si="81"/>
        <v>821728</v>
      </c>
      <c r="H308" s="238">
        <f t="shared" si="81"/>
        <v>812136</v>
      </c>
      <c r="I308" s="238">
        <f t="shared" si="81"/>
        <v>818698</v>
      </c>
      <c r="J308" s="238">
        <f t="shared" si="81"/>
        <v>1100305</v>
      </c>
      <c r="K308" s="238">
        <f t="shared" si="81"/>
        <v>718812</v>
      </c>
      <c r="L308" s="238">
        <f t="shared" si="81"/>
        <v>772486</v>
      </c>
      <c r="M308" s="238">
        <f t="shared" si="81"/>
        <v>612423</v>
      </c>
      <c r="N308" s="238">
        <f t="shared" si="81"/>
        <v>679958</v>
      </c>
      <c r="O308" s="238">
        <f t="shared" si="81"/>
        <v>9168432</v>
      </c>
    </row>
  </sheetData>
  <phoneticPr fontId="16" type="noConversion"/>
  <pageMargins left="0.45" right="0.45" top="1.25" bottom="0.75" header="0.55000000000000004" footer="0.3"/>
  <pageSetup scale="57" fitToHeight="2" orientation="landscape" r:id="rId1"/>
  <headerFooter>
    <oddFooter>&amp;RExhibit JW-7
Page &amp;P of &amp;N</oddFooter>
  </headerFooter>
  <rowBreaks count="3" manualBreakCount="3">
    <brk id="43" max="14" man="1"/>
    <brk id="104" max="14" man="1"/>
    <brk id="169" max="14" man="1"/>
  </rowBreaks>
  <ignoredErrors>
    <ignoredError sqref="C14:N14 C58 C92 C117:C118 C170 C130:C131 C143:C144 C156 C182:C183 C195:C196 C208 F58:N58 C94:C96 C98:C99 C104 C107:C109 C111:C112 C120:C122 C124:C125 C133:C135 C137:C138 C146:C148 C150:C151 C105 C172:C174 C176:C177 C185:C187 C189:C190 C198:C200 C202:C203 D170:N170 D104:N104 D105:N105 D107:N109 D112:J112 D117:N118 D120:N122 D124:N125 D130:N131 E128 E129 D133:N135 D137:N138 D143:N144 D146:N148 D150:N151 D156:N156 D172:N174 D177:N177 D182:N183 D185:N187 D189:N190 D195:N196 D200:N200 D202:N203 D208:N208 D176:H176 J176:N176 D111:J111 L111:N111 L112:N112 D198 F198:N198 D199 F199:N199" formulaRange="1"/>
    <ignoredError sqref="O14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89"/>
  <sheetViews>
    <sheetView tabSelected="1" view="pageBreakPreview" zoomScale="75" zoomScaleNormal="100" zoomScaleSheetLayoutView="75" workbookViewId="0">
      <selection activeCell="C45" sqref="C45:O45"/>
    </sheetView>
  </sheetViews>
  <sheetFormatPr defaultColWidth="9.140625" defaultRowHeight="12.75" x14ac:dyDescent="0.2"/>
  <cols>
    <col min="1" max="1" width="5.5703125" style="14" customWidth="1"/>
    <col min="2" max="2" width="35.85546875" style="30" customWidth="1"/>
    <col min="3" max="3" width="10.7109375" style="14" customWidth="1"/>
    <col min="4" max="4" width="13.28515625" style="14" customWidth="1"/>
    <col min="5" max="5" width="12.85546875" style="14" customWidth="1"/>
    <col min="6" max="6" width="14.85546875" style="14" customWidth="1"/>
    <col min="7" max="7" width="12.85546875" style="14" customWidth="1"/>
    <col min="8" max="8" width="12" style="14" bestFit="1" customWidth="1"/>
    <col min="9" max="9" width="9.140625" style="14" customWidth="1"/>
    <col min="10" max="10" width="4" style="14" customWidth="1"/>
    <col min="11" max="11" width="9.140625" style="14" customWidth="1"/>
    <col min="12" max="14" width="9.140625" style="14"/>
    <col min="15" max="15" width="9.140625" style="14" customWidth="1"/>
    <col min="16" max="16384" width="9.140625" style="14"/>
  </cols>
  <sheetData>
    <row r="1" spans="1:8" x14ac:dyDescent="0.2">
      <c r="A1" s="13" t="str">
        <f>'Summary of Returns'!A1</f>
        <v>SOUTH KENTUCKY R.E.C.C.</v>
      </c>
    </row>
    <row r="2" spans="1:8" x14ac:dyDescent="0.2">
      <c r="A2" s="13" t="s">
        <v>676</v>
      </c>
    </row>
    <row r="4" spans="1:8" ht="62.25" customHeight="1" thickBot="1" x14ac:dyDescent="0.25">
      <c r="A4" s="62" t="s">
        <v>964</v>
      </c>
      <c r="B4" s="89" t="s">
        <v>752</v>
      </c>
      <c r="C4" s="142" t="s">
        <v>870</v>
      </c>
      <c r="D4" s="84" t="s">
        <v>871</v>
      </c>
      <c r="E4" s="84" t="s">
        <v>872</v>
      </c>
      <c r="F4" s="84" t="s">
        <v>862</v>
      </c>
      <c r="G4" s="84" t="s">
        <v>873</v>
      </c>
      <c r="H4" s="85"/>
    </row>
    <row r="5" spans="1:8" x14ac:dyDescent="0.2">
      <c r="A5" s="30"/>
      <c r="B5" s="13"/>
      <c r="C5" s="16"/>
    </row>
    <row r="6" spans="1:8" x14ac:dyDescent="0.2">
      <c r="A6" s="30">
        <v>1</v>
      </c>
      <c r="B6" s="14" t="str">
        <f>'Summary of Returns'!B10</f>
        <v>Residential, Farm and Non-Farm Service</v>
      </c>
      <c r="C6" s="143" t="str">
        <f>'Summary of Returns'!C10</f>
        <v xml:space="preserve">A </v>
      </c>
      <c r="D6" s="119">
        <f>'Billing Det'!C8</f>
        <v>65129</v>
      </c>
      <c r="E6" s="297">
        <v>196</v>
      </c>
      <c r="F6" s="144">
        <f t="shared" ref="F6:F16" si="0">E6*D6</f>
        <v>12765284</v>
      </c>
      <c r="G6" s="145">
        <f t="shared" ref="G6:G11" si="1">F6/$F$32</f>
        <v>0.65436189524004218</v>
      </c>
      <c r="H6" s="145"/>
    </row>
    <row r="7" spans="1:8" x14ac:dyDescent="0.2">
      <c r="A7" s="30">
        <v>2</v>
      </c>
      <c r="B7" s="14" t="str">
        <f>'Summary of Returns'!B11</f>
        <v>Small Commercial Rate</v>
      </c>
      <c r="C7" s="143" t="str">
        <f>'Summary of Returns'!C11</f>
        <v>B</v>
      </c>
      <c r="D7" s="119">
        <f>'Billing Det'!C9</f>
        <v>4875</v>
      </c>
      <c r="E7" s="297">
        <v>1072</v>
      </c>
      <c r="F7" s="144">
        <f t="shared" si="0"/>
        <v>5226000</v>
      </c>
      <c r="G7" s="145">
        <f t="shared" si="1"/>
        <v>0.26789026115865971</v>
      </c>
      <c r="H7" s="145"/>
    </row>
    <row r="8" spans="1:8" x14ac:dyDescent="0.2">
      <c r="A8" s="30">
        <v>3</v>
      </c>
      <c r="B8" s="14" t="str">
        <f>'Summary of Returns'!B12</f>
        <v>Large Power Rate (Excess of 50 kVA)</v>
      </c>
      <c r="C8" s="143" t="str">
        <f>'Summary of Returns'!C12</f>
        <v>LP</v>
      </c>
      <c r="D8" s="119">
        <f>'Billing Det'!C10</f>
        <v>446</v>
      </c>
      <c r="E8" s="297">
        <v>2694</v>
      </c>
      <c r="F8" s="144">
        <f t="shared" si="0"/>
        <v>1201524</v>
      </c>
      <c r="G8" s="145">
        <f t="shared" si="1"/>
        <v>6.1591385026482488E-2</v>
      </c>
      <c r="H8" s="145"/>
    </row>
    <row r="9" spans="1:8" x14ac:dyDescent="0.2">
      <c r="A9" s="30">
        <v>4</v>
      </c>
      <c r="B9" s="14" t="str">
        <f>'Summary of Returns'!B13</f>
        <v>Large Power Rate (500 KW to 4,999 KW)</v>
      </c>
      <c r="C9" s="143" t="str">
        <f>'Summary of Returns'!C13</f>
        <v>LP-1</v>
      </c>
      <c r="D9" s="119">
        <f>'Billing Det'!C11</f>
        <v>1</v>
      </c>
      <c r="E9" s="297">
        <v>12160</v>
      </c>
      <c r="F9" s="144">
        <f t="shared" si="0"/>
        <v>12160</v>
      </c>
      <c r="G9" s="145">
        <f t="shared" si="1"/>
        <v>6.2333440024670917E-4</v>
      </c>
      <c r="H9" s="145"/>
    </row>
    <row r="10" spans="1:8" x14ac:dyDescent="0.2">
      <c r="A10" s="30">
        <v>5</v>
      </c>
      <c r="B10" s="14" t="str">
        <f>'Summary of Returns'!B14</f>
        <v>Large Power Rate (5,000 KW to 9,999 KW)</v>
      </c>
      <c r="C10" s="143" t="str">
        <f>'Summary of Returns'!C14</f>
        <v>LP-2</v>
      </c>
      <c r="D10" s="119">
        <f>'Billing Det'!C12</f>
        <v>2</v>
      </c>
      <c r="E10" s="297">
        <f>E9</f>
        <v>12160</v>
      </c>
      <c r="F10" s="144">
        <f t="shared" si="0"/>
        <v>24320</v>
      </c>
      <c r="G10" s="145">
        <f t="shared" si="1"/>
        <v>1.2466688004934183E-3</v>
      </c>
      <c r="H10" s="145"/>
    </row>
    <row r="11" spans="1:8" x14ac:dyDescent="0.2">
      <c r="A11" s="30">
        <v>6</v>
      </c>
      <c r="B11" s="14" t="str">
        <f>'Summary of Returns'!B15</f>
        <v>Large Power Rate (500 KW to 2,999 KW)</v>
      </c>
      <c r="C11" s="143" t="str">
        <f>'Summary of Returns'!C15</f>
        <v>LP-3</v>
      </c>
      <c r="D11" s="119">
        <f>'Billing Det'!C13</f>
        <v>9</v>
      </c>
      <c r="E11" s="297">
        <f>E10</f>
        <v>12160</v>
      </c>
      <c r="F11" s="144">
        <f t="shared" si="0"/>
        <v>109440</v>
      </c>
      <c r="G11" s="145">
        <f t="shared" si="1"/>
        <v>5.6100096022203829E-3</v>
      </c>
      <c r="H11" s="145"/>
    </row>
    <row r="12" spans="1:8" x14ac:dyDescent="0.2">
      <c r="A12" s="30">
        <v>7</v>
      </c>
      <c r="B12" s="14" t="str">
        <f>'Summary of Returns'!B16</f>
        <v>Optional Power Service</v>
      </c>
      <c r="C12" s="143" t="str">
        <f>'Summary of Returns'!C16</f>
        <v>OPS</v>
      </c>
      <c r="D12" s="119">
        <f>'Billing Det'!C14</f>
        <v>142</v>
      </c>
      <c r="E12" s="297">
        <v>816</v>
      </c>
      <c r="F12" s="144">
        <f t="shared" si="0"/>
        <v>115872</v>
      </c>
      <c r="G12" s="145">
        <f t="shared" ref="G12:G16" si="2">F12/$F$32</f>
        <v>5.9397206928771948E-3</v>
      </c>
      <c r="H12" s="145"/>
    </row>
    <row r="13" spans="1:8" x14ac:dyDescent="0.2">
      <c r="A13" s="30">
        <v>8</v>
      </c>
      <c r="B13" s="14" t="str">
        <f>'Summary of Returns'!B17</f>
        <v>All Electric Schools</v>
      </c>
      <c r="C13" s="143" t="str">
        <f>'Summary of Returns'!C17</f>
        <v>AES</v>
      </c>
      <c r="D13" s="119">
        <f>'Billing Det'!C15</f>
        <v>17</v>
      </c>
      <c r="E13" s="297">
        <v>2694</v>
      </c>
      <c r="F13" s="144">
        <f t="shared" si="0"/>
        <v>45798</v>
      </c>
      <c r="G13" s="145">
        <f t="shared" si="2"/>
        <v>2.3476536893502291E-3</v>
      </c>
      <c r="H13" s="145"/>
    </row>
    <row r="14" spans="1:8" x14ac:dyDescent="0.2">
      <c r="A14" s="30">
        <v>9</v>
      </c>
      <c r="B14" s="14" t="str">
        <f>'Summary of Returns'!B18</f>
        <v>Lighting</v>
      </c>
      <c r="C14" s="143" t="str">
        <f>'Summary of Returns'!C18</f>
        <v>Lights</v>
      </c>
      <c r="D14" s="119">
        <f>'Billing Det'!C16</f>
        <v>23</v>
      </c>
      <c r="E14" s="297">
        <v>330</v>
      </c>
      <c r="F14" s="144">
        <f t="shared" si="0"/>
        <v>7590</v>
      </c>
      <c r="G14" s="145">
        <f t="shared" si="2"/>
        <v>3.8907138962767458E-4</v>
      </c>
      <c r="H14" s="145"/>
    </row>
    <row r="15" spans="1:8" hidden="1" x14ac:dyDescent="0.2">
      <c r="A15" s="30">
        <v>10</v>
      </c>
      <c r="B15" s="14">
        <f>'Summary of Returns'!B19</f>
        <v>0</v>
      </c>
      <c r="C15" s="143">
        <f>'Summary of Returns'!C19</f>
        <v>0</v>
      </c>
      <c r="D15" s="119">
        <f>'Billing Det'!C17</f>
        <v>0</v>
      </c>
      <c r="E15" s="191">
        <v>0</v>
      </c>
      <c r="F15" s="144">
        <f t="shared" si="0"/>
        <v>0</v>
      </c>
      <c r="G15" s="145">
        <f t="shared" si="2"/>
        <v>0</v>
      </c>
      <c r="H15" s="145"/>
    </row>
    <row r="16" spans="1:8" hidden="1" x14ac:dyDescent="0.2">
      <c r="A16" s="30">
        <v>11</v>
      </c>
      <c r="B16" s="14">
        <f>'Summary of Returns'!B20</f>
        <v>0</v>
      </c>
      <c r="C16" s="143"/>
      <c r="D16" s="119">
        <f>'Billing Det'!C18</f>
        <v>0</v>
      </c>
      <c r="E16" s="191">
        <v>0</v>
      </c>
      <c r="F16" s="144">
        <f t="shared" si="0"/>
        <v>0</v>
      </c>
      <c r="G16" s="145">
        <f t="shared" si="2"/>
        <v>0</v>
      </c>
      <c r="H16" s="67"/>
    </row>
    <row r="17" spans="1:8" hidden="1" x14ac:dyDescent="0.2">
      <c r="A17" s="30"/>
      <c r="B17" s="14"/>
      <c r="C17" s="30"/>
      <c r="D17" s="50"/>
      <c r="E17" s="66"/>
      <c r="F17" s="66"/>
      <c r="G17" s="67"/>
      <c r="H17" s="67"/>
    </row>
    <row r="18" spans="1:8" hidden="1" x14ac:dyDescent="0.2">
      <c r="A18" s="30"/>
      <c r="B18" s="14"/>
      <c r="C18" s="30"/>
      <c r="D18" s="50"/>
      <c r="E18" s="132"/>
      <c r="F18" s="66"/>
      <c r="G18" s="67"/>
      <c r="H18" s="67"/>
    </row>
    <row r="19" spans="1:8" hidden="1" x14ac:dyDescent="0.2">
      <c r="A19" s="30"/>
      <c r="B19" s="14"/>
      <c r="C19" s="30"/>
      <c r="D19" s="50"/>
      <c r="E19" s="66"/>
      <c r="F19" s="66"/>
      <c r="G19" s="67"/>
      <c r="H19" s="67"/>
    </row>
    <row r="20" spans="1:8" hidden="1" x14ac:dyDescent="0.2">
      <c r="A20" s="30"/>
      <c r="B20" s="14"/>
      <c r="C20" s="30"/>
      <c r="D20" s="50"/>
      <c r="E20" s="132"/>
      <c r="F20" s="66"/>
      <c r="G20" s="67"/>
      <c r="H20" s="67"/>
    </row>
    <row r="21" spans="1:8" hidden="1" x14ac:dyDescent="0.2">
      <c r="A21" s="30"/>
      <c r="B21" s="14"/>
      <c r="C21" s="30"/>
      <c r="D21" s="50"/>
      <c r="E21" s="66"/>
      <c r="F21" s="66"/>
      <c r="G21" s="67"/>
      <c r="H21" s="67"/>
    </row>
    <row r="22" spans="1:8" hidden="1" x14ac:dyDescent="0.2">
      <c r="A22" s="30"/>
      <c r="B22" s="14"/>
      <c r="C22" s="30"/>
      <c r="D22" s="50"/>
      <c r="E22" s="132"/>
      <c r="F22" s="66"/>
      <c r="G22" s="67"/>
      <c r="H22" s="67"/>
    </row>
    <row r="23" spans="1:8" hidden="1" x14ac:dyDescent="0.2">
      <c r="A23" s="30"/>
      <c r="B23" s="14"/>
      <c r="C23" s="30"/>
      <c r="D23" s="50"/>
      <c r="E23" s="66"/>
      <c r="F23" s="66"/>
      <c r="G23" s="67"/>
      <c r="H23" s="67"/>
    </row>
    <row r="24" spans="1:8" hidden="1" x14ac:dyDescent="0.2">
      <c r="A24" s="30"/>
      <c r="B24" s="14"/>
      <c r="C24" s="30"/>
      <c r="D24" s="50"/>
      <c r="E24" s="132"/>
      <c r="F24" s="66"/>
      <c r="G24" s="67"/>
      <c r="H24" s="67"/>
    </row>
    <row r="25" spans="1:8" hidden="1" x14ac:dyDescent="0.2">
      <c r="A25" s="30"/>
      <c r="B25" s="14"/>
      <c r="C25" s="30"/>
      <c r="D25" s="50"/>
      <c r="E25" s="66"/>
      <c r="F25" s="66"/>
      <c r="G25" s="67"/>
      <c r="H25" s="67"/>
    </row>
    <row r="26" spans="1:8" hidden="1" x14ac:dyDescent="0.2">
      <c r="A26" s="30"/>
      <c r="B26" s="14"/>
      <c r="C26" s="30"/>
      <c r="D26" s="50"/>
      <c r="E26" s="132"/>
      <c r="F26" s="66"/>
      <c r="G26" s="67"/>
      <c r="H26" s="67"/>
    </row>
    <row r="27" spans="1:8" hidden="1" x14ac:dyDescent="0.2">
      <c r="A27" s="30"/>
      <c r="B27" s="14"/>
      <c r="C27" s="30"/>
      <c r="D27" s="50"/>
      <c r="E27" s="66"/>
      <c r="F27" s="66"/>
      <c r="G27" s="67"/>
      <c r="H27" s="67"/>
    </row>
    <row r="28" spans="1:8" hidden="1" x14ac:dyDescent="0.2">
      <c r="A28" s="30"/>
      <c r="B28" s="14"/>
      <c r="C28" s="30"/>
      <c r="D28" s="50"/>
      <c r="E28" s="132"/>
      <c r="F28" s="66"/>
      <c r="G28" s="67"/>
      <c r="H28" s="67"/>
    </row>
    <row r="29" spans="1:8" hidden="1" x14ac:dyDescent="0.2">
      <c r="A29" s="30"/>
      <c r="B29" s="14"/>
      <c r="C29" s="30"/>
      <c r="D29" s="50"/>
      <c r="E29" s="66"/>
      <c r="F29" s="66"/>
      <c r="G29" s="67"/>
      <c r="H29" s="67"/>
    </row>
    <row r="30" spans="1:8" hidden="1" x14ac:dyDescent="0.2">
      <c r="A30" s="30"/>
      <c r="B30" s="14"/>
      <c r="C30" s="30"/>
      <c r="D30" s="50"/>
      <c r="E30" s="132"/>
      <c r="F30" s="66"/>
      <c r="G30" s="67"/>
      <c r="H30" s="67"/>
    </row>
    <row r="31" spans="1:8" hidden="1" x14ac:dyDescent="0.2">
      <c r="A31" s="30"/>
      <c r="B31" s="14"/>
      <c r="C31" s="30"/>
      <c r="D31" s="50"/>
      <c r="E31" s="66"/>
      <c r="F31" s="66"/>
      <c r="G31" s="67"/>
      <c r="H31" s="67"/>
    </row>
    <row r="32" spans="1:8" ht="13.5" thickBot="1" x14ac:dyDescent="0.25">
      <c r="A32" s="30">
        <v>10</v>
      </c>
      <c r="B32" s="146" t="s">
        <v>0</v>
      </c>
      <c r="C32" s="147"/>
      <c r="D32" s="148">
        <f>SUM(D6:D31)</f>
        <v>70644</v>
      </c>
      <c r="E32" s="149">
        <f>F32/D32</f>
        <v>276.1450087764</v>
      </c>
      <c r="F32" s="150">
        <f>SUM(F6:F31)</f>
        <v>19507988</v>
      </c>
      <c r="G32" s="151">
        <f>SUM(G6:G31)</f>
        <v>0.99999999999999989</v>
      </c>
      <c r="H32" s="47"/>
    </row>
    <row r="33" spans="1:16" ht="13.5" thickTop="1" x14ac:dyDescent="0.2">
      <c r="A33" s="30"/>
      <c r="B33" s="14"/>
      <c r="C33" s="152"/>
      <c r="D33" s="50"/>
    </row>
    <row r="34" spans="1:16" x14ac:dyDescent="0.2">
      <c r="B34" s="152"/>
      <c r="C34" s="50"/>
    </row>
    <row r="35" spans="1:16" x14ac:dyDescent="0.2">
      <c r="B35" s="152"/>
      <c r="C35" s="50"/>
    </row>
    <row r="36" spans="1:16" x14ac:dyDescent="0.2">
      <c r="B36" s="153"/>
      <c r="C36" s="154"/>
      <c r="E36" s="191"/>
    </row>
    <row r="37" spans="1:16" s="13" customFormat="1" x14ac:dyDescent="0.2">
      <c r="A37" s="14"/>
      <c r="B37" s="153"/>
      <c r="C37" s="15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2">
      <c r="B38" s="153"/>
      <c r="C38" s="154"/>
    </row>
    <row r="39" spans="1:16" x14ac:dyDescent="0.2">
      <c r="B39" s="152"/>
      <c r="C39" s="50"/>
    </row>
    <row r="40" spans="1:16" x14ac:dyDescent="0.2">
      <c r="B40" s="152"/>
      <c r="C40" s="50"/>
    </row>
    <row r="41" spans="1:16" x14ac:dyDescent="0.2">
      <c r="B41" s="152"/>
      <c r="C41" s="50"/>
    </row>
    <row r="42" spans="1:16" x14ac:dyDescent="0.2">
      <c r="B42" s="152"/>
      <c r="C42" s="50"/>
    </row>
    <row r="43" spans="1:16" x14ac:dyDescent="0.2">
      <c r="B43" s="152"/>
      <c r="C43" s="50"/>
    </row>
    <row r="44" spans="1:16" x14ac:dyDescent="0.2">
      <c r="B44" s="152"/>
      <c r="C44" s="50"/>
    </row>
    <row r="45" spans="1:16" x14ac:dyDescent="0.2">
      <c r="B45" s="152"/>
      <c r="C45" s="50"/>
    </row>
    <row r="46" spans="1:16" x14ac:dyDescent="0.2">
      <c r="B46" s="152"/>
      <c r="C46" s="50"/>
    </row>
    <row r="47" spans="1:16" x14ac:dyDescent="0.2">
      <c r="B47" s="152"/>
      <c r="C47" s="50"/>
    </row>
    <row r="48" spans="1:16" x14ac:dyDescent="0.2">
      <c r="B48" s="152"/>
      <c r="C48" s="50"/>
    </row>
    <row r="49" spans="2:3" x14ac:dyDescent="0.2">
      <c r="B49" s="152"/>
      <c r="C49" s="50"/>
    </row>
    <row r="50" spans="2:3" x14ac:dyDescent="0.2">
      <c r="B50" s="152"/>
      <c r="C50" s="50"/>
    </row>
    <row r="51" spans="2:3" x14ac:dyDescent="0.2">
      <c r="B51" s="152"/>
      <c r="C51" s="50"/>
    </row>
    <row r="52" spans="2:3" x14ac:dyDescent="0.2">
      <c r="B52" s="152"/>
      <c r="C52" s="50"/>
    </row>
    <row r="53" spans="2:3" x14ac:dyDescent="0.2">
      <c r="B53" s="152"/>
      <c r="C53" s="50"/>
    </row>
    <row r="54" spans="2:3" x14ac:dyDescent="0.2">
      <c r="B54" s="152"/>
      <c r="C54" s="50"/>
    </row>
    <row r="55" spans="2:3" x14ac:dyDescent="0.2">
      <c r="B55" s="152"/>
      <c r="C55" s="50"/>
    </row>
    <row r="56" spans="2:3" x14ac:dyDescent="0.2">
      <c r="B56" s="152"/>
      <c r="C56" s="50"/>
    </row>
    <row r="57" spans="2:3" x14ac:dyDescent="0.2">
      <c r="B57" s="152"/>
      <c r="C57" s="50"/>
    </row>
    <row r="58" spans="2:3" x14ac:dyDescent="0.2">
      <c r="B58" s="152"/>
      <c r="C58" s="50"/>
    </row>
    <row r="59" spans="2:3" x14ac:dyDescent="0.2">
      <c r="B59" s="152"/>
      <c r="C59" s="50"/>
    </row>
    <row r="60" spans="2:3" x14ac:dyDescent="0.2">
      <c r="B60" s="152"/>
      <c r="C60" s="50"/>
    </row>
    <row r="61" spans="2:3" x14ac:dyDescent="0.2">
      <c r="B61" s="152"/>
      <c r="C61" s="50"/>
    </row>
    <row r="62" spans="2:3" x14ac:dyDescent="0.2">
      <c r="B62" s="152"/>
      <c r="C62" s="50"/>
    </row>
    <row r="63" spans="2:3" x14ac:dyDescent="0.2">
      <c r="B63" s="152"/>
      <c r="C63" s="50"/>
    </row>
    <row r="64" spans="2:3" x14ac:dyDescent="0.2">
      <c r="B64" s="152"/>
      <c r="C64" s="50"/>
    </row>
    <row r="65" spans="2:3" x14ac:dyDescent="0.2">
      <c r="B65" s="152"/>
      <c r="C65" s="50"/>
    </row>
    <row r="66" spans="2:3" x14ac:dyDescent="0.2">
      <c r="B66" s="152"/>
      <c r="C66" s="50"/>
    </row>
    <row r="67" spans="2:3" x14ac:dyDescent="0.2">
      <c r="B67" s="152"/>
      <c r="C67" s="50"/>
    </row>
    <row r="68" spans="2:3" x14ac:dyDescent="0.2">
      <c r="B68" s="152"/>
      <c r="C68" s="50"/>
    </row>
    <row r="69" spans="2:3" x14ac:dyDescent="0.2">
      <c r="B69" s="152"/>
      <c r="C69" s="50"/>
    </row>
    <row r="70" spans="2:3" x14ac:dyDescent="0.2">
      <c r="B70" s="152"/>
      <c r="C70" s="50"/>
    </row>
    <row r="71" spans="2:3" x14ac:dyDescent="0.2">
      <c r="B71" s="152"/>
      <c r="C71" s="50"/>
    </row>
    <row r="72" spans="2:3" x14ac:dyDescent="0.2">
      <c r="B72" s="152"/>
      <c r="C72" s="50"/>
    </row>
    <row r="73" spans="2:3" x14ac:dyDescent="0.2">
      <c r="B73" s="152"/>
      <c r="C73" s="50"/>
    </row>
    <row r="74" spans="2:3" x14ac:dyDescent="0.2">
      <c r="B74" s="152"/>
      <c r="C74" s="50"/>
    </row>
    <row r="75" spans="2:3" x14ac:dyDescent="0.2">
      <c r="B75" s="152"/>
      <c r="C75" s="50"/>
    </row>
    <row r="76" spans="2:3" x14ac:dyDescent="0.2">
      <c r="B76" s="152"/>
      <c r="C76" s="50"/>
    </row>
    <row r="77" spans="2:3" x14ac:dyDescent="0.2">
      <c r="B77" s="152"/>
      <c r="C77" s="50"/>
    </row>
    <row r="78" spans="2:3" x14ac:dyDescent="0.2">
      <c r="B78" s="152"/>
      <c r="C78" s="50"/>
    </row>
    <row r="79" spans="2:3" x14ac:dyDescent="0.2">
      <c r="B79" s="152"/>
      <c r="C79" s="50"/>
    </row>
    <row r="80" spans="2:3" x14ac:dyDescent="0.2">
      <c r="B80" s="152"/>
      <c r="C80" s="50"/>
    </row>
    <row r="81" spans="2:3" x14ac:dyDescent="0.2">
      <c r="B81" s="152"/>
      <c r="C81" s="50"/>
    </row>
    <row r="82" spans="2:3" x14ac:dyDescent="0.2">
      <c r="B82" s="152"/>
      <c r="C82" s="50"/>
    </row>
    <row r="83" spans="2:3" x14ac:dyDescent="0.2">
      <c r="B83" s="152"/>
      <c r="C83" s="50"/>
    </row>
    <row r="84" spans="2:3" x14ac:dyDescent="0.2">
      <c r="B84" s="152"/>
      <c r="C84" s="50"/>
    </row>
    <row r="85" spans="2:3" x14ac:dyDescent="0.2">
      <c r="B85" s="152"/>
      <c r="C85" s="50"/>
    </row>
    <row r="86" spans="2:3" x14ac:dyDescent="0.2">
      <c r="B86" s="152"/>
      <c r="C86" s="50"/>
    </row>
    <row r="87" spans="2:3" x14ac:dyDescent="0.2">
      <c r="B87" s="155"/>
    </row>
    <row r="88" spans="2:3" x14ac:dyDescent="0.2">
      <c r="B88" s="155"/>
    </row>
    <row r="89" spans="2:3" x14ac:dyDescent="0.2">
      <c r="B89" s="155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&amp;P of &amp;N</oddFooter>
  </headerFooter>
  <ignoredErrors>
    <ignoredError sqref="E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2"/>
  <sheetViews>
    <sheetView tabSelected="1" view="pageBreakPreview" zoomScale="75" zoomScaleNormal="100" zoomScaleSheetLayoutView="75" workbookViewId="0">
      <selection activeCell="C45" sqref="C45:O45"/>
    </sheetView>
  </sheetViews>
  <sheetFormatPr defaultColWidth="9.140625" defaultRowHeight="12.75" x14ac:dyDescent="0.2"/>
  <cols>
    <col min="1" max="1" width="6.7109375" style="14" customWidth="1"/>
    <col min="2" max="2" width="38.7109375" style="30" customWidth="1"/>
    <col min="3" max="3" width="8.42578125" style="29" customWidth="1"/>
    <col min="4" max="4" width="13.28515625" style="29" customWidth="1"/>
    <col min="5" max="5" width="12.85546875" style="29" customWidth="1"/>
    <col min="6" max="6" width="15.42578125" style="29" customWidth="1"/>
    <col min="7" max="7" width="11.85546875" style="14" customWidth="1"/>
    <col min="8" max="8" width="15.42578125" style="14" customWidth="1"/>
    <col min="9" max="9" width="15" style="14" customWidth="1"/>
    <col min="10" max="16384" width="9.140625" style="14"/>
  </cols>
  <sheetData>
    <row r="1" spans="1:7" x14ac:dyDescent="0.2">
      <c r="A1" s="13" t="str">
        <f>'Summary of Returns'!A1</f>
        <v>SOUTH KENTUCKY R.E.C.C.</v>
      </c>
    </row>
    <row r="2" spans="1:7" x14ac:dyDescent="0.2">
      <c r="A2" s="13" t="s">
        <v>697</v>
      </c>
    </row>
    <row r="4" spans="1:7" ht="45.75" customHeight="1" thickBot="1" x14ac:dyDescent="0.25">
      <c r="A4" s="62" t="s">
        <v>964</v>
      </c>
      <c r="B4" s="89" t="s">
        <v>752</v>
      </c>
      <c r="C4" s="142" t="s">
        <v>759</v>
      </c>
      <c r="D4" s="84" t="s">
        <v>875</v>
      </c>
      <c r="E4" s="84" t="s">
        <v>874</v>
      </c>
      <c r="F4" s="84" t="s">
        <v>861</v>
      </c>
      <c r="G4" s="84" t="s">
        <v>753</v>
      </c>
    </row>
    <row r="5" spans="1:7" x14ac:dyDescent="0.2">
      <c r="A5" s="30"/>
      <c r="B5" s="13"/>
      <c r="C5" s="16"/>
      <c r="G5" s="29"/>
    </row>
    <row r="6" spans="1:7" x14ac:dyDescent="0.2">
      <c r="A6" s="30">
        <v>1</v>
      </c>
      <c r="B6" s="14" t="str">
        <f>'Summary of Returns'!B10</f>
        <v>Residential, Farm and Non-Farm Service</v>
      </c>
      <c r="C6" s="143" t="str">
        <f>'Summary of Returns'!C10</f>
        <v xml:space="preserve">A </v>
      </c>
      <c r="D6" s="119">
        <f>'Billing Det'!C8</f>
        <v>65129</v>
      </c>
      <c r="E6" s="297">
        <v>1660</v>
      </c>
      <c r="F6" s="144">
        <f t="shared" ref="F6:F11" si="0">E6*D6</f>
        <v>108114140</v>
      </c>
      <c r="G6" s="145">
        <f t="shared" ref="G6:G11" si="1">F6/$F$33</f>
        <v>0.91914942137972078</v>
      </c>
    </row>
    <row r="7" spans="1:7" x14ac:dyDescent="0.2">
      <c r="A7" s="30">
        <v>2</v>
      </c>
      <c r="B7" s="14" t="str">
        <f>'Summary of Returns'!B11</f>
        <v>Small Commercial Rate</v>
      </c>
      <c r="C7" s="143" t="str">
        <f>'Summary of Returns'!C11</f>
        <v>B</v>
      </c>
      <c r="D7" s="119">
        <f>'Billing Det'!C9</f>
        <v>4875</v>
      </c>
      <c r="E7" s="297">
        <f>E6</f>
        <v>1660</v>
      </c>
      <c r="F7" s="144">
        <f t="shared" si="0"/>
        <v>8092500</v>
      </c>
      <c r="G7" s="145">
        <f t="shared" si="1"/>
        <v>6.8799665728418044E-2</v>
      </c>
    </row>
    <row r="8" spans="1:7" x14ac:dyDescent="0.2">
      <c r="A8" s="30">
        <v>3</v>
      </c>
      <c r="B8" s="14" t="str">
        <f>'Summary of Returns'!B12</f>
        <v>Large Power Rate (Excess of 50 kVA)</v>
      </c>
      <c r="C8" s="143" t="str">
        <f>'Summary of Returns'!C12</f>
        <v>LP</v>
      </c>
      <c r="D8" s="119">
        <f>'Billing Det'!C10</f>
        <v>446</v>
      </c>
      <c r="E8" s="297">
        <v>2634</v>
      </c>
      <c r="F8" s="144">
        <f t="shared" si="0"/>
        <v>1174764</v>
      </c>
      <c r="G8" s="145">
        <f t="shared" si="1"/>
        <v>9.9874415211342969E-3</v>
      </c>
    </row>
    <row r="9" spans="1:7" x14ac:dyDescent="0.2">
      <c r="A9" s="30">
        <v>4</v>
      </c>
      <c r="B9" s="14" t="str">
        <f>'Summary of Returns'!B13</f>
        <v>Large Power Rate (500 KW to 4,999 KW)</v>
      </c>
      <c r="C9" s="143" t="str">
        <f>'Summary of Returns'!C13</f>
        <v>LP-1</v>
      </c>
      <c r="D9" s="119">
        <f>'Billing Det'!C11</f>
        <v>1</v>
      </c>
      <c r="E9" s="297">
        <v>2634</v>
      </c>
      <c r="F9" s="144">
        <f t="shared" si="0"/>
        <v>2634</v>
      </c>
      <c r="G9" s="145">
        <f t="shared" si="1"/>
        <v>2.2393366639314568E-5</v>
      </c>
    </row>
    <row r="10" spans="1:7" x14ac:dyDescent="0.2">
      <c r="A10" s="30">
        <v>5</v>
      </c>
      <c r="B10" s="14" t="str">
        <f>'Summary of Returns'!B14</f>
        <v>Large Power Rate (5,000 KW to 9,999 KW)</v>
      </c>
      <c r="C10" s="143" t="str">
        <f>'Summary of Returns'!C14</f>
        <v>LP-2</v>
      </c>
      <c r="D10" s="119">
        <f>'Billing Det'!C12</f>
        <v>2</v>
      </c>
      <c r="E10" s="297">
        <v>3471</v>
      </c>
      <c r="F10" s="144">
        <f t="shared" si="0"/>
        <v>6942</v>
      </c>
      <c r="G10" s="145">
        <f t="shared" si="1"/>
        <v>5.9018508432088731E-5</v>
      </c>
    </row>
    <row r="11" spans="1:7" x14ac:dyDescent="0.2">
      <c r="A11" s="30">
        <v>6</v>
      </c>
      <c r="B11" s="14" t="str">
        <f>'Summary of Returns'!B15</f>
        <v>Large Power Rate (500 KW to 2,999 KW)</v>
      </c>
      <c r="C11" s="143" t="str">
        <f>'Summary of Returns'!C15</f>
        <v>LP-3</v>
      </c>
      <c r="D11" s="119">
        <f>'Billing Det'!C13</f>
        <v>9</v>
      </c>
      <c r="E11" s="297">
        <v>997</v>
      </c>
      <c r="F11" s="144">
        <f t="shared" si="0"/>
        <v>8973</v>
      </c>
      <c r="G11" s="145">
        <f t="shared" si="1"/>
        <v>7.6285375419350642E-5</v>
      </c>
    </row>
    <row r="12" spans="1:7" x14ac:dyDescent="0.2">
      <c r="A12" s="30">
        <v>7</v>
      </c>
      <c r="B12" s="14" t="str">
        <f>'Summary of Returns'!B16</f>
        <v>Optional Power Service</v>
      </c>
      <c r="C12" s="143" t="str">
        <f>'Summary of Returns'!C16</f>
        <v>OPS</v>
      </c>
      <c r="D12" s="119">
        <f>'Billing Det'!C14</f>
        <v>142</v>
      </c>
      <c r="E12" s="297">
        <v>997</v>
      </c>
      <c r="F12" s="144">
        <f t="shared" ref="F12:F16" si="2">E12*D12</f>
        <v>141574</v>
      </c>
      <c r="G12" s="145">
        <f t="shared" ref="G12:G16" si="3">F12/$F$33</f>
        <v>1.2036137010608657E-3</v>
      </c>
    </row>
    <row r="13" spans="1:7" x14ac:dyDescent="0.2">
      <c r="A13" s="30">
        <v>8</v>
      </c>
      <c r="B13" s="14" t="str">
        <f>'Summary of Returns'!B17</f>
        <v>All Electric Schools</v>
      </c>
      <c r="C13" s="143" t="str">
        <f>'Summary of Returns'!C17</f>
        <v>AES</v>
      </c>
      <c r="D13" s="119">
        <f>'Billing Det'!C15</f>
        <v>17</v>
      </c>
      <c r="E13" s="297">
        <v>997</v>
      </c>
      <c r="F13" s="144">
        <f t="shared" si="2"/>
        <v>16949</v>
      </c>
      <c r="G13" s="145">
        <f t="shared" si="3"/>
        <v>1.4409459801432899E-4</v>
      </c>
    </row>
    <row r="14" spans="1:7" x14ac:dyDescent="0.2">
      <c r="A14" s="30">
        <v>9</v>
      </c>
      <c r="B14" s="14" t="str">
        <f>'Summary of Returns'!B18</f>
        <v>Lighting</v>
      </c>
      <c r="C14" s="143" t="str">
        <f>'Summary of Returns'!C18</f>
        <v>Lights</v>
      </c>
      <c r="D14" s="119">
        <f>'Billing Det'!C16</f>
        <v>23</v>
      </c>
      <c r="E14" s="297">
        <v>2854</v>
      </c>
      <c r="F14" s="144">
        <f t="shared" si="2"/>
        <v>65642</v>
      </c>
      <c r="G14" s="145">
        <f t="shared" si="3"/>
        <v>5.5806582116092892E-4</v>
      </c>
    </row>
    <row r="15" spans="1:7" hidden="1" x14ac:dyDescent="0.2">
      <c r="A15" s="30">
        <v>10</v>
      </c>
      <c r="B15" s="14">
        <f>'Summary of Returns'!B19</f>
        <v>0</v>
      </c>
      <c r="C15" s="143">
        <f>'Summary of Returns'!C19</f>
        <v>0</v>
      </c>
      <c r="D15" s="119">
        <f>'Billing Det'!C17</f>
        <v>0</v>
      </c>
      <c r="E15" s="191"/>
      <c r="F15" s="144">
        <f t="shared" si="2"/>
        <v>0</v>
      </c>
      <c r="G15" s="145">
        <f t="shared" si="3"/>
        <v>0</v>
      </c>
    </row>
    <row r="16" spans="1:7" hidden="1" x14ac:dyDescent="0.2">
      <c r="A16" s="30">
        <v>11</v>
      </c>
      <c r="B16" s="14">
        <f>'Summary of Returns'!B20</f>
        <v>0</v>
      </c>
      <c r="C16" s="143"/>
      <c r="D16" s="119">
        <f>'Billing Det'!C18</f>
        <v>0</v>
      </c>
      <c r="E16" s="191"/>
      <c r="F16" s="144">
        <f t="shared" si="2"/>
        <v>0</v>
      </c>
      <c r="G16" s="145">
        <f t="shared" si="3"/>
        <v>0</v>
      </c>
    </row>
    <row r="17" spans="1:7" hidden="1" x14ac:dyDescent="0.2">
      <c r="A17" s="30"/>
      <c r="B17" s="14"/>
      <c r="C17" s="30"/>
      <c r="D17" s="119"/>
      <c r="E17" s="144"/>
      <c r="F17" s="144"/>
      <c r="G17" s="145"/>
    </row>
    <row r="18" spans="1:7" hidden="1" x14ac:dyDescent="0.2">
      <c r="A18" s="30"/>
      <c r="B18" s="121"/>
      <c r="C18" s="30"/>
      <c r="D18" s="119"/>
      <c r="E18" s="144"/>
      <c r="F18" s="144"/>
      <c r="G18" s="145"/>
    </row>
    <row r="19" spans="1:7" hidden="1" x14ac:dyDescent="0.2">
      <c r="A19" s="30"/>
      <c r="B19" s="14"/>
      <c r="C19" s="30"/>
      <c r="D19" s="119"/>
      <c r="E19" s="144"/>
      <c r="F19" s="144"/>
      <c r="G19" s="145"/>
    </row>
    <row r="20" spans="1:7" hidden="1" x14ac:dyDescent="0.2">
      <c r="A20" s="30"/>
      <c r="B20" s="14"/>
      <c r="C20" s="30"/>
      <c r="D20" s="119"/>
      <c r="E20" s="144"/>
      <c r="F20" s="144"/>
      <c r="G20" s="145"/>
    </row>
    <row r="21" spans="1:7" hidden="1" x14ac:dyDescent="0.2">
      <c r="A21" s="30"/>
      <c r="B21" s="14"/>
      <c r="C21" s="30"/>
      <c r="D21" s="119"/>
      <c r="E21" s="144"/>
      <c r="F21" s="144"/>
      <c r="G21" s="145"/>
    </row>
    <row r="22" spans="1:7" hidden="1" x14ac:dyDescent="0.2">
      <c r="A22" s="30"/>
      <c r="B22" s="14"/>
      <c r="C22" s="30"/>
      <c r="D22" s="119"/>
      <c r="E22" s="144"/>
      <c r="F22" s="144"/>
      <c r="G22" s="145"/>
    </row>
    <row r="23" spans="1:7" hidden="1" x14ac:dyDescent="0.2">
      <c r="A23" s="30"/>
      <c r="B23" s="14"/>
      <c r="C23" s="30"/>
      <c r="D23" s="119"/>
      <c r="E23" s="144"/>
      <c r="F23" s="144"/>
      <c r="G23" s="145"/>
    </row>
    <row r="24" spans="1:7" hidden="1" x14ac:dyDescent="0.2">
      <c r="A24" s="30"/>
      <c r="B24" s="14"/>
      <c r="C24" s="30"/>
      <c r="D24" s="119"/>
      <c r="E24" s="144"/>
      <c r="F24" s="144"/>
      <c r="G24" s="145"/>
    </row>
    <row r="25" spans="1:7" hidden="1" x14ac:dyDescent="0.2">
      <c r="A25" s="30"/>
      <c r="B25" s="14"/>
      <c r="C25" s="30"/>
      <c r="D25" s="119"/>
      <c r="E25" s="144"/>
      <c r="F25" s="144"/>
      <c r="G25" s="145"/>
    </row>
    <row r="26" spans="1:7" hidden="1" x14ac:dyDescent="0.2">
      <c r="A26" s="30"/>
      <c r="B26" s="14"/>
      <c r="C26" s="30"/>
      <c r="D26" s="119"/>
      <c r="E26" s="144"/>
      <c r="F26" s="144"/>
      <c r="G26" s="145"/>
    </row>
    <row r="27" spans="1:7" hidden="1" x14ac:dyDescent="0.2">
      <c r="A27" s="30"/>
      <c r="B27" s="14"/>
      <c r="C27" s="30"/>
      <c r="D27" s="119"/>
      <c r="E27" s="144"/>
      <c r="F27" s="144"/>
      <c r="G27" s="145"/>
    </row>
    <row r="28" spans="1:7" hidden="1" x14ac:dyDescent="0.2">
      <c r="A28" s="30"/>
      <c r="B28" s="14"/>
      <c r="C28" s="30"/>
      <c r="D28" s="119"/>
      <c r="E28" s="144"/>
      <c r="F28" s="144"/>
      <c r="G28" s="145"/>
    </row>
    <row r="29" spans="1:7" hidden="1" x14ac:dyDescent="0.2">
      <c r="A29" s="30"/>
      <c r="B29" s="14"/>
      <c r="C29" s="30"/>
      <c r="D29" s="119"/>
      <c r="E29" s="144"/>
      <c r="F29" s="144"/>
      <c r="G29" s="145"/>
    </row>
    <row r="30" spans="1:7" hidden="1" x14ac:dyDescent="0.2">
      <c r="A30" s="30"/>
      <c r="B30" s="14"/>
      <c r="C30" s="30"/>
      <c r="D30" s="119"/>
      <c r="E30" s="144"/>
      <c r="F30" s="144"/>
      <c r="G30" s="145"/>
    </row>
    <row r="31" spans="1:7" hidden="1" x14ac:dyDescent="0.2">
      <c r="A31" s="30"/>
      <c r="B31" s="14"/>
      <c r="C31" s="30"/>
      <c r="D31" s="119"/>
      <c r="E31" s="144"/>
      <c r="F31" s="144"/>
      <c r="G31" s="145"/>
    </row>
    <row r="32" spans="1:7" hidden="1" x14ac:dyDescent="0.2">
      <c r="A32" s="30"/>
      <c r="B32" s="14"/>
      <c r="C32" s="30"/>
      <c r="D32" s="119"/>
      <c r="E32" s="144"/>
      <c r="F32" s="144"/>
      <c r="G32" s="116"/>
    </row>
    <row r="33" spans="1:7" ht="13.5" thickBot="1" x14ac:dyDescent="0.25">
      <c r="A33" s="30">
        <v>10</v>
      </c>
      <c r="B33" s="146" t="s">
        <v>0</v>
      </c>
      <c r="C33" s="147"/>
      <c r="D33" s="156">
        <f>SUM(D6:D32)</f>
        <v>70644</v>
      </c>
      <c r="E33" s="157">
        <f>F33/D33</f>
        <v>1665.0263008889644</v>
      </c>
      <c r="F33" s="158">
        <f>SUM(F6:F32)</f>
        <v>117624118</v>
      </c>
      <c r="G33" s="159">
        <f>SUM(G6:G32)</f>
        <v>0.99999999999999989</v>
      </c>
    </row>
    <row r="34" spans="1:7" ht="13.5" thickTop="1" x14ac:dyDescent="0.2">
      <c r="B34" s="153"/>
      <c r="C34" s="160"/>
    </row>
    <row r="35" spans="1:7" x14ac:dyDescent="0.2">
      <c r="B35" s="153"/>
      <c r="C35" s="160"/>
    </row>
    <row r="36" spans="1:7" x14ac:dyDescent="0.2">
      <c r="B36" s="153"/>
      <c r="C36" s="160"/>
      <c r="E36" s="191"/>
    </row>
    <row r="37" spans="1:7" x14ac:dyDescent="0.2">
      <c r="B37" s="153"/>
      <c r="C37" s="160"/>
    </row>
    <row r="38" spans="1:7" x14ac:dyDescent="0.2">
      <c r="B38" s="153"/>
      <c r="C38" s="160"/>
    </row>
    <row r="39" spans="1:7" x14ac:dyDescent="0.2">
      <c r="B39" s="153"/>
      <c r="C39" s="160"/>
    </row>
    <row r="40" spans="1:7" x14ac:dyDescent="0.2">
      <c r="B40" s="153"/>
      <c r="C40" s="160"/>
    </row>
    <row r="41" spans="1:7" x14ac:dyDescent="0.2">
      <c r="B41" s="153"/>
      <c r="C41" s="160"/>
    </row>
    <row r="42" spans="1:7" x14ac:dyDescent="0.2">
      <c r="B42" s="153"/>
      <c r="C42" s="160"/>
    </row>
    <row r="43" spans="1:7" x14ac:dyDescent="0.2">
      <c r="B43" s="153"/>
      <c r="C43" s="160"/>
    </row>
    <row r="44" spans="1:7" x14ac:dyDescent="0.2">
      <c r="B44" s="153"/>
      <c r="C44" s="160"/>
    </row>
    <row r="45" spans="1:7" x14ac:dyDescent="0.2">
      <c r="B45" s="153"/>
      <c r="C45" s="160"/>
    </row>
    <row r="46" spans="1:7" x14ac:dyDescent="0.2">
      <c r="B46" s="153"/>
      <c r="C46" s="160"/>
    </row>
    <row r="47" spans="1:7" x14ac:dyDescent="0.2">
      <c r="B47" s="153"/>
      <c r="C47" s="160"/>
    </row>
    <row r="48" spans="1:7" x14ac:dyDescent="0.2">
      <c r="B48" s="153"/>
      <c r="C48" s="160"/>
    </row>
    <row r="49" spans="2:3" x14ac:dyDescent="0.2">
      <c r="B49" s="153"/>
      <c r="C49" s="160"/>
    </row>
    <row r="50" spans="2:3" x14ac:dyDescent="0.2">
      <c r="B50" s="153"/>
      <c r="C50" s="160"/>
    </row>
    <row r="51" spans="2:3" x14ac:dyDescent="0.2">
      <c r="B51" s="153"/>
      <c r="C51" s="160"/>
    </row>
    <row r="52" spans="2:3" x14ac:dyDescent="0.2">
      <c r="B52" s="153"/>
      <c r="C52" s="160"/>
    </row>
    <row r="53" spans="2:3" x14ac:dyDescent="0.2">
      <c r="B53" s="153"/>
      <c r="C53" s="160"/>
    </row>
    <row r="54" spans="2:3" x14ac:dyDescent="0.2">
      <c r="B54" s="153"/>
      <c r="C54" s="160"/>
    </row>
    <row r="55" spans="2:3" x14ac:dyDescent="0.2">
      <c r="B55" s="153"/>
      <c r="C55" s="160"/>
    </row>
    <row r="56" spans="2:3" x14ac:dyDescent="0.2">
      <c r="B56" s="153"/>
      <c r="C56" s="160"/>
    </row>
    <row r="57" spans="2:3" x14ac:dyDescent="0.2">
      <c r="B57" s="153"/>
      <c r="C57" s="160"/>
    </row>
    <row r="58" spans="2:3" x14ac:dyDescent="0.2">
      <c r="B58" s="153"/>
      <c r="C58" s="160"/>
    </row>
    <row r="59" spans="2:3" x14ac:dyDescent="0.2">
      <c r="B59" s="153"/>
      <c r="C59" s="160"/>
    </row>
    <row r="60" spans="2:3" x14ac:dyDescent="0.2">
      <c r="B60" s="153"/>
      <c r="C60" s="160"/>
    </row>
    <row r="61" spans="2:3" x14ac:dyDescent="0.2">
      <c r="B61" s="153"/>
      <c r="C61" s="160"/>
    </row>
    <row r="62" spans="2:3" x14ac:dyDescent="0.2">
      <c r="B62" s="153"/>
      <c r="C62" s="160"/>
    </row>
    <row r="63" spans="2:3" x14ac:dyDescent="0.2">
      <c r="B63" s="153"/>
      <c r="C63" s="160"/>
    </row>
    <row r="64" spans="2:3" x14ac:dyDescent="0.2">
      <c r="B64" s="153"/>
      <c r="C64" s="160"/>
    </row>
    <row r="65" spans="2:3" x14ac:dyDescent="0.2">
      <c r="B65" s="153"/>
      <c r="C65" s="160"/>
    </row>
    <row r="66" spans="2:3" x14ac:dyDescent="0.2">
      <c r="B66" s="153"/>
      <c r="C66" s="160"/>
    </row>
    <row r="67" spans="2:3" x14ac:dyDescent="0.2">
      <c r="B67" s="153"/>
      <c r="C67" s="160"/>
    </row>
    <row r="68" spans="2:3" x14ac:dyDescent="0.2">
      <c r="B68" s="153"/>
      <c r="C68" s="160"/>
    </row>
    <row r="69" spans="2:3" x14ac:dyDescent="0.2">
      <c r="B69" s="153"/>
      <c r="C69" s="160"/>
    </row>
    <row r="70" spans="2:3" x14ac:dyDescent="0.2">
      <c r="B70" s="153"/>
      <c r="C70" s="160"/>
    </row>
    <row r="71" spans="2:3" x14ac:dyDescent="0.2">
      <c r="B71" s="153"/>
      <c r="C71" s="160"/>
    </row>
    <row r="72" spans="2:3" x14ac:dyDescent="0.2">
      <c r="B72" s="153"/>
      <c r="C72" s="160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&amp;P of &amp;N</oddFooter>
  </headerFooter>
  <ignoredErrors>
    <ignoredError sqref="E3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12"/>
  <sheetViews>
    <sheetView workbookViewId="0">
      <selection activeCell="J24" sqref="J24"/>
    </sheetView>
  </sheetViews>
  <sheetFormatPr defaultRowHeight="15" x14ac:dyDescent="0.25"/>
  <cols>
    <col min="1" max="1" width="22" bestFit="1" customWidth="1"/>
    <col min="3" max="3" width="7" bestFit="1" customWidth="1"/>
    <col min="4" max="4" width="10.42578125" bestFit="1" customWidth="1"/>
    <col min="5" max="5" width="12" bestFit="1" customWidth="1"/>
    <col min="6" max="6" width="13.7109375" bestFit="1" customWidth="1"/>
    <col min="7" max="7" width="17.5703125" bestFit="1" customWidth="1"/>
    <col min="8" max="8" width="12.85546875" customWidth="1"/>
    <col min="9" max="9" width="14" bestFit="1" customWidth="1"/>
    <col min="10" max="10" width="22.85546875" bestFit="1" customWidth="1"/>
    <col min="11" max="11" width="15.140625" bestFit="1" customWidth="1"/>
    <col min="12" max="12" width="19.28515625" bestFit="1" customWidth="1"/>
    <col min="13" max="13" width="13.7109375" bestFit="1" customWidth="1"/>
    <col min="14" max="14" width="12" bestFit="1" customWidth="1"/>
    <col min="15" max="15" width="13.7109375" bestFit="1" customWidth="1"/>
    <col min="16" max="16" width="14.140625" bestFit="1" customWidth="1"/>
    <col min="17" max="17" width="13.85546875" customWidth="1"/>
    <col min="18" max="18" width="16.28515625" bestFit="1" customWidth="1"/>
    <col min="19" max="19" width="13.7109375" bestFit="1" customWidth="1"/>
    <col min="20" max="20" width="6.7109375" bestFit="1" customWidth="1"/>
  </cols>
  <sheetData>
    <row r="1" spans="1:38" x14ac:dyDescent="0.25">
      <c r="A1" s="1"/>
      <c r="B1" s="1"/>
      <c r="C1" s="1"/>
      <c r="D1" s="1"/>
    </row>
    <row r="2" spans="1:38" ht="72" x14ac:dyDescent="0.25">
      <c r="A2" s="2"/>
      <c r="B2" s="2"/>
      <c r="C2" s="5"/>
      <c r="D2" s="6" t="s">
        <v>208</v>
      </c>
      <c r="E2" s="5" t="s">
        <v>0</v>
      </c>
      <c r="F2" s="10" t="s">
        <v>712</v>
      </c>
      <c r="G2" s="10" t="s">
        <v>721</v>
      </c>
      <c r="H2" s="10" t="s">
        <v>725</v>
      </c>
      <c r="I2" s="10" t="s">
        <v>726</v>
      </c>
      <c r="J2" s="10" t="s">
        <v>727</v>
      </c>
      <c r="K2" s="10" t="s">
        <v>728</v>
      </c>
      <c r="L2" s="10" t="s">
        <v>729</v>
      </c>
      <c r="M2" s="10" t="s">
        <v>730</v>
      </c>
      <c r="N2" s="10" t="s">
        <v>717</v>
      </c>
      <c r="O2" s="10" t="s">
        <v>718</v>
      </c>
      <c r="P2" s="10" t="s">
        <v>719</v>
      </c>
      <c r="Q2" s="10" t="s">
        <v>720</v>
      </c>
      <c r="R2" s="10" t="s">
        <v>731</v>
      </c>
      <c r="S2" s="2"/>
      <c r="T2" s="2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5.75" thickBot="1" x14ac:dyDescent="0.3">
      <c r="A3" s="7" t="s">
        <v>6</v>
      </c>
      <c r="B3" s="7"/>
      <c r="C3" s="8" t="s">
        <v>7</v>
      </c>
      <c r="D3" s="8" t="s">
        <v>8</v>
      </c>
      <c r="E3" s="9" t="s">
        <v>9</v>
      </c>
      <c r="F3" s="9" t="s">
        <v>724</v>
      </c>
      <c r="G3" s="9" t="s">
        <v>736</v>
      </c>
      <c r="H3" s="9" t="s">
        <v>735</v>
      </c>
      <c r="I3" s="9" t="s">
        <v>733</v>
      </c>
      <c r="J3" s="9" t="s">
        <v>734</v>
      </c>
      <c r="K3" s="9" t="s">
        <v>713</v>
      </c>
      <c r="L3" s="9" t="s">
        <v>700</v>
      </c>
      <c r="M3" s="9" t="s">
        <v>737</v>
      </c>
      <c r="N3" s="9" t="s">
        <v>738</v>
      </c>
      <c r="O3" s="9" t="s">
        <v>739</v>
      </c>
      <c r="P3" s="9" t="s">
        <v>740</v>
      </c>
      <c r="Q3" s="9" t="s">
        <v>741</v>
      </c>
      <c r="R3" s="9" t="s">
        <v>732</v>
      </c>
      <c r="S3" s="9" t="s">
        <v>13</v>
      </c>
      <c r="T3" s="9" t="s">
        <v>14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6" spans="1:38" x14ac:dyDescent="0.25">
      <c r="A6" t="s">
        <v>11</v>
      </c>
      <c r="C6" t="s">
        <v>742</v>
      </c>
      <c r="E6">
        <v>627658396</v>
      </c>
      <c r="F6">
        <v>234442443</v>
      </c>
      <c r="G6">
        <v>29430668</v>
      </c>
      <c r="H6">
        <v>151558</v>
      </c>
      <c r="I6">
        <v>72078019</v>
      </c>
      <c r="J6">
        <v>893794</v>
      </c>
      <c r="K6">
        <v>91720927</v>
      </c>
      <c r="L6">
        <v>1679700</v>
      </c>
      <c r="M6">
        <v>1146779</v>
      </c>
      <c r="N6">
        <v>15538140</v>
      </c>
      <c r="O6">
        <v>176471400</v>
      </c>
      <c r="P6">
        <v>1286846</v>
      </c>
      <c r="Q6">
        <v>18751</v>
      </c>
      <c r="R6">
        <v>2799371</v>
      </c>
      <c r="S6">
        <f>SUM(F6:R6)</f>
        <v>627658396</v>
      </c>
      <c r="T6" s="4" t="str">
        <f>IF(ABS(E6-S6)&lt;0.01,"ok","err")</f>
        <v>ok</v>
      </c>
    </row>
    <row r="7" spans="1:38" x14ac:dyDescent="0.25">
      <c r="A7" t="s">
        <v>743</v>
      </c>
      <c r="E7" s="3">
        <v>4.253478393504951E-2</v>
      </c>
      <c r="F7" s="12">
        <v>4.9813835559603975E-2</v>
      </c>
      <c r="G7" s="12">
        <f>F7</f>
        <v>4.9813835559603975E-2</v>
      </c>
      <c r="H7" s="12">
        <f>F7</f>
        <v>4.9813835559603975E-2</v>
      </c>
      <c r="I7" s="12">
        <f>F7</f>
        <v>4.9813835559603975E-2</v>
      </c>
      <c r="J7" s="12">
        <f>F7</f>
        <v>4.9813835559603975E-2</v>
      </c>
      <c r="K7" s="12">
        <f>F7-0.01</f>
        <v>3.9813835559603973E-2</v>
      </c>
      <c r="L7" s="12">
        <f>F7-0.01</f>
        <v>3.9813835559603973E-2</v>
      </c>
      <c r="M7" s="12">
        <f>F7</f>
        <v>4.9813835559603975E-2</v>
      </c>
      <c r="N7" s="12">
        <v>1.4999999999999999E-2</v>
      </c>
      <c r="O7" s="12">
        <v>0.01</v>
      </c>
      <c r="P7" s="12">
        <f>F7</f>
        <v>4.9813835559603975E-2</v>
      </c>
      <c r="Q7" s="12">
        <f>F7</f>
        <v>4.9813835559603975E-2</v>
      </c>
      <c r="R7" s="12">
        <f>F7</f>
        <v>4.9813835559603975E-2</v>
      </c>
      <c r="S7" s="3">
        <f>AVERAGE(F7:R7)</f>
        <v>4.253478393504951E-2</v>
      </c>
      <c r="T7" s="4" t="str">
        <f>IF(ABS(E7-S7)&lt;0.001,"ok","err")</f>
        <v>ok</v>
      </c>
    </row>
    <row r="8" spans="1:38" x14ac:dyDescent="0.25">
      <c r="A8" t="s">
        <v>744</v>
      </c>
      <c r="C8" t="s">
        <v>11</v>
      </c>
      <c r="E8">
        <v>651492867.00002527</v>
      </c>
      <c r="F8">
        <f t="shared" ref="F8:R8" si="0">F6/(1-F7)</f>
        <v>246733168.48185518</v>
      </c>
      <c r="G8">
        <f t="shared" si="0"/>
        <v>30973580.863843601</v>
      </c>
      <c r="H8">
        <f t="shared" si="0"/>
        <v>159503.4801304003</v>
      </c>
      <c r="I8">
        <f t="shared" si="0"/>
        <v>75856733.866936207</v>
      </c>
      <c r="J8">
        <f t="shared" si="0"/>
        <v>940651.45699778979</v>
      </c>
      <c r="K8">
        <f t="shared" si="0"/>
        <v>95524108.133192763</v>
      </c>
      <c r="L8">
        <f t="shared" si="0"/>
        <v>1749348.2641243245</v>
      </c>
      <c r="M8">
        <f t="shared" si="0"/>
        <v>1206899.2823899784</v>
      </c>
      <c r="N8">
        <f t="shared" si="0"/>
        <v>15774761.421319798</v>
      </c>
      <c r="O8">
        <f t="shared" si="0"/>
        <v>178253939.39393941</v>
      </c>
      <c r="P8">
        <f t="shared" si="0"/>
        <v>1354309.3429042685</v>
      </c>
      <c r="Q8">
        <f t="shared" si="0"/>
        <v>19734.027606098894</v>
      </c>
      <c r="R8">
        <f t="shared" si="0"/>
        <v>2946128.9847854874</v>
      </c>
      <c r="S8">
        <f>SUM(F8:R8)</f>
        <v>651492867.00002527</v>
      </c>
      <c r="T8" s="4" t="str">
        <f>IF(ABS(E8-S8)&lt;0.01,"ok","err")</f>
        <v>ok</v>
      </c>
    </row>
    <row r="11" spans="1:38" x14ac:dyDescent="0.25">
      <c r="S11">
        <v>651492867</v>
      </c>
    </row>
    <row r="12" spans="1:38" x14ac:dyDescent="0.25">
      <c r="E12">
        <v>651492867</v>
      </c>
    </row>
  </sheetData>
  <dataConsolidate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73"/>
  <sheetViews>
    <sheetView view="pageBreakPreview" topLeftCell="B142" zoomScaleNormal="100" zoomScaleSheetLayoutView="100" workbookViewId="0">
      <selection activeCell="L178" sqref="L178"/>
    </sheetView>
  </sheetViews>
  <sheetFormatPr defaultColWidth="9.140625" defaultRowHeight="12.75" x14ac:dyDescent="0.2"/>
  <cols>
    <col min="1" max="1" width="3.140625" style="14" customWidth="1"/>
    <col min="2" max="2" width="37.28515625" style="14" customWidth="1"/>
    <col min="3" max="3" width="10.42578125" style="14" bestFit="1" customWidth="1"/>
    <col min="4" max="4" width="16.85546875" style="14" bestFit="1" customWidth="1"/>
    <col min="5" max="5" width="12.7109375" style="14" bestFit="1" customWidth="1"/>
    <col min="6" max="6" width="13.28515625" style="14" customWidth="1"/>
    <col min="7" max="7" width="3.7109375" style="14" customWidth="1"/>
    <col min="8" max="8" width="14.5703125" style="14" customWidth="1"/>
    <col min="9" max="9" width="18.42578125" style="14" customWidth="1"/>
    <col min="10" max="10" width="11.28515625" style="14" customWidth="1"/>
    <col min="11" max="11" width="2.28515625" style="14" customWidth="1"/>
    <col min="12" max="12" width="6.28515625" style="30" customWidth="1"/>
    <col min="13" max="13" width="8.7109375" style="14" bestFit="1" customWidth="1"/>
    <col min="14" max="14" width="30.85546875" style="14" bestFit="1" customWidth="1"/>
    <col min="15" max="15" width="37.28515625" style="14" bestFit="1" customWidth="1"/>
    <col min="16" max="16" width="4.28515625" style="14" customWidth="1"/>
    <col min="17" max="17" width="9.140625" style="14"/>
    <col min="18" max="19" width="14" style="14" bestFit="1" customWidth="1"/>
    <col min="20" max="20" width="9.140625" style="14"/>
    <col min="21" max="21" width="31.7109375" style="14" bestFit="1" customWidth="1"/>
    <col min="22" max="22" width="8.7109375" style="14" bestFit="1" customWidth="1"/>
    <col min="23" max="16384" width="9.140625" style="14"/>
  </cols>
  <sheetData>
    <row r="1" spans="1:19" x14ac:dyDescent="0.2">
      <c r="A1" s="13" t="str">
        <f>'Summary of Returns'!A1</f>
        <v>SOUTH KENTUCKY R.E.C.C.</v>
      </c>
    </row>
    <row r="2" spans="1:19" x14ac:dyDescent="0.2">
      <c r="A2" s="13" t="s">
        <v>1011</v>
      </c>
    </row>
    <row r="4" spans="1:19" x14ac:dyDescent="0.2">
      <c r="A4" s="13" t="s">
        <v>999</v>
      </c>
      <c r="B4" s="15"/>
      <c r="D4" s="34"/>
      <c r="E4" s="34"/>
      <c r="F4" s="34"/>
      <c r="G4" s="34"/>
      <c r="H4" s="34"/>
      <c r="I4" s="34"/>
      <c r="J4" s="34"/>
      <c r="K4" s="34"/>
      <c r="L4" s="35"/>
      <c r="M4" s="34"/>
    </row>
    <row r="5" spans="1:19" x14ac:dyDescent="0.2">
      <c r="F5" s="16" t="s">
        <v>974</v>
      </c>
      <c r="I5" s="16" t="s">
        <v>975</v>
      </c>
    </row>
    <row r="6" spans="1:19" x14ac:dyDescent="0.2">
      <c r="C6" s="17"/>
      <c r="D6" s="16"/>
      <c r="E6" s="18"/>
      <c r="F6" s="16" t="s">
        <v>976</v>
      </c>
      <c r="H6" s="16"/>
      <c r="I6" s="16"/>
      <c r="J6" s="16"/>
      <c r="K6" s="16"/>
    </row>
    <row r="7" spans="1:19" x14ac:dyDescent="0.2">
      <c r="B7" s="19" t="s">
        <v>6</v>
      </c>
      <c r="C7" s="20" t="s">
        <v>977</v>
      </c>
      <c r="D7" s="21" t="s">
        <v>978</v>
      </c>
      <c r="E7" s="22" t="s">
        <v>979</v>
      </c>
      <c r="F7" s="21" t="s">
        <v>980</v>
      </c>
      <c r="H7" s="23" t="s">
        <v>981</v>
      </c>
      <c r="I7" s="23" t="s">
        <v>982</v>
      </c>
      <c r="J7" s="23" t="s">
        <v>983</v>
      </c>
      <c r="K7" s="24"/>
    </row>
    <row r="8" spans="1:19" x14ac:dyDescent="0.2">
      <c r="B8" s="232" t="s">
        <v>1103</v>
      </c>
      <c r="C8" s="281">
        <v>41.74</v>
      </c>
      <c r="D8" s="281">
        <v>58001.27</v>
      </c>
      <c r="E8" s="285">
        <v>1066690</v>
      </c>
      <c r="F8" s="26">
        <f t="shared" ref="F8:F37" si="0">D8/E8</f>
        <v>5.437500117184936E-2</v>
      </c>
      <c r="G8" s="36"/>
      <c r="H8" s="26">
        <f t="shared" ref="H8:H37" si="1">F8*E8^0.5</f>
        <v>56.158873957895118</v>
      </c>
      <c r="I8" s="26">
        <f t="shared" ref="I8:I37" si="2">E8^0.5</f>
        <v>1032.8068551282954</v>
      </c>
      <c r="J8" s="26">
        <f t="shared" ref="J8:J37" si="3">C8*E8^0.5</f>
        <v>43109.358133055051</v>
      </c>
      <c r="K8" s="26"/>
      <c r="R8" s="26"/>
      <c r="S8" s="25"/>
    </row>
    <row r="9" spans="1:19" x14ac:dyDescent="0.2">
      <c r="B9" s="232" t="s">
        <v>1104</v>
      </c>
      <c r="C9" s="281">
        <v>66.369</v>
      </c>
      <c r="D9" s="281">
        <v>17556921.379999999</v>
      </c>
      <c r="E9" s="285">
        <v>37417869</v>
      </c>
      <c r="F9" s="26">
        <f t="shared" si="0"/>
        <v>0.46921221996902068</v>
      </c>
      <c r="G9" s="36"/>
      <c r="H9" s="26">
        <f t="shared" si="1"/>
        <v>2870.1780531060026</v>
      </c>
      <c r="I9" s="26">
        <f t="shared" si="2"/>
        <v>6117.0147130769601</v>
      </c>
      <c r="J9" s="26">
        <f t="shared" si="3"/>
        <v>405980.14949220477</v>
      </c>
      <c r="K9" s="26"/>
      <c r="R9" s="26"/>
      <c r="S9" s="25"/>
    </row>
    <row r="10" spans="1:19" x14ac:dyDescent="0.2">
      <c r="B10" s="232" t="s">
        <v>1105</v>
      </c>
      <c r="C10" s="281">
        <v>66.369</v>
      </c>
      <c r="D10" s="281">
        <v>8.0500000000000007</v>
      </c>
      <c r="E10" s="285">
        <v>364</v>
      </c>
      <c r="F10" s="26">
        <f t="shared" si="0"/>
        <v>2.2115384615384617E-2</v>
      </c>
      <c r="G10" s="36"/>
      <c r="H10" s="26">
        <f t="shared" si="1"/>
        <v>0.42193464678057213</v>
      </c>
      <c r="I10" s="26">
        <f t="shared" si="2"/>
        <v>19.078784028338912</v>
      </c>
      <c r="J10" s="26">
        <f t="shared" si="3"/>
        <v>1266.2398171768252</v>
      </c>
      <c r="K10" s="26"/>
      <c r="R10" s="26"/>
      <c r="S10" s="25"/>
    </row>
    <row r="11" spans="1:19" x14ac:dyDescent="0.2">
      <c r="B11" s="232" t="s">
        <v>1106</v>
      </c>
      <c r="C11" s="281">
        <v>105.53100000000001</v>
      </c>
      <c r="D11" s="281">
        <v>2686518.95</v>
      </c>
      <c r="E11" s="285">
        <v>8427155</v>
      </c>
      <c r="F11" s="26">
        <f t="shared" si="0"/>
        <v>0.31879310989295917</v>
      </c>
      <c r="G11" s="36"/>
      <c r="H11" s="26">
        <f t="shared" si="1"/>
        <v>925.44245140195903</v>
      </c>
      <c r="I11" s="26">
        <f t="shared" si="2"/>
        <v>2902.9562518233029</v>
      </c>
      <c r="J11" s="26">
        <f t="shared" si="3"/>
        <v>306351.87621116498</v>
      </c>
      <c r="K11" s="26"/>
      <c r="R11" s="26"/>
      <c r="S11" s="25"/>
    </row>
    <row r="12" spans="1:19" x14ac:dyDescent="0.2">
      <c r="B12" s="232" t="s">
        <v>1107</v>
      </c>
      <c r="C12" s="281">
        <v>167.8</v>
      </c>
      <c r="D12" s="281">
        <v>91234.16</v>
      </c>
      <c r="E12" s="285">
        <v>289237</v>
      </c>
      <c r="F12" s="26">
        <f t="shared" si="0"/>
        <v>0.31543046014168313</v>
      </c>
      <c r="G12" s="36"/>
      <c r="H12" s="26">
        <f t="shared" si="1"/>
        <v>169.64089444895041</v>
      </c>
      <c r="I12" s="26">
        <f t="shared" si="2"/>
        <v>537.80758640986085</v>
      </c>
      <c r="J12" s="26">
        <f t="shared" si="3"/>
        <v>90244.11299957466</v>
      </c>
      <c r="K12" s="26"/>
      <c r="R12" s="26"/>
      <c r="S12" s="25"/>
    </row>
    <row r="13" spans="1:19" x14ac:dyDescent="0.2">
      <c r="B13" s="232" t="s">
        <v>1108</v>
      </c>
      <c r="C13" s="281">
        <v>211.59200000000001</v>
      </c>
      <c r="D13" s="281">
        <v>648415.26</v>
      </c>
      <c r="E13" s="285">
        <v>1661156</v>
      </c>
      <c r="F13" s="26">
        <f t="shared" si="0"/>
        <v>0.3903397754334933</v>
      </c>
      <c r="G13" s="36"/>
      <c r="H13" s="26">
        <f t="shared" si="1"/>
        <v>503.09270216934198</v>
      </c>
      <c r="I13" s="26">
        <f t="shared" si="2"/>
        <v>1288.858409601303</v>
      </c>
      <c r="J13" s="26">
        <f t="shared" si="3"/>
        <v>272712.12860435894</v>
      </c>
      <c r="K13" s="26"/>
      <c r="R13" s="26"/>
      <c r="S13" s="25"/>
    </row>
    <row r="14" spans="1:19" x14ac:dyDescent="0.2">
      <c r="B14" s="232" t="s">
        <v>1109</v>
      </c>
      <c r="C14" s="281">
        <v>394.5</v>
      </c>
      <c r="D14" s="281">
        <v>49005.08</v>
      </c>
      <c r="E14" s="285">
        <v>99002</v>
      </c>
      <c r="F14" s="26">
        <f t="shared" si="0"/>
        <v>0.49499080826649966</v>
      </c>
      <c r="G14" s="36"/>
      <c r="H14" s="26">
        <f t="shared" si="1"/>
        <v>155.74679501795367</v>
      </c>
      <c r="I14" s="26">
        <f t="shared" si="2"/>
        <v>314.64583264362489</v>
      </c>
      <c r="J14" s="26">
        <f t="shared" si="3"/>
        <v>124127.78097791002</v>
      </c>
      <c r="K14" s="26"/>
      <c r="R14" s="26"/>
      <c r="S14" s="25"/>
    </row>
    <row r="15" spans="1:19" x14ac:dyDescent="0.2">
      <c r="B15" s="232" t="s">
        <v>1110</v>
      </c>
      <c r="C15" s="281">
        <v>336.4</v>
      </c>
      <c r="D15" s="281">
        <v>5497621.1600000001</v>
      </c>
      <c r="E15" s="285">
        <v>4160474</v>
      </c>
      <c r="F15" s="26">
        <f t="shared" ref="F15:F24" si="4">D15/E15</f>
        <v>1.3213929855107855</v>
      </c>
      <c r="G15" s="36"/>
      <c r="H15" s="26">
        <f t="shared" ref="H15:H24" si="5">F15*E15^0.5</f>
        <v>2695.2769872166514</v>
      </c>
      <c r="I15" s="26">
        <f t="shared" ref="I15:I24" si="6">E15^0.5</f>
        <v>2039.7240009373818</v>
      </c>
      <c r="J15" s="26">
        <f t="shared" ref="J15:J24" si="7">C15*E15^0.5</f>
        <v>686163.15391533519</v>
      </c>
      <c r="K15" s="26"/>
      <c r="R15" s="26"/>
      <c r="S15" s="25"/>
    </row>
    <row r="16" spans="1:19" x14ac:dyDescent="0.2">
      <c r="B16" s="232" t="s">
        <v>1111</v>
      </c>
      <c r="C16" s="281">
        <v>105.53100000000001</v>
      </c>
      <c r="D16" s="281">
        <v>7244.95</v>
      </c>
      <c r="E16" s="285">
        <v>2970</v>
      </c>
      <c r="F16" s="26">
        <f t="shared" si="4"/>
        <v>2.4393771043771042</v>
      </c>
      <c r="G16" s="36"/>
      <c r="H16" s="26">
        <f t="shared" si="5"/>
        <v>132.94045716920377</v>
      </c>
      <c r="I16" s="26">
        <f t="shared" si="6"/>
        <v>54.497706373754852</v>
      </c>
      <c r="J16" s="26">
        <f t="shared" si="7"/>
        <v>5751.1974513287232</v>
      </c>
      <c r="K16" s="26"/>
    </row>
    <row r="17" spans="2:19" x14ac:dyDescent="0.2">
      <c r="B17" s="232" t="s">
        <v>1112</v>
      </c>
      <c r="C17" s="281">
        <v>13.092000000000001</v>
      </c>
      <c r="D17" s="281">
        <v>1720.81</v>
      </c>
      <c r="E17" s="285">
        <v>256445</v>
      </c>
      <c r="F17" s="26">
        <f t="shared" si="4"/>
        <v>6.7102497611573626E-3</v>
      </c>
      <c r="G17" s="36"/>
      <c r="H17" s="26">
        <f t="shared" si="5"/>
        <v>3.3980972457387382</v>
      </c>
      <c r="I17" s="26">
        <f t="shared" si="6"/>
        <v>506.40398892583772</v>
      </c>
      <c r="J17" s="26">
        <f t="shared" si="7"/>
        <v>6629.8410230170675</v>
      </c>
      <c r="K17" s="26"/>
      <c r="R17" s="26"/>
      <c r="S17" s="25"/>
    </row>
    <row r="18" spans="2:19" x14ac:dyDescent="0.2">
      <c r="B18" s="232" t="s">
        <v>1113</v>
      </c>
      <c r="C18" s="281">
        <v>16.509</v>
      </c>
      <c r="D18" s="281">
        <v>204328.86</v>
      </c>
      <c r="E18" s="285">
        <v>3866428</v>
      </c>
      <c r="F18" s="26">
        <f t="shared" si="4"/>
        <v>5.2846932621013504E-2</v>
      </c>
      <c r="G18" s="36"/>
      <c r="H18" s="26">
        <f t="shared" si="5"/>
        <v>103.91416408242189</v>
      </c>
      <c r="I18" s="26">
        <f t="shared" si="6"/>
        <v>1966.3234728802888</v>
      </c>
      <c r="J18" s="26">
        <f t="shared" si="7"/>
        <v>32462.034213780687</v>
      </c>
      <c r="K18" s="26"/>
      <c r="R18" s="26"/>
      <c r="S18" s="25"/>
    </row>
    <row r="19" spans="2:19" x14ac:dyDescent="0.2">
      <c r="B19" s="232" t="s">
        <v>1114</v>
      </c>
      <c r="C19" s="281">
        <v>26.251000000000001</v>
      </c>
      <c r="D19" s="281">
        <v>170604.68</v>
      </c>
      <c r="E19" s="285">
        <v>2331004</v>
      </c>
      <c r="F19" s="26">
        <f t="shared" si="4"/>
        <v>7.3189355316421595E-2</v>
      </c>
      <c r="G19" s="36"/>
      <c r="H19" s="26">
        <f t="shared" si="5"/>
        <v>111.74276953416005</v>
      </c>
      <c r="I19" s="26">
        <f t="shared" si="6"/>
        <v>1526.7625879618613</v>
      </c>
      <c r="J19" s="26">
        <f t="shared" si="7"/>
        <v>40079.044696586825</v>
      </c>
      <c r="K19" s="26"/>
      <c r="R19" s="26"/>
      <c r="S19" s="25"/>
    </row>
    <row r="20" spans="2:19" x14ac:dyDescent="0.2">
      <c r="B20" s="232" t="s">
        <v>1115</v>
      </c>
      <c r="C20" s="281">
        <v>41.74</v>
      </c>
      <c r="D20" s="281">
        <v>47050.78</v>
      </c>
      <c r="E20" s="285">
        <v>604373</v>
      </c>
      <c r="F20" s="26">
        <f t="shared" si="4"/>
        <v>7.7850565792978832E-2</v>
      </c>
      <c r="G20" s="36"/>
      <c r="H20" s="26">
        <f t="shared" si="5"/>
        <v>60.522143418760152</v>
      </c>
      <c r="I20" s="26">
        <f t="shared" si="6"/>
        <v>777.41430395896373</v>
      </c>
      <c r="J20" s="26">
        <f t="shared" si="7"/>
        <v>32449.273047247148</v>
      </c>
      <c r="K20" s="26"/>
      <c r="R20" s="26"/>
      <c r="S20" s="25"/>
    </row>
    <row r="21" spans="2:19" x14ac:dyDescent="0.2">
      <c r="B21" s="232" t="s">
        <v>1116</v>
      </c>
      <c r="C21" s="281">
        <v>26.251000000000001</v>
      </c>
      <c r="D21" s="281">
        <v>17911.060000000001</v>
      </c>
      <c r="E21" s="285">
        <v>380661</v>
      </c>
      <c r="F21" s="26">
        <f t="shared" si="4"/>
        <v>4.705252179760995E-2</v>
      </c>
      <c r="G21" s="36"/>
      <c r="H21" s="26">
        <f t="shared" si="5"/>
        <v>29.030338287183284</v>
      </c>
      <c r="I21" s="26">
        <f t="shared" si="6"/>
        <v>616.97730914515807</v>
      </c>
      <c r="J21" s="26">
        <f t="shared" si="7"/>
        <v>16196.271342369546</v>
      </c>
      <c r="K21" s="26"/>
      <c r="R21" s="26"/>
      <c r="S21" s="25"/>
    </row>
    <row r="22" spans="2:19" x14ac:dyDescent="0.2">
      <c r="B22" s="232" t="s">
        <v>1117</v>
      </c>
      <c r="C22" s="281">
        <v>41.74</v>
      </c>
      <c r="D22" s="281">
        <v>10400.299999999999</v>
      </c>
      <c r="E22" s="285">
        <v>150184</v>
      </c>
      <c r="F22" s="26">
        <f t="shared" si="4"/>
        <v>6.9250386192936664E-2</v>
      </c>
      <c r="G22" s="36"/>
      <c r="H22" s="26">
        <f t="shared" si="5"/>
        <v>26.837004145813278</v>
      </c>
      <c r="I22" s="26">
        <f t="shared" si="6"/>
        <v>387.53580479744062</v>
      </c>
      <c r="J22" s="26">
        <f t="shared" si="7"/>
        <v>16175.744492245172</v>
      </c>
      <c r="K22" s="26"/>
      <c r="R22" s="26"/>
      <c r="S22" s="25"/>
    </row>
    <row r="23" spans="2:19" x14ac:dyDescent="0.2">
      <c r="B23" s="232" t="s">
        <v>1118</v>
      </c>
      <c r="C23" s="281">
        <v>66.369</v>
      </c>
      <c r="D23" s="281">
        <v>5468.42</v>
      </c>
      <c r="E23" s="285">
        <v>75996</v>
      </c>
      <c r="F23" s="26">
        <f t="shared" si="4"/>
        <v>7.195668193062793E-2</v>
      </c>
      <c r="G23" s="36"/>
      <c r="H23" s="26">
        <f t="shared" si="5"/>
        <v>19.836566199901746</v>
      </c>
      <c r="I23" s="26">
        <f t="shared" si="6"/>
        <v>275.67372018384344</v>
      </c>
      <c r="J23" s="26">
        <f t="shared" si="7"/>
        <v>18296.189134881504</v>
      </c>
      <c r="K23" s="26"/>
      <c r="R23" s="26"/>
      <c r="S23" s="25"/>
    </row>
    <row r="24" spans="2:19" x14ac:dyDescent="0.2">
      <c r="B24" s="232" t="s">
        <v>1119</v>
      </c>
      <c r="C24" s="281">
        <v>66.369</v>
      </c>
      <c r="D24" s="281">
        <v>17711.91</v>
      </c>
      <c r="E24" s="285">
        <v>187335</v>
      </c>
      <c r="F24" s="26">
        <f t="shared" si="4"/>
        <v>9.4546721114580831E-2</v>
      </c>
      <c r="G24" s="36"/>
      <c r="H24" s="26">
        <f t="shared" si="5"/>
        <v>40.921913630432236</v>
      </c>
      <c r="I24" s="26">
        <f t="shared" si="6"/>
        <v>432.82213436930419</v>
      </c>
      <c r="J24" s="26">
        <f t="shared" si="7"/>
        <v>28725.972235956349</v>
      </c>
      <c r="K24" s="26"/>
      <c r="R24" s="26"/>
      <c r="S24" s="25"/>
    </row>
    <row r="25" spans="2:19" x14ac:dyDescent="0.2">
      <c r="B25" s="232" t="s">
        <v>1120</v>
      </c>
      <c r="C25" s="281">
        <v>105.53100000000001</v>
      </c>
      <c r="D25" s="281">
        <v>13575.55</v>
      </c>
      <c r="E25" s="285">
        <v>85426</v>
      </c>
      <c r="F25" s="26">
        <f t="shared" ref="F25:F26" si="8">D25/E25</f>
        <v>0.15891590382319198</v>
      </c>
      <c r="G25" s="36"/>
      <c r="H25" s="26">
        <f t="shared" ref="H25:H26" si="9">F25*E25^0.5</f>
        <v>46.447505833434512</v>
      </c>
      <c r="I25" s="26">
        <f t="shared" ref="I25:I26" si="10">E25^0.5</f>
        <v>292.27726562290127</v>
      </c>
      <c r="J25" s="26">
        <f t="shared" ref="J25:J26" si="11">C25*E25^0.5</f>
        <v>30844.312118450394</v>
      </c>
      <c r="K25" s="26"/>
      <c r="R25" s="26"/>
      <c r="S25" s="25"/>
    </row>
    <row r="26" spans="2:19" x14ac:dyDescent="0.2">
      <c r="B26" s="232" t="s">
        <v>1121</v>
      </c>
      <c r="C26" s="281">
        <v>105.53100000000001</v>
      </c>
      <c r="D26" s="281">
        <v>5184.72</v>
      </c>
      <c r="E26" s="285">
        <v>12069</v>
      </c>
      <c r="F26" s="26">
        <f t="shared" si="8"/>
        <v>0.42958985831469054</v>
      </c>
      <c r="G26" s="36"/>
      <c r="H26" s="26">
        <f t="shared" si="9"/>
        <v>47.19431247726088</v>
      </c>
      <c r="I26" s="26">
        <f t="shared" si="10"/>
        <v>109.85900054160332</v>
      </c>
      <c r="J26" s="26">
        <f t="shared" si="11"/>
        <v>11593.53018615594</v>
      </c>
      <c r="K26" s="26"/>
      <c r="R26" s="26"/>
      <c r="S26" s="25"/>
    </row>
    <row r="27" spans="2:19" x14ac:dyDescent="0.2">
      <c r="B27" s="232" t="s">
        <v>1122</v>
      </c>
      <c r="C27" s="281">
        <v>133.072</v>
      </c>
      <c r="D27" s="281">
        <v>2177.25</v>
      </c>
      <c r="E27" s="285">
        <v>8368</v>
      </c>
      <c r="F27" s="26">
        <f t="shared" ref="F27:F29" si="12">D27/E27</f>
        <v>0.26018761950286806</v>
      </c>
      <c r="G27" s="36"/>
      <c r="H27" s="26">
        <f t="shared" ref="H27:H29" si="13">F27*E27^0.5</f>
        <v>23.801123808816666</v>
      </c>
      <c r="I27" s="26">
        <f t="shared" ref="I27:I29" si="14">E27^0.5</f>
        <v>91.476773008234176</v>
      </c>
      <c r="J27" s="26">
        <f t="shared" ref="J27:J29" si="15">C27*E27^0.5</f>
        <v>12172.997137751738</v>
      </c>
      <c r="K27" s="26"/>
      <c r="R27" s="26"/>
      <c r="S27" s="25"/>
    </row>
    <row r="28" spans="2:19" x14ac:dyDescent="0.2">
      <c r="B28" s="232" t="s">
        <v>1123</v>
      </c>
      <c r="C28" s="281">
        <v>211.59200000000001</v>
      </c>
      <c r="D28" s="281">
        <v>10581.65</v>
      </c>
      <c r="E28" s="285">
        <v>4606</v>
      </c>
      <c r="F28" s="26">
        <f t="shared" si="12"/>
        <v>2.297362136343899</v>
      </c>
      <c r="G28" s="36"/>
      <c r="H28" s="26">
        <f t="shared" si="13"/>
        <v>155.91626614963371</v>
      </c>
      <c r="I28" s="26">
        <f t="shared" si="14"/>
        <v>67.867518003828607</v>
      </c>
      <c r="J28" s="26">
        <f t="shared" si="15"/>
        <v>14360.223869466103</v>
      </c>
      <c r="K28" s="26"/>
      <c r="R28" s="26"/>
      <c r="S28" s="25"/>
    </row>
    <row r="29" spans="2:19" x14ac:dyDescent="0.2">
      <c r="B29" s="232" t="s">
        <v>1124</v>
      </c>
      <c r="C29" s="281">
        <v>66.369</v>
      </c>
      <c r="D29" s="281">
        <v>1187.71</v>
      </c>
      <c r="E29" s="285">
        <v>2576</v>
      </c>
      <c r="F29" s="26">
        <f t="shared" si="12"/>
        <v>0.46106754658385096</v>
      </c>
      <c r="G29" s="36"/>
      <c r="H29" s="26">
        <f t="shared" si="13"/>
        <v>23.401165264856058</v>
      </c>
      <c r="I29" s="26">
        <f t="shared" si="14"/>
        <v>50.754310161798081</v>
      </c>
      <c r="J29" s="26">
        <f t="shared" si="15"/>
        <v>3368.5128111283766</v>
      </c>
      <c r="K29" s="26"/>
      <c r="R29" s="26"/>
      <c r="S29" s="25"/>
    </row>
    <row r="30" spans="2:19" x14ac:dyDescent="0.2">
      <c r="B30" s="232" t="s">
        <v>1125</v>
      </c>
      <c r="C30" s="281">
        <v>41.74</v>
      </c>
      <c r="D30" s="281">
        <v>23208.32</v>
      </c>
      <c r="E30" s="285">
        <v>134078</v>
      </c>
      <c r="F30" s="26">
        <f t="shared" ref="F30" si="16">D30/E30</f>
        <v>0.17309566073479615</v>
      </c>
      <c r="G30" s="36"/>
      <c r="H30" s="26">
        <f t="shared" ref="H30" si="17">F30*E30^0.5</f>
        <v>63.381854540117267</v>
      </c>
      <c r="I30" s="26">
        <f t="shared" ref="I30" si="18">E30^0.5</f>
        <v>366.16662873615337</v>
      </c>
      <c r="J30" s="26">
        <f t="shared" ref="J30" si="19">C30*E30^0.5</f>
        <v>15283.795083447043</v>
      </c>
      <c r="K30" s="26"/>
      <c r="R30" s="26"/>
      <c r="S30" s="25"/>
    </row>
    <row r="31" spans="2:19" x14ac:dyDescent="0.2">
      <c r="B31" s="232" t="s">
        <v>1126</v>
      </c>
      <c r="C31" s="281">
        <v>250</v>
      </c>
      <c r="D31" s="281">
        <v>122.62</v>
      </c>
      <c r="E31" s="285">
        <v>43</v>
      </c>
      <c r="F31" s="26">
        <f t="shared" si="0"/>
        <v>2.8516279069767445</v>
      </c>
      <c r="G31" s="36"/>
      <c r="H31" s="26">
        <f t="shared" si="1"/>
        <v>18.699374694183984</v>
      </c>
      <c r="I31" s="26">
        <f t="shared" si="2"/>
        <v>6.5574385243020004</v>
      </c>
      <c r="J31" s="26">
        <f t="shared" si="3"/>
        <v>1639.3596310755001</v>
      </c>
      <c r="K31" s="26"/>
      <c r="R31" s="26"/>
      <c r="S31" s="25"/>
    </row>
    <row r="32" spans="2:19" x14ac:dyDescent="0.2">
      <c r="B32" s="232" t="s">
        <v>1127</v>
      </c>
      <c r="C32" s="281">
        <v>250</v>
      </c>
      <c r="D32" s="281">
        <v>54.46</v>
      </c>
      <c r="E32" s="285">
        <v>45</v>
      </c>
      <c r="F32" s="26">
        <f t="shared" ref="F32" si="20">D32/E32</f>
        <v>1.2102222222222223</v>
      </c>
      <c r="G32" s="36"/>
      <c r="H32" s="26">
        <f t="shared" ref="H32" si="21">F32*E32^0.5</f>
        <v>8.1184174703092378</v>
      </c>
      <c r="I32" s="26">
        <f t="shared" ref="I32" si="22">E32^0.5</f>
        <v>6.7082039324993694</v>
      </c>
      <c r="J32" s="26">
        <f t="shared" ref="J32" si="23">C32*E32^0.5</f>
        <v>1677.0509831248423</v>
      </c>
      <c r="K32" s="26"/>
      <c r="R32" s="26"/>
      <c r="S32" s="25"/>
    </row>
    <row r="33" spans="2:19" x14ac:dyDescent="0.2">
      <c r="B33" s="232" t="s">
        <v>1128</v>
      </c>
      <c r="C33" s="281">
        <v>500</v>
      </c>
      <c r="D33" s="281">
        <v>3453.43</v>
      </c>
      <c r="E33" s="285">
        <v>185</v>
      </c>
      <c r="F33" s="26">
        <f t="shared" si="0"/>
        <v>18.667189189189187</v>
      </c>
      <c r="G33" s="36"/>
      <c r="H33" s="26">
        <f t="shared" si="1"/>
        <v>253.90122323774185</v>
      </c>
      <c r="I33" s="26">
        <f t="shared" si="2"/>
        <v>13.601470508735444</v>
      </c>
      <c r="J33" s="26">
        <f t="shared" si="3"/>
        <v>6800.7352543677216</v>
      </c>
      <c r="K33" s="26"/>
      <c r="R33" s="26"/>
      <c r="S33" s="25"/>
    </row>
    <row r="34" spans="2:19" x14ac:dyDescent="0.2">
      <c r="B34" s="232" t="s">
        <v>1129</v>
      </c>
      <c r="C34" s="281">
        <v>750</v>
      </c>
      <c r="D34" s="281">
        <v>10940.19</v>
      </c>
      <c r="E34" s="285">
        <v>665</v>
      </c>
      <c r="F34" s="26">
        <f t="shared" si="0"/>
        <v>16.451413533834586</v>
      </c>
      <c r="G34" s="36"/>
      <c r="H34" s="26">
        <f t="shared" si="1"/>
        <v>424.24237156220238</v>
      </c>
      <c r="I34" s="26">
        <f t="shared" si="2"/>
        <v>25.787593916455254</v>
      </c>
      <c r="J34" s="26">
        <f t="shared" si="3"/>
        <v>19340.695437341441</v>
      </c>
      <c r="K34" s="26"/>
      <c r="R34" s="26"/>
      <c r="S34" s="25"/>
    </row>
    <row r="35" spans="2:19" x14ac:dyDescent="0.2">
      <c r="B35" s="232" t="s">
        <v>1130</v>
      </c>
      <c r="C35" s="281">
        <v>1000</v>
      </c>
      <c r="D35" s="281">
        <v>586.25</v>
      </c>
      <c r="E35" s="285">
        <v>87</v>
      </c>
      <c r="F35" s="26">
        <f t="shared" si="0"/>
        <v>6.7385057471264371</v>
      </c>
      <c r="G35" s="36"/>
      <c r="H35" s="26">
        <f t="shared" si="1"/>
        <v>62.852597354865729</v>
      </c>
      <c r="I35" s="26">
        <f t="shared" si="2"/>
        <v>9.3273790530888157</v>
      </c>
      <c r="J35" s="26">
        <f t="shared" si="3"/>
        <v>9327.3790530888164</v>
      </c>
      <c r="K35" s="26"/>
      <c r="R35" s="26"/>
      <c r="S35" s="25"/>
    </row>
    <row r="36" spans="2:19" x14ac:dyDescent="0.2">
      <c r="B36" s="232" t="s">
        <v>1131</v>
      </c>
      <c r="C36" s="281">
        <v>52.502000000000002</v>
      </c>
      <c r="D36" s="281">
        <v>347278.8</v>
      </c>
      <c r="E36" s="285">
        <v>252396</v>
      </c>
      <c r="F36" s="26">
        <f t="shared" si="0"/>
        <v>1.3759283031426806</v>
      </c>
      <c r="G36" s="36"/>
      <c r="H36" s="26">
        <f t="shared" si="1"/>
        <v>691.25301446100502</v>
      </c>
      <c r="I36" s="26">
        <f t="shared" si="2"/>
        <v>502.39028653030306</v>
      </c>
      <c r="J36" s="26">
        <f t="shared" si="3"/>
        <v>26376.494823413974</v>
      </c>
      <c r="K36" s="26"/>
      <c r="R36" s="26"/>
      <c r="S36" s="25"/>
    </row>
    <row r="37" spans="2:19" x14ac:dyDescent="0.2">
      <c r="B37" s="232" t="s">
        <v>1132</v>
      </c>
      <c r="C37" s="281">
        <v>199.107</v>
      </c>
      <c r="D37" s="281">
        <v>4615139.62</v>
      </c>
      <c r="E37" s="285">
        <v>3098449</v>
      </c>
      <c r="F37" s="26">
        <f t="shared" si="0"/>
        <v>1.4894999465861791</v>
      </c>
      <c r="G37" s="36"/>
      <c r="H37" s="26">
        <f t="shared" si="1"/>
        <v>2621.8791386098937</v>
      </c>
      <c r="I37" s="26">
        <f t="shared" si="2"/>
        <v>1760.2411766573352</v>
      </c>
      <c r="J37" s="26">
        <f t="shared" si="3"/>
        <v>350476.33996071207</v>
      </c>
      <c r="K37" s="26"/>
    </row>
    <row r="38" spans="2:19" x14ac:dyDescent="0.2">
      <c r="B38" s="232" t="s">
        <v>1133</v>
      </c>
      <c r="C38" s="298">
        <v>846.36800000000005</v>
      </c>
      <c r="D38" s="281">
        <v>207690.73</v>
      </c>
      <c r="E38" s="285">
        <v>45471</v>
      </c>
      <c r="F38" s="26">
        <f t="shared" ref="F38" si="24">D38/E38</f>
        <v>4.5675426095753338</v>
      </c>
      <c r="G38" s="36"/>
      <c r="H38" s="26">
        <f t="shared" ref="H38" si="25">F38*E38^0.5</f>
        <v>973.97959880523479</v>
      </c>
      <c r="I38" s="26">
        <f t="shared" ref="I38" si="26">E38^0.5</f>
        <v>213.23930219356845</v>
      </c>
      <c r="J38" s="26">
        <f t="shared" ref="J38" si="27">C38*E38^0.5</f>
        <v>180478.92171896616</v>
      </c>
      <c r="K38" s="26"/>
    </row>
    <row r="39" spans="2:19" x14ac:dyDescent="0.2">
      <c r="B39" s="27" t="s">
        <v>859</v>
      </c>
      <c r="D39" s="37">
        <f>SUM(D8:D38)</f>
        <v>32311348.380000003</v>
      </c>
      <c r="E39" s="38">
        <f>SUM(E8:E38)</f>
        <v>64621807</v>
      </c>
      <c r="R39" s="26"/>
      <c r="S39" s="25"/>
    </row>
    <row r="41" spans="2:19" x14ac:dyDescent="0.2">
      <c r="B41" s="19" t="s">
        <v>984</v>
      </c>
      <c r="H41" s="305" t="s">
        <v>985</v>
      </c>
      <c r="I41" s="305"/>
    </row>
    <row r="43" spans="2:19" x14ac:dyDescent="0.2">
      <c r="B43" s="14" t="s">
        <v>986</v>
      </c>
      <c r="D43" s="39">
        <f>H43</f>
        <v>3.7653984193115604E-3</v>
      </c>
      <c r="H43" s="39">
        <f t="array" ref="H43:I45">LINEST(H8:H38,I8:J38,FALSE,TRUE)</f>
        <v>3.7653984193115604E-3</v>
      </c>
      <c r="I43" s="39">
        <v>0.14275950971162141</v>
      </c>
    </row>
    <row r="44" spans="2:19" x14ac:dyDescent="0.2">
      <c r="B44" s="14" t="s">
        <v>987</v>
      </c>
      <c r="D44" s="39">
        <f>I43</f>
        <v>0.14275950971162141</v>
      </c>
      <c r="H44" s="39">
        <v>5.2688301037599652E-4</v>
      </c>
      <c r="I44" s="39">
        <v>6.5314551104146343E-2</v>
      </c>
    </row>
    <row r="45" spans="2:19" x14ac:dyDescent="0.2">
      <c r="B45" s="14" t="s">
        <v>988</v>
      </c>
      <c r="D45" s="40">
        <f>H45</f>
        <v>0.86910443249353442</v>
      </c>
      <c r="H45" s="39">
        <v>0.86910443249353442</v>
      </c>
      <c r="I45" s="39">
        <v>337.92628429956522</v>
      </c>
    </row>
    <row r="46" spans="2:19" x14ac:dyDescent="0.2">
      <c r="H46" s="39"/>
      <c r="I46" s="39"/>
    </row>
    <row r="47" spans="2:19" x14ac:dyDescent="0.2">
      <c r="B47" s="28" t="s">
        <v>989</v>
      </c>
      <c r="C47" s="41"/>
    </row>
    <row r="48" spans="2:19" x14ac:dyDescent="0.2">
      <c r="C48" s="41"/>
    </row>
    <row r="49" spans="1:13" x14ac:dyDescent="0.2">
      <c r="B49" s="14" t="s">
        <v>990</v>
      </c>
      <c r="C49" s="41"/>
      <c r="D49" s="36">
        <f>E39</f>
        <v>64621807</v>
      </c>
    </row>
    <row r="50" spans="1:13" x14ac:dyDescent="0.2">
      <c r="B50" s="14" t="s">
        <v>991</v>
      </c>
      <c r="C50" s="41"/>
      <c r="D50" s="42">
        <f>D44</f>
        <v>0.14275950971162141</v>
      </c>
      <c r="E50" s="29"/>
      <c r="F50" s="30"/>
    </row>
    <row r="51" spans="1:13" x14ac:dyDescent="0.2">
      <c r="B51" s="14" t="s">
        <v>992</v>
      </c>
      <c r="C51" s="41"/>
      <c r="D51" s="42">
        <f>MIN(F8:F38)</f>
        <v>6.7102497611573626E-3</v>
      </c>
    </row>
    <row r="52" spans="1:13" x14ac:dyDescent="0.2">
      <c r="B52" s="14" t="s">
        <v>993</v>
      </c>
      <c r="C52" s="41"/>
      <c r="D52" s="188" t="s">
        <v>1000</v>
      </c>
    </row>
    <row r="53" spans="1:13" x14ac:dyDescent="0.2">
      <c r="B53" s="14" t="s">
        <v>994</v>
      </c>
      <c r="C53" s="41"/>
      <c r="D53" s="43">
        <f>IF(D52="Z",D49*D50,D49*D51)</f>
        <v>9225377.4839990251</v>
      </c>
    </row>
    <row r="54" spans="1:13" x14ac:dyDescent="0.2">
      <c r="B54" s="14" t="s">
        <v>995</v>
      </c>
      <c r="C54" s="41"/>
      <c r="D54" s="43">
        <f>D39</f>
        <v>32311348.380000003</v>
      </c>
    </row>
    <row r="55" spans="1:13" x14ac:dyDescent="0.2">
      <c r="B55" s="14" t="s">
        <v>996</v>
      </c>
      <c r="C55" s="41"/>
      <c r="D55" s="44">
        <f>D53/D54</f>
        <v>0.28551508824402161</v>
      </c>
    </row>
    <row r="56" spans="1:13" x14ac:dyDescent="0.2">
      <c r="B56" s="14" t="s">
        <v>997</v>
      </c>
      <c r="C56" s="41"/>
      <c r="D56" s="45">
        <f>D55</f>
        <v>0.28551508824402161</v>
      </c>
    </row>
    <row r="57" spans="1:13" x14ac:dyDescent="0.2">
      <c r="B57" s="14" t="s">
        <v>998</v>
      </c>
      <c r="C57" s="41"/>
      <c r="D57" s="46">
        <f>1-D56</f>
        <v>0.71448491175597839</v>
      </c>
    </row>
    <row r="60" spans="1:13" x14ac:dyDescent="0.2">
      <c r="A60" s="13" t="s">
        <v>1001</v>
      </c>
      <c r="B60" s="15"/>
      <c r="D60" s="34"/>
      <c r="E60" s="34"/>
      <c r="F60" s="34"/>
      <c r="G60" s="34"/>
      <c r="H60" s="34"/>
      <c r="I60" s="34"/>
      <c r="J60" s="34"/>
      <c r="K60" s="34"/>
      <c r="L60" s="35"/>
      <c r="M60" s="34"/>
    </row>
    <row r="61" spans="1:13" x14ac:dyDescent="0.2">
      <c r="F61" s="16" t="s">
        <v>974</v>
      </c>
      <c r="I61" s="16" t="s">
        <v>975</v>
      </c>
    </row>
    <row r="62" spans="1:13" x14ac:dyDescent="0.2">
      <c r="C62" s="17"/>
      <c r="D62" s="16"/>
      <c r="E62" s="18"/>
      <c r="F62" s="16" t="s">
        <v>976</v>
      </c>
      <c r="H62" s="16"/>
      <c r="I62" s="16"/>
      <c r="J62" s="16"/>
      <c r="K62" s="16"/>
    </row>
    <row r="63" spans="1:13" x14ac:dyDescent="0.2">
      <c r="B63" s="19" t="s">
        <v>6</v>
      </c>
      <c r="C63" s="20" t="s">
        <v>977</v>
      </c>
      <c r="D63" s="21" t="s">
        <v>978</v>
      </c>
      <c r="E63" s="22" t="s">
        <v>979</v>
      </c>
      <c r="F63" s="21" t="s">
        <v>980</v>
      </c>
      <c r="H63" s="23" t="s">
        <v>981</v>
      </c>
      <c r="I63" s="23" t="s">
        <v>982</v>
      </c>
      <c r="J63" s="23" t="s">
        <v>983</v>
      </c>
      <c r="K63" s="24"/>
    </row>
    <row r="64" spans="1:13" x14ac:dyDescent="0.2">
      <c r="B64" s="232" t="s">
        <v>1134</v>
      </c>
      <c r="C64" s="281">
        <v>105.53100000000001</v>
      </c>
      <c r="D64" s="281">
        <v>129685.7</v>
      </c>
      <c r="E64" s="285">
        <v>19975</v>
      </c>
      <c r="F64" s="26">
        <f t="shared" ref="F64:F70" si="28">D64/E64</f>
        <v>6.4924005006257817</v>
      </c>
      <c r="G64" s="36"/>
      <c r="H64" s="26">
        <f t="shared" ref="H64:H70" si="29">F64*E64^0.5</f>
        <v>917.59005204067284</v>
      </c>
      <c r="I64" s="26">
        <f t="shared" ref="I64:I70" si="30">E64^0.5</f>
        <v>141.33294025102569</v>
      </c>
      <c r="J64" s="26">
        <f t="shared" ref="J64:J70" si="31">C64*E64^0.5</f>
        <v>14915.006517630993</v>
      </c>
      <c r="K64" s="26"/>
    </row>
    <row r="65" spans="2:11" x14ac:dyDescent="0.2">
      <c r="B65" s="232" t="s">
        <v>1135</v>
      </c>
      <c r="C65" s="281">
        <v>41.74</v>
      </c>
      <c r="D65" s="281">
        <v>99649.68</v>
      </c>
      <c r="E65" s="285">
        <v>109415</v>
      </c>
      <c r="F65" s="26">
        <f t="shared" si="28"/>
        <v>0.91074971439016583</v>
      </c>
      <c r="G65" s="36"/>
      <c r="H65" s="26">
        <f t="shared" si="29"/>
        <v>301.25722829348251</v>
      </c>
      <c r="I65" s="26">
        <f t="shared" si="30"/>
        <v>330.77938267068583</v>
      </c>
      <c r="J65" s="26">
        <f t="shared" si="31"/>
        <v>13806.731432674427</v>
      </c>
      <c r="K65" s="26"/>
    </row>
    <row r="66" spans="2:11" x14ac:dyDescent="0.2">
      <c r="B66" s="232" t="s">
        <v>1136</v>
      </c>
      <c r="C66" s="281">
        <v>211.59200000000001</v>
      </c>
      <c r="D66" s="281">
        <v>2876.05</v>
      </c>
      <c r="E66" s="285">
        <v>1839</v>
      </c>
      <c r="F66" s="26">
        <f t="shared" si="28"/>
        <v>1.5639206090266451</v>
      </c>
      <c r="G66" s="36"/>
      <c r="H66" s="26">
        <f t="shared" si="29"/>
        <v>67.066488409570724</v>
      </c>
      <c r="I66" s="26">
        <f t="shared" si="30"/>
        <v>42.883563284783136</v>
      </c>
      <c r="J66" s="26">
        <f t="shared" si="31"/>
        <v>9073.8189225538335</v>
      </c>
      <c r="K66" s="26"/>
    </row>
    <row r="67" spans="2:11" x14ac:dyDescent="0.2">
      <c r="B67" s="232" t="s">
        <v>1137</v>
      </c>
      <c r="C67" s="281">
        <v>350</v>
      </c>
      <c r="D67" s="281">
        <v>20224.96</v>
      </c>
      <c r="E67" s="285">
        <v>2811</v>
      </c>
      <c r="F67" s="26">
        <f t="shared" si="28"/>
        <v>7.19493418712202</v>
      </c>
      <c r="G67" s="36"/>
      <c r="H67" s="26">
        <f t="shared" si="29"/>
        <v>381.46724123727239</v>
      </c>
      <c r="I67" s="26">
        <f t="shared" si="30"/>
        <v>53.018864567246254</v>
      </c>
      <c r="J67" s="26">
        <f t="shared" si="31"/>
        <v>18556.602598536188</v>
      </c>
      <c r="K67" s="26"/>
    </row>
    <row r="68" spans="2:11" x14ac:dyDescent="0.2">
      <c r="B68" s="232" t="s">
        <v>1138</v>
      </c>
      <c r="C68" s="281">
        <v>634.77600000000007</v>
      </c>
      <c r="D68" s="281">
        <v>1232587.1399999999</v>
      </c>
      <c r="E68" s="285">
        <v>155651</v>
      </c>
      <c r="F68" s="26">
        <f t="shared" si="28"/>
        <v>7.9189156510398258</v>
      </c>
      <c r="G68" s="36"/>
      <c r="H68" s="26">
        <f t="shared" si="29"/>
        <v>3124.2204778498613</v>
      </c>
      <c r="I68" s="26">
        <f t="shared" si="30"/>
        <v>394.52629823625193</v>
      </c>
      <c r="J68" s="26">
        <f t="shared" si="31"/>
        <v>250435.82548921509</v>
      </c>
      <c r="K68" s="26"/>
    </row>
    <row r="69" spans="2:11" x14ac:dyDescent="0.2">
      <c r="B69" s="232" t="s">
        <v>1140</v>
      </c>
      <c r="C69" s="281">
        <v>1050</v>
      </c>
      <c r="D69" s="281">
        <v>565806.80000000005</v>
      </c>
      <c r="E69" s="285">
        <v>61413</v>
      </c>
      <c r="F69" s="26">
        <f t="shared" si="28"/>
        <v>9.2131437969159631</v>
      </c>
      <c r="G69" s="36"/>
      <c r="H69" s="26">
        <f t="shared" si="29"/>
        <v>2283.1687212452939</v>
      </c>
      <c r="I69" s="26">
        <f t="shared" si="30"/>
        <v>247.81646434407864</v>
      </c>
      <c r="J69" s="26">
        <f t="shared" si="31"/>
        <v>260207.28756128257</v>
      </c>
      <c r="K69" s="26"/>
    </row>
    <row r="70" spans="2:11" x14ac:dyDescent="0.2">
      <c r="B70" s="232" t="s">
        <v>1141</v>
      </c>
      <c r="C70" s="281">
        <v>1400</v>
      </c>
      <c r="D70" s="281">
        <v>97899.35</v>
      </c>
      <c r="E70" s="285">
        <v>6158</v>
      </c>
      <c r="F70" s="26">
        <f t="shared" si="28"/>
        <v>15.897913283533615</v>
      </c>
      <c r="G70" s="36"/>
      <c r="H70" s="26">
        <f t="shared" si="29"/>
        <v>1247.5557610040148</v>
      </c>
      <c r="I70" s="26">
        <f t="shared" si="30"/>
        <v>78.4729252672538</v>
      </c>
      <c r="J70" s="26">
        <f t="shared" si="31"/>
        <v>109862.09537415532</v>
      </c>
      <c r="K70" s="26"/>
    </row>
    <row r="71" spans="2:11" x14ac:dyDescent="0.2">
      <c r="B71" s="232" t="s">
        <v>1142</v>
      </c>
      <c r="C71" s="281">
        <v>846.36800000000005</v>
      </c>
      <c r="D71" s="281">
        <v>35503.519999999997</v>
      </c>
      <c r="E71" s="285">
        <v>2870</v>
      </c>
      <c r="F71" s="26">
        <f t="shared" ref="F71:F78" si="32">D71/E71</f>
        <v>12.370564459930312</v>
      </c>
      <c r="G71" s="36"/>
      <c r="H71" s="26">
        <f t="shared" ref="H71:H78" si="33">F71*E71^0.5</f>
        <v>662.72059173864898</v>
      </c>
      <c r="I71" s="26">
        <f t="shared" ref="I71:I78" si="34">E71^0.5</f>
        <v>53.572380943915498</v>
      </c>
      <c r="J71" s="26">
        <f t="shared" ref="J71:J78" si="35">C71*E71^0.5</f>
        <v>45341.948914739878</v>
      </c>
      <c r="K71" s="26"/>
    </row>
    <row r="72" spans="2:11" x14ac:dyDescent="0.2">
      <c r="B72" s="232" t="s">
        <v>1143</v>
      </c>
      <c r="C72" s="281">
        <v>66.369</v>
      </c>
      <c r="D72" s="281">
        <v>1334.73</v>
      </c>
      <c r="E72" s="285">
        <v>1500</v>
      </c>
      <c r="F72" s="26">
        <f t="shared" si="32"/>
        <v>0.88982000000000006</v>
      </c>
      <c r="G72" s="36"/>
      <c r="H72" s="26">
        <f t="shared" si="33"/>
        <v>34.462580411222838</v>
      </c>
      <c r="I72" s="26">
        <f t="shared" si="34"/>
        <v>38.729833462074168</v>
      </c>
      <c r="J72" s="26">
        <f t="shared" si="35"/>
        <v>2570.4603170444007</v>
      </c>
      <c r="K72" s="26"/>
    </row>
    <row r="73" spans="2:11" x14ac:dyDescent="0.2">
      <c r="B73" s="232" t="s">
        <v>1139</v>
      </c>
      <c r="C73" s="281">
        <v>66.369</v>
      </c>
      <c r="D73" s="281">
        <v>1712.9</v>
      </c>
      <c r="E73" s="285">
        <v>27</v>
      </c>
      <c r="F73" s="26">
        <f t="shared" ref="F73" si="36">D73/E73</f>
        <v>63.440740740740743</v>
      </c>
      <c r="G73" s="36"/>
      <c r="H73" s="26">
        <f t="shared" ref="H73" si="37">F73*E73^0.5</f>
        <v>329.64775869830333</v>
      </c>
      <c r="I73" s="26">
        <f t="shared" ref="I73" si="38">E73^0.5</f>
        <v>5.196152422706632</v>
      </c>
      <c r="J73" s="26">
        <f t="shared" ref="J73" si="39">C73*E73^0.5</f>
        <v>344.86344014261647</v>
      </c>
      <c r="K73" s="26"/>
    </row>
    <row r="74" spans="2:11" x14ac:dyDescent="0.2">
      <c r="B74" s="232" t="s">
        <v>1144</v>
      </c>
      <c r="C74" s="281">
        <v>260</v>
      </c>
      <c r="D74" s="281">
        <v>5228042.67</v>
      </c>
      <c r="E74" s="285">
        <v>1131043</v>
      </c>
      <c r="F74" s="26">
        <f t="shared" ref="F74:F75" si="40">D74/E74</f>
        <v>4.6223199913707962</v>
      </c>
      <c r="G74" s="36"/>
      <c r="H74" s="26">
        <f t="shared" ref="H74:H75" si="41">F74*E74^0.5</f>
        <v>4915.8606722811573</v>
      </c>
      <c r="I74" s="26">
        <f t="shared" ref="I74:I75" si="42">E74^0.5</f>
        <v>1063.5050540547516</v>
      </c>
      <c r="J74" s="26">
        <f t="shared" ref="J74:J75" si="43">C74*E74^0.5</f>
        <v>276511.31405423541</v>
      </c>
      <c r="K74" s="26"/>
    </row>
    <row r="75" spans="2:11" x14ac:dyDescent="0.2">
      <c r="B75" s="232" t="s">
        <v>1145</v>
      </c>
      <c r="C75" s="281">
        <v>345</v>
      </c>
      <c r="D75" s="281">
        <v>41094.1</v>
      </c>
      <c r="E75" s="285">
        <v>6114</v>
      </c>
      <c r="F75" s="26">
        <f t="shared" si="40"/>
        <v>6.7213117435394176</v>
      </c>
      <c r="G75" s="36"/>
      <c r="H75" s="26">
        <f t="shared" si="41"/>
        <v>525.55328647072804</v>
      </c>
      <c r="I75" s="26">
        <f t="shared" si="42"/>
        <v>78.192071209298447</v>
      </c>
      <c r="J75" s="26">
        <f t="shared" si="43"/>
        <v>26976.264567207963</v>
      </c>
      <c r="K75" s="26"/>
    </row>
    <row r="76" spans="2:11" x14ac:dyDescent="0.2">
      <c r="B76" s="232" t="s">
        <v>1146</v>
      </c>
      <c r="C76" s="281">
        <v>260</v>
      </c>
      <c r="D76" s="281">
        <v>141928.6</v>
      </c>
      <c r="E76" s="285">
        <v>13114</v>
      </c>
      <c r="F76" s="26">
        <f t="shared" ref="F76:F77" si="44">D76/E76</f>
        <v>10.822678053988104</v>
      </c>
      <c r="G76" s="36"/>
      <c r="H76" s="26">
        <f t="shared" ref="H76:H77" si="45">F76*E76^0.5</f>
        <v>1239.3738517708271</v>
      </c>
      <c r="I76" s="26">
        <f t="shared" ref="I76:I77" si="46">E76^0.5</f>
        <v>114.51637437502114</v>
      </c>
      <c r="J76" s="26">
        <f t="shared" ref="J76:J77" si="47">C76*E76^0.5</f>
        <v>29774.257337505496</v>
      </c>
      <c r="K76" s="26"/>
    </row>
    <row r="77" spans="2:11" x14ac:dyDescent="0.2">
      <c r="B77" s="232" t="s">
        <v>1147</v>
      </c>
      <c r="C77" s="281">
        <v>345</v>
      </c>
      <c r="D77" s="281">
        <v>12399.14</v>
      </c>
      <c r="E77" s="285">
        <v>2610</v>
      </c>
      <c r="F77" s="26">
        <f t="shared" si="44"/>
        <v>4.7506283524904216</v>
      </c>
      <c r="G77" s="36"/>
      <c r="H77" s="26">
        <f t="shared" si="45"/>
        <v>242.70085708645138</v>
      </c>
      <c r="I77" s="26">
        <f t="shared" si="46"/>
        <v>51.088159097779204</v>
      </c>
      <c r="J77" s="26">
        <f t="shared" si="47"/>
        <v>17625.414888733827</v>
      </c>
      <c r="K77" s="26"/>
    </row>
    <row r="78" spans="2:11" x14ac:dyDescent="0.2">
      <c r="B78" s="232" t="s">
        <v>1148</v>
      </c>
      <c r="C78" s="298">
        <v>260</v>
      </c>
      <c r="D78" s="281">
        <v>36746.25</v>
      </c>
      <c r="E78" s="285">
        <v>1143</v>
      </c>
      <c r="F78" s="26">
        <f t="shared" si="32"/>
        <v>32.148950131233597</v>
      </c>
      <c r="G78" s="36"/>
      <c r="H78" s="26">
        <f t="shared" si="33"/>
        <v>1086.9008044710624</v>
      </c>
      <c r="I78" s="26">
        <f t="shared" si="34"/>
        <v>33.808283008753932</v>
      </c>
      <c r="J78" s="26">
        <f t="shared" si="35"/>
        <v>8790.1535822760216</v>
      </c>
      <c r="K78" s="26"/>
    </row>
    <row r="79" spans="2:11" x14ac:dyDescent="0.2">
      <c r="B79" s="27" t="s">
        <v>859</v>
      </c>
      <c r="D79" s="37">
        <f>SUM(D64:D78)</f>
        <v>7647491.5899999989</v>
      </c>
      <c r="E79" s="38">
        <f>SUM(E64:E78)</f>
        <v>1515683</v>
      </c>
    </row>
    <row r="81" spans="2:9" x14ac:dyDescent="0.2">
      <c r="B81" s="19" t="s">
        <v>984</v>
      </c>
      <c r="H81" s="305" t="s">
        <v>985</v>
      </c>
      <c r="I81" s="305"/>
    </row>
    <row r="83" spans="2:9" x14ac:dyDescent="0.2">
      <c r="B83" s="14" t="s">
        <v>986</v>
      </c>
      <c r="D83" s="39">
        <f>H83</f>
        <v>7.9573688746502301E-3</v>
      </c>
      <c r="H83" s="39">
        <f t="array" ref="H83:I85">LINEST(H64:H78,I64:J78,FALSE,TRUE)</f>
        <v>7.9573688746502301E-3</v>
      </c>
      <c r="I83" s="39">
        <v>2.5083728638444907</v>
      </c>
    </row>
    <row r="84" spans="2:9" x14ac:dyDescent="0.2">
      <c r="B84" s="14" t="s">
        <v>987</v>
      </c>
      <c r="D84" s="39">
        <f>I83</f>
        <v>2.5083728638444907</v>
      </c>
      <c r="H84" s="39">
        <v>1.6186861405751436E-3</v>
      </c>
      <c r="I84" s="39">
        <v>0.62207880025076734</v>
      </c>
    </row>
    <row r="85" spans="2:9" x14ac:dyDescent="0.2">
      <c r="B85" s="14" t="s">
        <v>988</v>
      </c>
      <c r="D85" s="40">
        <f>H85</f>
        <v>0.9476334951943105</v>
      </c>
      <c r="H85" s="39">
        <v>0.9476334951943105</v>
      </c>
      <c r="I85" s="39">
        <v>427.55045467066026</v>
      </c>
    </row>
    <row r="86" spans="2:9" x14ac:dyDescent="0.2">
      <c r="H86" s="39"/>
      <c r="I86" s="39"/>
    </row>
    <row r="87" spans="2:9" x14ac:dyDescent="0.2">
      <c r="B87" s="28" t="s">
        <v>989</v>
      </c>
      <c r="C87" s="41"/>
    </row>
    <row r="88" spans="2:9" x14ac:dyDescent="0.2">
      <c r="C88" s="41"/>
    </row>
    <row r="89" spans="2:9" x14ac:dyDescent="0.2">
      <c r="B89" s="14" t="s">
        <v>990</v>
      </c>
      <c r="C89" s="41"/>
      <c r="D89" s="36">
        <f>E79</f>
        <v>1515683</v>
      </c>
    </row>
    <row r="90" spans="2:9" x14ac:dyDescent="0.2">
      <c r="B90" s="14" t="s">
        <v>991</v>
      </c>
      <c r="C90" s="41"/>
      <c r="D90" s="42">
        <f>D84</f>
        <v>2.5083728638444907</v>
      </c>
      <c r="E90" s="29"/>
      <c r="F90" s="30"/>
    </row>
    <row r="91" spans="2:9" x14ac:dyDescent="0.2">
      <c r="B91" s="14" t="s">
        <v>992</v>
      </c>
      <c r="C91" s="41"/>
      <c r="D91" s="42">
        <f>MIN(F64:F78)</f>
        <v>0.88982000000000006</v>
      </c>
    </row>
    <row r="92" spans="2:9" x14ac:dyDescent="0.2">
      <c r="B92" s="14" t="s">
        <v>993</v>
      </c>
      <c r="C92" s="41"/>
      <c r="D92" s="188" t="s">
        <v>1000</v>
      </c>
    </row>
    <row r="93" spans="2:9" x14ac:dyDescent="0.2">
      <c r="B93" s="14" t="s">
        <v>994</v>
      </c>
      <c r="C93" s="41"/>
      <c r="D93" s="43">
        <f>IF(D92="Z",D89*D90,D89*D91)</f>
        <v>3801898.1073904093</v>
      </c>
    </row>
    <row r="94" spans="2:9" x14ac:dyDescent="0.2">
      <c r="B94" s="14" t="s">
        <v>995</v>
      </c>
      <c r="C94" s="41"/>
      <c r="D94" s="43">
        <f>D79</f>
        <v>7647491.5899999989</v>
      </c>
    </row>
    <row r="95" spans="2:9" x14ac:dyDescent="0.2">
      <c r="B95" s="14" t="s">
        <v>996</v>
      </c>
      <c r="C95" s="41"/>
      <c r="D95" s="44">
        <f>D93/D94</f>
        <v>0.49714315637324025</v>
      </c>
    </row>
    <row r="96" spans="2:9" x14ac:dyDescent="0.2">
      <c r="B96" s="14" t="s">
        <v>997</v>
      </c>
      <c r="C96" s="41"/>
      <c r="D96" s="45">
        <f>D95</f>
        <v>0.49714315637324025</v>
      </c>
    </row>
    <row r="97" spans="1:13" x14ac:dyDescent="0.2">
      <c r="B97" s="14" t="s">
        <v>998</v>
      </c>
      <c r="C97" s="41"/>
      <c r="D97" s="46">
        <f>1-D96</f>
        <v>0.50285684362675975</v>
      </c>
    </row>
    <row r="100" spans="1:13" x14ac:dyDescent="0.2">
      <c r="A100" s="13" t="s">
        <v>1002</v>
      </c>
      <c r="B100" s="15"/>
      <c r="C100" s="34"/>
      <c r="D100" s="34"/>
      <c r="E100" s="34"/>
      <c r="F100" s="34"/>
      <c r="G100" s="34"/>
      <c r="H100" s="34"/>
      <c r="I100" s="34"/>
      <c r="J100" s="34"/>
      <c r="K100" s="34"/>
      <c r="L100" s="35"/>
      <c r="M100" s="34"/>
    </row>
    <row r="101" spans="1:13" x14ac:dyDescent="0.2">
      <c r="F101" s="16" t="s">
        <v>974</v>
      </c>
      <c r="I101" s="16" t="s">
        <v>975</v>
      </c>
      <c r="L101" s="306" t="s">
        <v>1003</v>
      </c>
      <c r="M101" s="306"/>
    </row>
    <row r="102" spans="1:13" x14ac:dyDescent="0.2">
      <c r="C102" s="17"/>
      <c r="D102" s="16"/>
      <c r="E102" s="18"/>
      <c r="F102" s="16" t="s">
        <v>976</v>
      </c>
      <c r="H102" s="16"/>
      <c r="I102" s="16"/>
      <c r="J102" s="16"/>
      <c r="K102" s="16"/>
    </row>
    <row r="103" spans="1:13" x14ac:dyDescent="0.2">
      <c r="B103" s="19" t="s">
        <v>6</v>
      </c>
      <c r="C103" s="20" t="s">
        <v>977</v>
      </c>
      <c r="D103" s="21" t="s">
        <v>978</v>
      </c>
      <c r="E103" s="22" t="s">
        <v>979</v>
      </c>
      <c r="F103" s="21" t="s">
        <v>980</v>
      </c>
      <c r="H103" s="23" t="s">
        <v>981</v>
      </c>
      <c r="I103" s="23" t="s">
        <v>982</v>
      </c>
      <c r="J103" s="23" t="s">
        <v>983</v>
      </c>
      <c r="K103" s="24"/>
      <c r="L103" s="22" t="s">
        <v>1004</v>
      </c>
      <c r="M103" s="31" t="s">
        <v>1005</v>
      </c>
    </row>
    <row r="104" spans="1:13" x14ac:dyDescent="0.2">
      <c r="B104" s="232" t="s">
        <v>1149</v>
      </c>
      <c r="C104" s="281">
        <v>1</v>
      </c>
      <c r="D104" s="281">
        <v>37060</v>
      </c>
      <c r="E104" s="285">
        <v>50</v>
      </c>
      <c r="F104" s="26">
        <f t="shared" ref="F104:F141" si="48">D104/E104</f>
        <v>741.2</v>
      </c>
      <c r="G104" s="36"/>
      <c r="H104" s="26">
        <f t="shared" ref="H104:H134" si="49">F104*E104^0.5</f>
        <v>5241.0754621546912</v>
      </c>
      <c r="I104" s="26">
        <f t="shared" ref="I104:I134" si="50">E104^0.5</f>
        <v>7.0710678118654755</v>
      </c>
      <c r="J104" s="26">
        <f t="shared" ref="J104:J134" si="51">C104*E104^0.5</f>
        <v>7.0710678118654755</v>
      </c>
      <c r="K104" s="26"/>
      <c r="L104" s="30">
        <f t="shared" ref="L104:L141" si="52">IF(C104&gt;50,0,1)</f>
        <v>1</v>
      </c>
      <c r="M104" s="36">
        <f t="shared" ref="M104:M134" si="53">L104*E104</f>
        <v>50</v>
      </c>
    </row>
    <row r="105" spans="1:13" x14ac:dyDescent="0.2">
      <c r="B105" s="232" t="s">
        <v>1150</v>
      </c>
      <c r="C105" s="281">
        <v>1.5</v>
      </c>
      <c r="D105" s="281">
        <v>30402.28</v>
      </c>
      <c r="E105" s="285">
        <v>150</v>
      </c>
      <c r="F105" s="26">
        <f t="shared" si="48"/>
        <v>202.68186666666665</v>
      </c>
      <c r="G105" s="36"/>
      <c r="H105" s="26">
        <f t="shared" si="49"/>
        <v>2482.3357672407383</v>
      </c>
      <c r="I105" s="26">
        <f t="shared" si="50"/>
        <v>12.24744871391589</v>
      </c>
      <c r="J105" s="26">
        <f t="shared" si="51"/>
        <v>18.371173070873837</v>
      </c>
      <c r="K105" s="26"/>
      <c r="L105" s="30">
        <f t="shared" si="52"/>
        <v>1</v>
      </c>
      <c r="M105" s="36">
        <f t="shared" si="53"/>
        <v>150</v>
      </c>
    </row>
    <row r="106" spans="1:13" x14ac:dyDescent="0.2">
      <c r="B106" s="232" t="s">
        <v>1151</v>
      </c>
      <c r="C106" s="281">
        <v>3</v>
      </c>
      <c r="D106" s="281">
        <v>28436.17</v>
      </c>
      <c r="E106" s="285">
        <v>289</v>
      </c>
      <c r="F106" s="26">
        <f t="shared" si="48"/>
        <v>98.395051903114179</v>
      </c>
      <c r="G106" s="36"/>
      <c r="H106" s="26">
        <f t="shared" si="49"/>
        <v>1672.715882352941</v>
      </c>
      <c r="I106" s="26">
        <f t="shared" si="50"/>
        <v>17</v>
      </c>
      <c r="J106" s="26">
        <f t="shared" si="51"/>
        <v>51</v>
      </c>
      <c r="K106" s="26"/>
      <c r="L106" s="30">
        <f t="shared" si="52"/>
        <v>1</v>
      </c>
      <c r="M106" s="36">
        <f t="shared" si="53"/>
        <v>289</v>
      </c>
    </row>
    <row r="107" spans="1:13" x14ac:dyDescent="0.2">
      <c r="B107" s="232" t="s">
        <v>1152</v>
      </c>
      <c r="C107" s="281">
        <v>3</v>
      </c>
      <c r="D107" s="281">
        <v>4171.42</v>
      </c>
      <c r="E107" s="285">
        <v>61</v>
      </c>
      <c r="F107" s="26">
        <f t="shared" si="48"/>
        <v>68.383934426229516</v>
      </c>
      <c r="G107" s="36"/>
      <c r="H107" s="26">
        <f t="shared" si="49"/>
        <v>534.09560168968096</v>
      </c>
      <c r="I107" s="26">
        <f t="shared" si="50"/>
        <v>7.810249675906654</v>
      </c>
      <c r="J107" s="26">
        <f t="shared" si="51"/>
        <v>23.430749027719962</v>
      </c>
      <c r="K107" s="26"/>
      <c r="L107" s="30">
        <f t="shared" si="52"/>
        <v>1</v>
      </c>
      <c r="M107" s="36">
        <f t="shared" si="53"/>
        <v>61</v>
      </c>
    </row>
    <row r="108" spans="1:13" x14ac:dyDescent="0.2">
      <c r="B108" s="232" t="s">
        <v>1153</v>
      </c>
      <c r="C108" s="281">
        <v>5</v>
      </c>
      <c r="D108" s="281">
        <v>77188.95</v>
      </c>
      <c r="E108" s="285">
        <v>542</v>
      </c>
      <c r="F108" s="26">
        <f t="shared" si="48"/>
        <v>142.41503690036899</v>
      </c>
      <c r="G108" s="36"/>
      <c r="H108" s="26">
        <f t="shared" si="49"/>
        <v>3315.5493002745015</v>
      </c>
      <c r="I108" s="26">
        <f t="shared" si="50"/>
        <v>23.280893453645632</v>
      </c>
      <c r="J108" s="26">
        <f t="shared" si="51"/>
        <v>116.40446726822816</v>
      </c>
      <c r="K108" s="26"/>
      <c r="L108" s="30">
        <f t="shared" si="52"/>
        <v>1</v>
      </c>
      <c r="M108" s="36">
        <f t="shared" si="53"/>
        <v>542</v>
      </c>
    </row>
    <row r="109" spans="1:13" x14ac:dyDescent="0.2">
      <c r="B109" s="232" t="s">
        <v>1154</v>
      </c>
      <c r="C109" s="281">
        <v>7.5</v>
      </c>
      <c r="D109" s="281">
        <v>4654.3</v>
      </c>
      <c r="E109" s="285">
        <v>28</v>
      </c>
      <c r="F109" s="26">
        <f t="shared" si="48"/>
        <v>166.22499999999999</v>
      </c>
      <c r="G109" s="36"/>
      <c r="H109" s="26">
        <f t="shared" si="49"/>
        <v>879.58002336342315</v>
      </c>
      <c r="I109" s="26">
        <f t="shared" si="50"/>
        <v>5.2915026221291814</v>
      </c>
      <c r="J109" s="26">
        <f t="shared" si="51"/>
        <v>39.686269665968858</v>
      </c>
      <c r="K109" s="26"/>
      <c r="L109" s="30">
        <f t="shared" si="52"/>
        <v>1</v>
      </c>
      <c r="M109" s="36">
        <f t="shared" si="53"/>
        <v>28</v>
      </c>
    </row>
    <row r="110" spans="1:13" x14ac:dyDescent="0.2">
      <c r="B110" s="232" t="s">
        <v>1155</v>
      </c>
      <c r="C110" s="281">
        <v>10</v>
      </c>
      <c r="D110" s="281">
        <v>2767449.22</v>
      </c>
      <c r="E110" s="285">
        <v>10941</v>
      </c>
      <c r="F110" s="26">
        <f t="shared" ref="F110:F117" si="54">D110/E110</f>
        <v>252.94298692989673</v>
      </c>
      <c r="G110" s="36"/>
      <c r="H110" s="26">
        <f t="shared" ref="H110:H117" si="55">F110*E110^0.5</f>
        <v>26457.642976720599</v>
      </c>
      <c r="I110" s="26">
        <f t="shared" ref="I110:I117" si="56">E110^0.5</f>
        <v>104.59923517884822</v>
      </c>
      <c r="J110" s="26">
        <f t="shared" ref="J110:J117" si="57">C110*E110^0.5</f>
        <v>1045.9923517884822</v>
      </c>
      <c r="K110" s="26"/>
      <c r="L110" s="30">
        <f t="shared" ref="L110:L117" si="58">IF(C110&gt;50,0,1)</f>
        <v>1</v>
      </c>
      <c r="M110" s="36">
        <f t="shared" ref="M110:M117" si="59">L110*E110</f>
        <v>10941</v>
      </c>
    </row>
    <row r="111" spans="1:13" x14ac:dyDescent="0.2">
      <c r="B111" s="232" t="s">
        <v>1156</v>
      </c>
      <c r="C111" s="281">
        <v>15</v>
      </c>
      <c r="D111" s="281">
        <v>11925391.050000001</v>
      </c>
      <c r="E111" s="285">
        <v>21574</v>
      </c>
      <c r="F111" s="26">
        <f t="shared" si="54"/>
        <v>552.7668049504033</v>
      </c>
      <c r="G111" s="36"/>
      <c r="H111" s="26">
        <f t="shared" si="55"/>
        <v>81190.888087842934</v>
      </c>
      <c r="I111" s="26">
        <f t="shared" si="56"/>
        <v>146.8809041366508</v>
      </c>
      <c r="J111" s="26">
        <f t="shared" si="57"/>
        <v>2203.213562049762</v>
      </c>
      <c r="K111" s="26"/>
      <c r="L111" s="30">
        <f t="shared" si="58"/>
        <v>1</v>
      </c>
      <c r="M111" s="36">
        <f t="shared" si="59"/>
        <v>21574</v>
      </c>
    </row>
    <row r="112" spans="1:13" x14ac:dyDescent="0.2">
      <c r="B112" s="232" t="s">
        <v>1157</v>
      </c>
      <c r="C112" s="281">
        <v>15</v>
      </c>
      <c r="D112" s="281">
        <v>838994.47</v>
      </c>
      <c r="E112" s="285">
        <v>1051</v>
      </c>
      <c r="F112" s="26">
        <f t="shared" si="54"/>
        <v>798.28208372978111</v>
      </c>
      <c r="G112" s="36"/>
      <c r="H112" s="26">
        <f t="shared" si="55"/>
        <v>25879.610772756285</v>
      </c>
      <c r="I112" s="26">
        <f t="shared" si="56"/>
        <v>32.419130154894653</v>
      </c>
      <c r="J112" s="26">
        <f t="shared" si="57"/>
        <v>486.28695232341977</v>
      </c>
      <c r="K112" s="26"/>
      <c r="L112" s="30">
        <f t="shared" si="58"/>
        <v>1</v>
      </c>
      <c r="M112" s="36">
        <f t="shared" si="59"/>
        <v>1051</v>
      </c>
    </row>
    <row r="113" spans="2:13" x14ac:dyDescent="0.2">
      <c r="B113" s="232" t="s">
        <v>1158</v>
      </c>
      <c r="C113" s="281">
        <v>25</v>
      </c>
      <c r="D113" s="281">
        <v>10505706.18</v>
      </c>
      <c r="E113" s="285">
        <v>15837</v>
      </c>
      <c r="F113" s="26">
        <f t="shared" si="54"/>
        <v>663.36466376207613</v>
      </c>
      <c r="G113" s="36"/>
      <c r="H113" s="26">
        <f t="shared" si="55"/>
        <v>83481.220928295399</v>
      </c>
      <c r="I113" s="26">
        <f t="shared" si="56"/>
        <v>125.84514293368656</v>
      </c>
      <c r="J113" s="26">
        <f t="shared" si="57"/>
        <v>3146.1285733421641</v>
      </c>
      <c r="K113" s="26"/>
      <c r="L113" s="30">
        <f t="shared" si="58"/>
        <v>1</v>
      </c>
      <c r="M113" s="36">
        <f t="shared" si="59"/>
        <v>15837</v>
      </c>
    </row>
    <row r="114" spans="2:13" x14ac:dyDescent="0.2">
      <c r="B114" s="232" t="s">
        <v>1159</v>
      </c>
      <c r="C114" s="281">
        <v>25</v>
      </c>
      <c r="D114" s="281">
        <v>417223.94</v>
      </c>
      <c r="E114" s="285">
        <v>370</v>
      </c>
      <c r="F114" s="26">
        <f t="shared" si="54"/>
        <v>1127.6322702702703</v>
      </c>
      <c r="G114" s="36"/>
      <c r="H114" s="26">
        <f t="shared" si="55"/>
        <v>21690.439798983029</v>
      </c>
      <c r="I114" s="26">
        <f t="shared" si="56"/>
        <v>19.235384061671343</v>
      </c>
      <c r="J114" s="26">
        <f t="shared" si="57"/>
        <v>480.88460154178358</v>
      </c>
      <c r="K114" s="26"/>
      <c r="L114" s="30">
        <f t="shared" si="58"/>
        <v>1</v>
      </c>
      <c r="M114" s="36">
        <f t="shared" si="59"/>
        <v>370</v>
      </c>
    </row>
    <row r="115" spans="2:13" x14ac:dyDescent="0.2">
      <c r="B115" s="232" t="s">
        <v>1160</v>
      </c>
      <c r="C115" s="281">
        <v>37.5</v>
      </c>
      <c r="D115" s="281">
        <v>294301.8</v>
      </c>
      <c r="E115" s="285">
        <v>451</v>
      </c>
      <c r="F115" s="26">
        <f t="shared" si="54"/>
        <v>652.55388026607534</v>
      </c>
      <c r="G115" s="36"/>
      <c r="H115" s="26">
        <f t="shared" si="55"/>
        <v>13858.13052180165</v>
      </c>
      <c r="I115" s="26">
        <f t="shared" si="56"/>
        <v>21.236760581595302</v>
      </c>
      <c r="J115" s="26">
        <f t="shared" si="57"/>
        <v>796.37852180982384</v>
      </c>
      <c r="K115" s="26"/>
      <c r="L115" s="30">
        <f t="shared" si="58"/>
        <v>1</v>
      </c>
      <c r="M115" s="36">
        <f t="shared" si="59"/>
        <v>451</v>
      </c>
    </row>
    <row r="116" spans="2:13" x14ac:dyDescent="0.2">
      <c r="B116" s="232" t="s">
        <v>1161</v>
      </c>
      <c r="C116" s="281">
        <v>10</v>
      </c>
      <c r="D116" s="281">
        <v>2916</v>
      </c>
      <c r="E116" s="285">
        <v>2</v>
      </c>
      <c r="F116" s="26">
        <f t="shared" si="54"/>
        <v>1458</v>
      </c>
      <c r="G116" s="36"/>
      <c r="H116" s="26">
        <f t="shared" si="55"/>
        <v>2061.9233739399729</v>
      </c>
      <c r="I116" s="26">
        <f t="shared" si="56"/>
        <v>1.4142135623730951</v>
      </c>
      <c r="J116" s="26">
        <f t="shared" si="57"/>
        <v>14.142135623730951</v>
      </c>
      <c r="K116" s="26"/>
      <c r="L116" s="30">
        <f t="shared" si="58"/>
        <v>1</v>
      </c>
      <c r="M116" s="36">
        <f t="shared" si="59"/>
        <v>2</v>
      </c>
    </row>
    <row r="117" spans="2:13" x14ac:dyDescent="0.2">
      <c r="B117" s="232" t="s">
        <v>1162</v>
      </c>
      <c r="C117" s="281">
        <v>25</v>
      </c>
      <c r="D117" s="281">
        <v>1516939.33</v>
      </c>
      <c r="E117" s="285">
        <v>955</v>
      </c>
      <c r="F117" s="26">
        <f t="shared" si="54"/>
        <v>1588.4181465968586</v>
      </c>
      <c r="G117" s="36"/>
      <c r="H117" s="26">
        <f t="shared" si="55"/>
        <v>49087.003973134073</v>
      </c>
      <c r="I117" s="26">
        <f t="shared" si="56"/>
        <v>30.903074280724887</v>
      </c>
      <c r="J117" s="26">
        <f t="shared" si="57"/>
        <v>772.57685701812215</v>
      </c>
      <c r="K117" s="26"/>
      <c r="L117" s="30">
        <f t="shared" si="58"/>
        <v>1</v>
      </c>
      <c r="M117" s="36">
        <f t="shared" si="59"/>
        <v>955</v>
      </c>
    </row>
    <row r="118" spans="2:13" x14ac:dyDescent="0.2">
      <c r="B118" s="232" t="s">
        <v>1163</v>
      </c>
      <c r="C118" s="281">
        <v>50</v>
      </c>
      <c r="D118" s="281">
        <v>2090753.75</v>
      </c>
      <c r="E118" s="285">
        <v>1991</v>
      </c>
      <c r="F118" s="26">
        <f t="shared" si="48"/>
        <v>1050.1023355097941</v>
      </c>
      <c r="G118" s="36"/>
      <c r="H118" s="26">
        <f t="shared" si="49"/>
        <v>46856.220460584096</v>
      </c>
      <c r="I118" s="26">
        <f t="shared" si="50"/>
        <v>44.620623034646208</v>
      </c>
      <c r="J118" s="26">
        <f t="shared" si="51"/>
        <v>2231.0311517323103</v>
      </c>
      <c r="K118" s="26"/>
      <c r="L118" s="30">
        <f t="shared" si="52"/>
        <v>1</v>
      </c>
      <c r="M118" s="36">
        <f t="shared" si="53"/>
        <v>1991</v>
      </c>
    </row>
    <row r="119" spans="2:13" x14ac:dyDescent="0.2">
      <c r="B119" s="232" t="s">
        <v>1164</v>
      </c>
      <c r="C119" s="281">
        <v>50</v>
      </c>
      <c r="D119" s="281">
        <v>87131</v>
      </c>
      <c r="E119" s="285">
        <v>51</v>
      </c>
      <c r="F119" s="26">
        <f t="shared" si="48"/>
        <v>1708.4509803921569</v>
      </c>
      <c r="G119" s="36"/>
      <c r="H119" s="26">
        <f t="shared" si="49"/>
        <v>12200.780400144453</v>
      </c>
      <c r="I119" s="26">
        <f t="shared" si="50"/>
        <v>7.1414284285428504</v>
      </c>
      <c r="J119" s="26">
        <f t="shared" si="51"/>
        <v>357.07142142714252</v>
      </c>
      <c r="K119" s="26"/>
      <c r="L119" s="30">
        <f t="shared" si="52"/>
        <v>1</v>
      </c>
      <c r="M119" s="36">
        <f t="shared" si="53"/>
        <v>51</v>
      </c>
    </row>
    <row r="120" spans="2:13" x14ac:dyDescent="0.2">
      <c r="B120" s="232" t="s">
        <v>1165</v>
      </c>
      <c r="C120" s="281">
        <v>50</v>
      </c>
      <c r="D120" s="281">
        <v>1859193.08</v>
      </c>
      <c r="E120" s="285">
        <v>1048</v>
      </c>
      <c r="F120" s="26">
        <f t="shared" ref="F120" si="60">D120/E120</f>
        <v>1774.0391984732826</v>
      </c>
      <c r="G120" s="36"/>
      <c r="H120" s="26">
        <f t="shared" ref="H120" si="61">F120*E120^0.5</f>
        <v>57430.666036972565</v>
      </c>
      <c r="I120" s="26">
        <f t="shared" ref="I120" si="62">E120^0.5</f>
        <v>32.372828112477293</v>
      </c>
      <c r="J120" s="26">
        <f t="shared" ref="J120" si="63">C120*E120^0.5</f>
        <v>1618.6414056238646</v>
      </c>
      <c r="K120" s="26"/>
      <c r="L120" s="30">
        <f t="shared" ref="L120" si="64">IF(C120&gt;50,0,1)</f>
        <v>1</v>
      </c>
      <c r="M120" s="36">
        <f t="shared" ref="M120" si="65">L120*E120</f>
        <v>1048</v>
      </c>
    </row>
    <row r="121" spans="2:13" x14ac:dyDescent="0.2">
      <c r="B121" s="232" t="s">
        <v>1166</v>
      </c>
      <c r="C121" s="281">
        <v>75</v>
      </c>
      <c r="D121" s="281">
        <v>458443.53</v>
      </c>
      <c r="E121" s="285">
        <v>332</v>
      </c>
      <c r="F121" s="26">
        <f t="shared" si="48"/>
        <v>1380.8540060240964</v>
      </c>
      <c r="G121" s="36"/>
      <c r="H121" s="26">
        <f t="shared" si="49"/>
        <v>25160.357408755706</v>
      </c>
      <c r="I121" s="26">
        <f t="shared" si="50"/>
        <v>18.220867158288598</v>
      </c>
      <c r="J121" s="26">
        <f t="shared" si="51"/>
        <v>1366.5650368716449</v>
      </c>
      <c r="K121" s="26"/>
      <c r="L121" s="30">
        <f t="shared" si="52"/>
        <v>0</v>
      </c>
      <c r="M121" s="36">
        <f t="shared" si="53"/>
        <v>0</v>
      </c>
    </row>
    <row r="122" spans="2:13" x14ac:dyDescent="0.2">
      <c r="B122" s="232" t="s">
        <v>1167</v>
      </c>
      <c r="C122" s="281">
        <v>75</v>
      </c>
      <c r="D122" s="281">
        <v>180934</v>
      </c>
      <c r="E122" s="285">
        <v>73</v>
      </c>
      <c r="F122" s="26">
        <f t="shared" si="48"/>
        <v>2478.5479452054797</v>
      </c>
      <c r="G122" s="36"/>
      <c r="H122" s="26">
        <f t="shared" si="49"/>
        <v>21176.722926784689</v>
      </c>
      <c r="I122" s="26">
        <f t="shared" si="50"/>
        <v>8.5440037453175304</v>
      </c>
      <c r="J122" s="26">
        <f t="shared" si="51"/>
        <v>640.80028089881478</v>
      </c>
      <c r="K122" s="26"/>
      <c r="L122" s="30">
        <f t="shared" si="52"/>
        <v>0</v>
      </c>
      <c r="M122" s="36">
        <f t="shared" si="53"/>
        <v>0</v>
      </c>
    </row>
    <row r="123" spans="2:13" x14ac:dyDescent="0.2">
      <c r="B123" s="232" t="s">
        <v>1168</v>
      </c>
      <c r="C123" s="281">
        <v>100</v>
      </c>
      <c r="D123" s="281">
        <v>431735.95</v>
      </c>
      <c r="E123" s="285">
        <v>268</v>
      </c>
      <c r="F123" s="26">
        <f t="shared" si="48"/>
        <v>1610.955037313433</v>
      </c>
      <c r="G123" s="36"/>
      <c r="H123" s="26">
        <f t="shared" si="49"/>
        <v>26372.470560070789</v>
      </c>
      <c r="I123" s="26">
        <f t="shared" si="50"/>
        <v>16.370705543744901</v>
      </c>
      <c r="J123" s="26">
        <f t="shared" si="51"/>
        <v>1637.07055437449</v>
      </c>
      <c r="K123" s="26"/>
      <c r="L123" s="30">
        <f t="shared" si="52"/>
        <v>0</v>
      </c>
      <c r="M123" s="36">
        <f t="shared" si="53"/>
        <v>0</v>
      </c>
    </row>
    <row r="124" spans="2:13" x14ac:dyDescent="0.2">
      <c r="B124" s="232" t="s">
        <v>1169</v>
      </c>
      <c r="C124" s="281">
        <v>100</v>
      </c>
      <c r="D124" s="281">
        <v>27159</v>
      </c>
      <c r="E124" s="285">
        <v>6</v>
      </c>
      <c r="F124" s="26">
        <f t="shared" si="48"/>
        <v>4526.5</v>
      </c>
      <c r="G124" s="36"/>
      <c r="H124" s="26">
        <f t="shared" si="49"/>
        <v>11087.615320708055</v>
      </c>
      <c r="I124" s="26">
        <f t="shared" si="50"/>
        <v>2.4494897427831779</v>
      </c>
      <c r="J124" s="26">
        <f t="shared" si="51"/>
        <v>244.94897427831779</v>
      </c>
      <c r="K124" s="26"/>
      <c r="L124" s="30">
        <f t="shared" si="52"/>
        <v>0</v>
      </c>
      <c r="M124" s="36">
        <f t="shared" si="53"/>
        <v>0</v>
      </c>
    </row>
    <row r="125" spans="2:13" x14ac:dyDescent="0.2">
      <c r="B125" s="232" t="s">
        <v>1170</v>
      </c>
      <c r="C125" s="281">
        <v>150</v>
      </c>
      <c r="D125" s="281">
        <v>210053.08</v>
      </c>
      <c r="E125" s="285">
        <v>34</v>
      </c>
      <c r="F125" s="26">
        <f t="shared" ref="F125:F129" si="66">D125/E125</f>
        <v>6178.0317647058819</v>
      </c>
      <c r="G125" s="36"/>
      <c r="H125" s="26">
        <f t="shared" ref="H125:H129" si="67">F125*E125^0.5</f>
        <v>36023.806024826219</v>
      </c>
      <c r="I125" s="26">
        <f t="shared" ref="I125:I129" si="68">E125^0.5</f>
        <v>5.8309518948453007</v>
      </c>
      <c r="J125" s="26">
        <f t="shared" ref="J125:J129" si="69">C125*E125^0.5</f>
        <v>874.64278422679513</v>
      </c>
      <c r="K125" s="26"/>
      <c r="L125" s="30">
        <f t="shared" ref="L125:L129" si="70">IF(C125&gt;50,0,1)</f>
        <v>0</v>
      </c>
      <c r="M125" s="36">
        <f t="shared" ref="M125:M129" si="71">L125*E125</f>
        <v>0</v>
      </c>
    </row>
    <row r="126" spans="2:13" x14ac:dyDescent="0.2">
      <c r="B126" s="232" t="s">
        <v>1171</v>
      </c>
      <c r="C126" s="281">
        <v>167</v>
      </c>
      <c r="D126" s="281">
        <v>430191.11</v>
      </c>
      <c r="E126" s="285">
        <v>177</v>
      </c>
      <c r="F126" s="26">
        <f t="shared" si="66"/>
        <v>2430.4582485875703</v>
      </c>
      <c r="G126" s="36"/>
      <c r="H126" s="26">
        <f t="shared" si="67"/>
        <v>32335.143911362797</v>
      </c>
      <c r="I126" s="26">
        <f t="shared" si="68"/>
        <v>13.30413469565007</v>
      </c>
      <c r="J126" s="26">
        <f t="shared" si="69"/>
        <v>2221.7904941735619</v>
      </c>
      <c r="K126" s="26"/>
      <c r="L126" s="30">
        <f t="shared" si="70"/>
        <v>0</v>
      </c>
      <c r="M126" s="36">
        <f t="shared" si="71"/>
        <v>0</v>
      </c>
    </row>
    <row r="127" spans="2:13" x14ac:dyDescent="0.2">
      <c r="B127" s="232" t="s">
        <v>1172</v>
      </c>
      <c r="C127" s="281">
        <v>167</v>
      </c>
      <c r="D127" s="281">
        <v>21109</v>
      </c>
      <c r="E127" s="285">
        <v>3</v>
      </c>
      <c r="F127" s="26">
        <f t="shared" ref="F127:F128" si="72">D127/E127</f>
        <v>7036.333333333333</v>
      </c>
      <c r="G127" s="36"/>
      <c r="H127" s="26">
        <f t="shared" ref="H127:H128" si="73">F127*E127^0.5</f>
        <v>12187.286832323809</v>
      </c>
      <c r="I127" s="26">
        <f t="shared" ref="I127:I128" si="74">E127^0.5</f>
        <v>1.7320508075688772</v>
      </c>
      <c r="J127" s="26">
        <f t="shared" ref="J127:J128" si="75">C127*E127^0.5</f>
        <v>289.2524848640025</v>
      </c>
      <c r="K127" s="26"/>
      <c r="L127" s="30">
        <f t="shared" ref="L127:L128" si="76">IF(C127&gt;50,0,1)</f>
        <v>0</v>
      </c>
      <c r="M127" s="36">
        <f t="shared" ref="M127:M128" si="77">L127*E127</f>
        <v>0</v>
      </c>
    </row>
    <row r="128" spans="2:13" x14ac:dyDescent="0.2">
      <c r="B128" s="232" t="s">
        <v>1173</v>
      </c>
      <c r="C128" s="281">
        <v>225</v>
      </c>
      <c r="D128" s="281">
        <v>49455</v>
      </c>
      <c r="E128" s="285">
        <v>12</v>
      </c>
      <c r="F128" s="26">
        <f t="shared" si="72"/>
        <v>4121.25</v>
      </c>
      <c r="G128" s="36"/>
      <c r="H128" s="26">
        <f t="shared" si="73"/>
        <v>14276.42878138647</v>
      </c>
      <c r="I128" s="26">
        <f t="shared" si="74"/>
        <v>3.4641016151377544</v>
      </c>
      <c r="J128" s="26">
        <f t="shared" si="75"/>
        <v>779.42286340599469</v>
      </c>
      <c r="K128" s="26"/>
      <c r="L128" s="30">
        <f t="shared" si="76"/>
        <v>0</v>
      </c>
      <c r="M128" s="36">
        <f t="shared" si="77"/>
        <v>0</v>
      </c>
    </row>
    <row r="129" spans="2:13" x14ac:dyDescent="0.2">
      <c r="B129" s="232" t="s">
        <v>1174</v>
      </c>
      <c r="C129" s="281">
        <v>250</v>
      </c>
      <c r="D129" s="281">
        <v>115253.75</v>
      </c>
      <c r="E129" s="285">
        <v>37</v>
      </c>
      <c r="F129" s="26">
        <f t="shared" si="66"/>
        <v>3114.9662162162163</v>
      </c>
      <c r="G129" s="36"/>
      <c r="H129" s="26">
        <f t="shared" si="67"/>
        <v>18947.599783144822</v>
      </c>
      <c r="I129" s="26">
        <f t="shared" si="68"/>
        <v>6.0827625302982193</v>
      </c>
      <c r="J129" s="26">
        <f t="shared" si="69"/>
        <v>1520.6906325745549</v>
      </c>
      <c r="K129" s="26"/>
      <c r="L129" s="30">
        <f t="shared" si="70"/>
        <v>0</v>
      </c>
      <c r="M129" s="36">
        <f t="shared" si="71"/>
        <v>0</v>
      </c>
    </row>
    <row r="130" spans="2:13" x14ac:dyDescent="0.2">
      <c r="B130" s="232" t="s">
        <v>1175</v>
      </c>
      <c r="C130" s="281">
        <v>250</v>
      </c>
      <c r="D130" s="281">
        <v>5982</v>
      </c>
      <c r="E130" s="285">
        <v>1</v>
      </c>
      <c r="F130" s="26">
        <f t="shared" ref="F130" si="78">D130/E130</f>
        <v>5982</v>
      </c>
      <c r="G130" s="36"/>
      <c r="H130" s="26">
        <f t="shared" ref="H130" si="79">F130*E130^0.5</f>
        <v>5982</v>
      </c>
      <c r="I130" s="26">
        <f t="shared" ref="I130" si="80">E130^0.5</f>
        <v>1</v>
      </c>
      <c r="J130" s="26">
        <f t="shared" ref="J130" si="81">C130*E130^0.5</f>
        <v>250</v>
      </c>
      <c r="K130" s="26"/>
      <c r="L130" s="30">
        <f t="shared" ref="L130" si="82">IF(C130&gt;50,0,1)</f>
        <v>0</v>
      </c>
      <c r="M130" s="36">
        <f t="shared" ref="M130" si="83">L130*E130</f>
        <v>0</v>
      </c>
    </row>
    <row r="131" spans="2:13" x14ac:dyDescent="0.2">
      <c r="B131" s="232" t="s">
        <v>1176</v>
      </c>
      <c r="C131" s="281">
        <v>300</v>
      </c>
      <c r="D131" s="281">
        <v>300424.69</v>
      </c>
      <c r="E131" s="285">
        <v>41</v>
      </c>
      <c r="F131" s="26">
        <f t="shared" si="48"/>
        <v>7327.431463414634</v>
      </c>
      <c r="G131" s="36"/>
      <c r="H131" s="26">
        <f t="shared" si="49"/>
        <v>46918.454001518287</v>
      </c>
      <c r="I131" s="26">
        <f t="shared" si="50"/>
        <v>6.4031242374328485</v>
      </c>
      <c r="J131" s="26">
        <f t="shared" si="51"/>
        <v>1920.9372712298546</v>
      </c>
      <c r="K131" s="26"/>
      <c r="L131" s="30">
        <f t="shared" si="52"/>
        <v>0</v>
      </c>
      <c r="M131" s="36">
        <f t="shared" si="53"/>
        <v>0</v>
      </c>
    </row>
    <row r="132" spans="2:13" x14ac:dyDescent="0.2">
      <c r="B132" s="232" t="s">
        <v>1177</v>
      </c>
      <c r="C132" s="281">
        <v>333</v>
      </c>
      <c r="D132" s="281">
        <v>30610.89</v>
      </c>
      <c r="E132" s="285">
        <v>7</v>
      </c>
      <c r="F132" s="26">
        <f t="shared" si="48"/>
        <v>4372.9842857142858</v>
      </c>
      <c r="G132" s="36"/>
      <c r="H132" s="26">
        <f t="shared" si="49"/>
        <v>11569.828907193425</v>
      </c>
      <c r="I132" s="26">
        <f t="shared" si="50"/>
        <v>2.6457513110645907</v>
      </c>
      <c r="J132" s="26">
        <f t="shared" si="51"/>
        <v>881.03518658450866</v>
      </c>
      <c r="K132" s="26"/>
      <c r="L132" s="30">
        <f t="shared" si="52"/>
        <v>0</v>
      </c>
      <c r="M132" s="36">
        <f t="shared" si="53"/>
        <v>0</v>
      </c>
    </row>
    <row r="133" spans="2:13" x14ac:dyDescent="0.2">
      <c r="B133" s="232" t="s">
        <v>1178</v>
      </c>
      <c r="C133" s="281">
        <v>333</v>
      </c>
      <c r="D133" s="281">
        <v>139262.17000000001</v>
      </c>
      <c r="E133" s="285">
        <v>45</v>
      </c>
      <c r="F133" s="26">
        <f t="shared" si="48"/>
        <v>3094.7148888888892</v>
      </c>
      <c r="G133" s="36"/>
      <c r="H133" s="26">
        <f t="shared" si="49"/>
        <v>20759.978587608795</v>
      </c>
      <c r="I133" s="26">
        <f t="shared" si="50"/>
        <v>6.7082039324993694</v>
      </c>
      <c r="J133" s="26">
        <f t="shared" si="51"/>
        <v>2233.8319095222901</v>
      </c>
      <c r="K133" s="26"/>
      <c r="L133" s="30">
        <f t="shared" si="52"/>
        <v>0</v>
      </c>
      <c r="M133" s="36">
        <f t="shared" si="53"/>
        <v>0</v>
      </c>
    </row>
    <row r="134" spans="2:13" x14ac:dyDescent="0.2">
      <c r="B134" s="232" t="s">
        <v>1179</v>
      </c>
      <c r="C134" s="281">
        <v>500</v>
      </c>
      <c r="D134" s="281">
        <v>47926.38</v>
      </c>
      <c r="E134" s="285">
        <v>11</v>
      </c>
      <c r="F134" s="26">
        <f t="shared" si="48"/>
        <v>4356.943636363636</v>
      </c>
      <c r="G134" s="36"/>
      <c r="H134" s="26">
        <f t="shared" si="49"/>
        <v>14450.347274544838</v>
      </c>
      <c r="I134" s="26">
        <f t="shared" si="50"/>
        <v>3.3166247903553998</v>
      </c>
      <c r="J134" s="26">
        <f t="shared" si="51"/>
        <v>1658.3123951777</v>
      </c>
      <c r="K134" s="26"/>
      <c r="L134" s="30">
        <f t="shared" si="52"/>
        <v>0</v>
      </c>
      <c r="M134" s="36">
        <f t="shared" si="53"/>
        <v>0</v>
      </c>
    </row>
    <row r="135" spans="2:13" x14ac:dyDescent="0.2">
      <c r="B135" s="232" t="s">
        <v>1180</v>
      </c>
      <c r="C135" s="281">
        <v>500</v>
      </c>
      <c r="D135" s="281">
        <v>317547.07</v>
      </c>
      <c r="E135" s="285">
        <v>33</v>
      </c>
      <c r="F135" s="26">
        <f t="shared" si="48"/>
        <v>9622.6384848484849</v>
      </c>
      <c r="G135" s="36"/>
      <c r="H135" s="26">
        <f t="shared" ref="H135:H141" si="84">F135*E135^0.5</f>
        <v>55277.849601199901</v>
      </c>
      <c r="I135" s="26">
        <f t="shared" ref="I135:I141" si="85">E135^0.5</f>
        <v>5.7445626465380286</v>
      </c>
      <c r="J135" s="26">
        <f t="shared" ref="J135:J141" si="86">C135*E135^0.5</f>
        <v>2872.2813232690141</v>
      </c>
      <c r="K135" s="26"/>
      <c r="L135" s="30">
        <f t="shared" si="52"/>
        <v>0</v>
      </c>
      <c r="M135" s="36">
        <f t="shared" ref="M135:M141" si="87">L135*E135</f>
        <v>0</v>
      </c>
    </row>
    <row r="136" spans="2:13" x14ac:dyDescent="0.2">
      <c r="B136" s="232" t="s">
        <v>1181</v>
      </c>
      <c r="C136" s="281">
        <v>750</v>
      </c>
      <c r="D136" s="281">
        <v>163027</v>
      </c>
      <c r="E136" s="285">
        <v>11</v>
      </c>
      <c r="F136" s="26">
        <f t="shared" si="48"/>
        <v>14820.636363636364</v>
      </c>
      <c r="G136" s="36"/>
      <c r="H136" s="26">
        <f t="shared" si="84"/>
        <v>49154.489972479074</v>
      </c>
      <c r="I136" s="26">
        <f t="shared" si="85"/>
        <v>3.3166247903553998</v>
      </c>
      <c r="J136" s="26">
        <f t="shared" si="86"/>
        <v>2487.46859276655</v>
      </c>
      <c r="K136" s="26"/>
      <c r="L136" s="30">
        <f t="shared" si="52"/>
        <v>0</v>
      </c>
      <c r="M136" s="36">
        <f t="shared" si="87"/>
        <v>0</v>
      </c>
    </row>
    <row r="137" spans="2:13" x14ac:dyDescent="0.2">
      <c r="B137" s="232" t="s">
        <v>1182</v>
      </c>
      <c r="C137" s="281">
        <v>1000</v>
      </c>
      <c r="D137" s="281">
        <v>164149.85</v>
      </c>
      <c r="E137" s="285">
        <v>12</v>
      </c>
      <c r="F137" s="26">
        <f t="shared" si="48"/>
        <v>13679.154166666667</v>
      </c>
      <c r="G137" s="36"/>
      <c r="H137" s="26">
        <f t="shared" si="84"/>
        <v>47385.980042468342</v>
      </c>
      <c r="I137" s="26">
        <f t="shared" si="85"/>
        <v>3.4641016151377544</v>
      </c>
      <c r="J137" s="26">
        <f t="shared" si="86"/>
        <v>3464.1016151377544</v>
      </c>
      <c r="K137" s="26"/>
      <c r="L137" s="30">
        <f t="shared" si="52"/>
        <v>0</v>
      </c>
      <c r="M137" s="36">
        <f t="shared" si="87"/>
        <v>0</v>
      </c>
    </row>
    <row r="138" spans="2:13" x14ac:dyDescent="0.2">
      <c r="B138" s="232" t="s">
        <v>1183</v>
      </c>
      <c r="C138" s="281">
        <v>1000</v>
      </c>
      <c r="D138" s="281">
        <v>438561.85</v>
      </c>
      <c r="E138" s="285">
        <v>56</v>
      </c>
      <c r="F138" s="26">
        <f t="shared" si="48"/>
        <v>7831.4616071428563</v>
      </c>
      <c r="G138" s="36"/>
      <c r="H138" s="26">
        <f t="shared" si="84"/>
        <v>58605.292343205183</v>
      </c>
      <c r="I138" s="26">
        <f t="shared" si="85"/>
        <v>7.4833147735478827</v>
      </c>
      <c r="J138" s="26">
        <f t="shared" si="86"/>
        <v>7483.3147735478824</v>
      </c>
      <c r="K138" s="26"/>
      <c r="L138" s="30">
        <f t="shared" si="52"/>
        <v>0</v>
      </c>
      <c r="M138" s="36">
        <f t="shared" si="87"/>
        <v>0</v>
      </c>
    </row>
    <row r="139" spans="2:13" x14ac:dyDescent="0.2">
      <c r="B139" s="232" t="s">
        <v>1184</v>
      </c>
      <c r="C139" s="281">
        <v>1500</v>
      </c>
      <c r="D139" s="281">
        <v>1111241.02</v>
      </c>
      <c r="E139" s="285">
        <v>62</v>
      </c>
      <c r="F139" s="26">
        <f t="shared" ref="F139" si="88">D139/E139</f>
        <v>17923.242258064518</v>
      </c>
      <c r="G139" s="36"/>
      <c r="H139" s="26">
        <f t="shared" ref="H139" si="89">F139*E139^0.5</f>
        <v>141127.75066782124</v>
      </c>
      <c r="I139" s="26">
        <f t="shared" ref="I139" si="90">E139^0.5</f>
        <v>7.8740078740118111</v>
      </c>
      <c r="J139" s="26">
        <f t="shared" ref="J139" si="91">C139*E139^0.5</f>
        <v>11811.011811017717</v>
      </c>
      <c r="K139" s="26"/>
      <c r="L139" s="30">
        <f t="shared" ref="L139" si="92">IF(C139&gt;50,0,1)</f>
        <v>0</v>
      </c>
      <c r="M139" s="36">
        <f t="shared" ref="M139" si="93">L139*E139</f>
        <v>0</v>
      </c>
    </row>
    <row r="140" spans="2:13" x14ac:dyDescent="0.2">
      <c r="B140" s="232" t="s">
        <v>1185</v>
      </c>
      <c r="C140" s="281">
        <v>1500</v>
      </c>
      <c r="D140" s="281">
        <v>51460</v>
      </c>
      <c r="E140" s="285">
        <v>1</v>
      </c>
      <c r="F140" s="26">
        <f t="shared" si="48"/>
        <v>51460</v>
      </c>
      <c r="G140" s="36"/>
      <c r="H140" s="26">
        <f t="shared" si="84"/>
        <v>51460</v>
      </c>
      <c r="I140" s="26">
        <f t="shared" si="85"/>
        <v>1</v>
      </c>
      <c r="J140" s="26">
        <f t="shared" si="86"/>
        <v>1500</v>
      </c>
      <c r="K140" s="26"/>
      <c r="L140" s="30">
        <f t="shared" si="52"/>
        <v>0</v>
      </c>
      <c r="M140" s="36">
        <f t="shared" si="87"/>
        <v>0</v>
      </c>
    </row>
    <row r="141" spans="2:13" x14ac:dyDescent="0.2">
      <c r="B141" s="232" t="s">
        <v>1186</v>
      </c>
      <c r="C141" s="298">
        <v>2500</v>
      </c>
      <c r="D141" s="281">
        <v>626268.79</v>
      </c>
      <c r="E141" s="285">
        <v>23</v>
      </c>
      <c r="F141" s="26">
        <f t="shared" si="48"/>
        <v>27229.077826086959</v>
      </c>
      <c r="G141" s="36"/>
      <c r="H141" s="26">
        <f t="shared" si="84"/>
        <v>130586.06978908321</v>
      </c>
      <c r="I141" s="26">
        <f t="shared" si="85"/>
        <v>4.7958315233127191</v>
      </c>
      <c r="J141" s="26">
        <f t="shared" si="86"/>
        <v>11989.578808281798</v>
      </c>
      <c r="K141" s="26"/>
      <c r="L141" s="30">
        <f t="shared" si="52"/>
        <v>0</v>
      </c>
      <c r="M141" s="36">
        <f t="shared" si="87"/>
        <v>0</v>
      </c>
    </row>
    <row r="142" spans="2:13" x14ac:dyDescent="0.2">
      <c r="B142" s="27" t="s">
        <v>859</v>
      </c>
      <c r="D142" s="37">
        <f>SUM(D104:D141)</f>
        <v>37808709.070000008</v>
      </c>
      <c r="E142" s="38">
        <f>SUM(E104:E141)</f>
        <v>56636</v>
      </c>
      <c r="M142" s="38">
        <f>SUM(M104:M141)</f>
        <v>55391</v>
      </c>
    </row>
    <row r="144" spans="2:13" x14ac:dyDescent="0.2">
      <c r="B144" s="19" t="s">
        <v>984</v>
      </c>
      <c r="H144" s="305" t="s">
        <v>985</v>
      </c>
      <c r="I144" s="305"/>
    </row>
    <row r="146" spans="2:9" x14ac:dyDescent="0.2">
      <c r="B146" s="14" t="s">
        <v>986</v>
      </c>
      <c r="D146" s="39">
        <f>H146</f>
        <v>11.470736063311929</v>
      </c>
      <c r="H146" s="39">
        <f t="array" ref="H146:I148">LINEST(H104:H141,I104:J141,FALSE,TRUE)</f>
        <v>11.470736063311929</v>
      </c>
      <c r="I146" s="39">
        <v>376.22537587380697</v>
      </c>
    </row>
    <row r="147" spans="2:9" x14ac:dyDescent="0.2">
      <c r="B147" s="14" t="s">
        <v>987</v>
      </c>
      <c r="D147" s="39">
        <f>I146</f>
        <v>376.22537587380697</v>
      </c>
      <c r="H147" s="39">
        <v>0.70467059940440824</v>
      </c>
      <c r="I147" s="39">
        <v>60.626158236508815</v>
      </c>
    </row>
    <row r="148" spans="2:9" x14ac:dyDescent="0.2">
      <c r="B148" s="14" t="s">
        <v>988</v>
      </c>
      <c r="D148" s="40">
        <f>H148</f>
        <v>0.91701318250669661</v>
      </c>
      <c r="H148" s="39">
        <v>0.91701318250669661</v>
      </c>
      <c r="I148" s="39">
        <v>13784.935230929525</v>
      </c>
    </row>
    <row r="149" spans="2:9" x14ac:dyDescent="0.2">
      <c r="H149" s="39"/>
      <c r="I149" s="39"/>
    </row>
    <row r="150" spans="2:9" x14ac:dyDescent="0.2">
      <c r="B150" s="28" t="s">
        <v>989</v>
      </c>
      <c r="C150" s="41"/>
    </row>
    <row r="151" spans="2:9" x14ac:dyDescent="0.2">
      <c r="C151" s="41"/>
      <c r="F151" s="33"/>
    </row>
    <row r="152" spans="2:9" x14ac:dyDescent="0.2">
      <c r="B152" s="14" t="s">
        <v>990</v>
      </c>
      <c r="C152" s="32" t="s">
        <v>1006</v>
      </c>
      <c r="D152" s="36">
        <f>M142</f>
        <v>55391</v>
      </c>
      <c r="F152" s="33" t="s">
        <v>1007</v>
      </c>
    </row>
    <row r="153" spans="2:9" x14ac:dyDescent="0.2">
      <c r="B153" s="14" t="s">
        <v>991</v>
      </c>
      <c r="C153" s="41"/>
      <c r="D153" s="42">
        <f>D147</f>
        <v>376.22537587380697</v>
      </c>
      <c r="E153" s="29"/>
      <c r="F153" s="33" t="s">
        <v>1008</v>
      </c>
    </row>
    <row r="154" spans="2:9" x14ac:dyDescent="0.2">
      <c r="B154" s="14" t="s">
        <v>992</v>
      </c>
      <c r="C154" s="41"/>
      <c r="D154" s="42">
        <f>MIN(F104:F141)</f>
        <v>68.383934426229516</v>
      </c>
    </row>
    <row r="155" spans="2:9" x14ac:dyDescent="0.2">
      <c r="B155" s="14" t="s">
        <v>993</v>
      </c>
      <c r="C155" s="41"/>
      <c r="D155" s="188" t="s">
        <v>1000</v>
      </c>
    </row>
    <row r="156" spans="2:9" x14ac:dyDescent="0.2">
      <c r="B156" s="14" t="s">
        <v>994</v>
      </c>
      <c r="C156" s="41"/>
      <c r="D156" s="43">
        <f>IF(D155="Z",D152*D153,D152*D154)</f>
        <v>20839499.795026042</v>
      </c>
    </row>
    <row r="157" spans="2:9" x14ac:dyDescent="0.2">
      <c r="B157" s="14" t="s">
        <v>995</v>
      </c>
      <c r="C157" s="41"/>
      <c r="D157" s="43">
        <f>D142</f>
        <v>37808709.070000008</v>
      </c>
    </row>
    <row r="158" spans="2:9" x14ac:dyDescent="0.2">
      <c r="B158" s="14" t="s">
        <v>996</v>
      </c>
      <c r="C158" s="41"/>
      <c r="D158" s="44">
        <f>D156/D157</f>
        <v>0.55118252666186673</v>
      </c>
    </row>
    <row r="159" spans="2:9" x14ac:dyDescent="0.2">
      <c r="B159" s="14" t="s">
        <v>997</v>
      </c>
      <c r="C159" s="41"/>
      <c r="D159" s="45">
        <f>D158</f>
        <v>0.55118252666186673</v>
      </c>
    </row>
    <row r="160" spans="2:9" x14ac:dyDescent="0.2">
      <c r="B160" s="14" t="s">
        <v>998</v>
      </c>
      <c r="C160" s="41"/>
      <c r="D160" s="46">
        <f>1-D159</f>
        <v>0.44881747333813327</v>
      </c>
    </row>
    <row r="164" spans="1:17" x14ac:dyDescent="0.2">
      <c r="A164" s="13"/>
      <c r="H164" s="30"/>
    </row>
    <row r="165" spans="1:17" x14ac:dyDescent="0.2">
      <c r="A165" s="13"/>
      <c r="B165" s="161" t="s">
        <v>1009</v>
      </c>
      <c r="C165" s="62" t="s">
        <v>1010</v>
      </c>
      <c r="D165" s="162" t="s">
        <v>10</v>
      </c>
      <c r="E165" s="162" t="s">
        <v>12</v>
      </c>
      <c r="H165" s="62" t="s">
        <v>1052</v>
      </c>
    </row>
    <row r="166" spans="1:17" x14ac:dyDescent="0.2">
      <c r="B166" s="14" t="s">
        <v>201</v>
      </c>
      <c r="C166" s="30">
        <v>365</v>
      </c>
      <c r="D166" s="40">
        <f>D57</f>
        <v>0.71448491175597839</v>
      </c>
      <c r="E166" s="40">
        <f>D56</f>
        <v>0.28551508824402161</v>
      </c>
      <c r="H166" s="192" t="str">
        <f>D52</f>
        <v>Z</v>
      </c>
      <c r="J166" s="199"/>
    </row>
    <row r="167" spans="1:17" x14ac:dyDescent="0.2">
      <c r="B167" s="14" t="s">
        <v>202</v>
      </c>
      <c r="C167" s="30">
        <v>367</v>
      </c>
      <c r="D167" s="40">
        <f>D97</f>
        <v>0.50285684362675975</v>
      </c>
      <c r="E167" s="40">
        <f>D96</f>
        <v>0.49714315637324025</v>
      </c>
      <c r="H167" s="192" t="str">
        <f>D92</f>
        <v>Z</v>
      </c>
      <c r="J167" s="199"/>
      <c r="P167" s="141"/>
      <c r="Q167" s="141"/>
    </row>
    <row r="168" spans="1:17" x14ac:dyDescent="0.2">
      <c r="B168" s="14" t="s">
        <v>203</v>
      </c>
      <c r="C168" s="30">
        <v>368</v>
      </c>
      <c r="D168" s="163">
        <f>D160</f>
        <v>0.44881747333813327</v>
      </c>
      <c r="E168" s="163">
        <f>D159</f>
        <v>0.55118252666186673</v>
      </c>
      <c r="H168" s="192" t="str">
        <f>D155</f>
        <v>Z</v>
      </c>
      <c r="J168" s="199"/>
      <c r="P168" s="141"/>
      <c r="Q168" s="141"/>
    </row>
    <row r="169" spans="1:17" x14ac:dyDescent="0.2">
      <c r="P169" s="141"/>
      <c r="Q169" s="141"/>
    </row>
    <row r="170" spans="1:17" x14ac:dyDescent="0.2">
      <c r="D170" s="40"/>
      <c r="E170" s="40"/>
    </row>
    <row r="171" spans="1:17" x14ac:dyDescent="0.2">
      <c r="D171" s="40"/>
      <c r="E171" s="40"/>
    </row>
    <row r="172" spans="1:17" x14ac:dyDescent="0.2">
      <c r="D172" s="40"/>
      <c r="E172" s="40"/>
    </row>
    <row r="173" spans="1:17" x14ac:dyDescent="0.2">
      <c r="D173" s="163"/>
      <c r="E173" s="163"/>
    </row>
  </sheetData>
  <mergeCells count="4">
    <mergeCell ref="H41:I41"/>
    <mergeCell ref="H81:I81"/>
    <mergeCell ref="L101:M101"/>
    <mergeCell ref="H144:I144"/>
  </mergeCells>
  <pageMargins left="0.7" right="0.7" top="0.75" bottom="0.75" header="0.3" footer="0.3"/>
  <pageSetup scale="58" fitToHeight="3" orientation="landscape" r:id="rId1"/>
  <headerFooter>
    <oddFooter>&amp;RExhibit JW-8
Page &amp;P of &amp;N</oddFooter>
  </headerFooter>
  <rowBreaks count="2" manualBreakCount="2">
    <brk id="58" max="16383" man="1"/>
    <brk id="98" max="16383" man="1"/>
  </rowBreaks>
  <ignoredErrors>
    <ignoredError sqref="D147 D84 D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Summary of Returns</vt:lpstr>
      <vt:lpstr>Summary of Rates</vt:lpstr>
      <vt:lpstr>Func &amp; Classif</vt:lpstr>
      <vt:lpstr>Alloc &amp; Returns</vt:lpstr>
      <vt:lpstr>Billing Det</vt:lpstr>
      <vt:lpstr>Purchased Power</vt:lpstr>
      <vt:lpstr>Meters</vt:lpstr>
      <vt:lpstr>Services</vt:lpstr>
      <vt:lpstr>Line Loss Calculation</vt:lpstr>
      <vt:lpstr>ZeroInt</vt:lpstr>
      <vt:lpstr>'Alloc &amp; Returns'!Print_Area</vt:lpstr>
      <vt:lpstr>'Billing Det'!Print_Area</vt:lpstr>
      <vt:lpstr>'Func &amp; Classif'!Print_Area</vt:lpstr>
      <vt:lpstr>Meters!Print_Area</vt:lpstr>
      <vt:lpstr>'Purchased Power'!Print_Area</vt:lpstr>
      <vt:lpstr>Services!Print_Area</vt:lpstr>
      <vt:lpstr>'Summary of Rates'!Print_Area</vt:lpstr>
      <vt:lpstr>'Summary of Returns'!Print_Area</vt:lpstr>
      <vt:lpstr>'Alloc &amp; Returns'!Print_Titles</vt:lpstr>
      <vt:lpstr>'Billing Det'!Print_Titles</vt:lpstr>
      <vt:lpstr>'Func &amp; Classif'!Print_Titles</vt:lpstr>
      <vt:lpstr>'Purchased Power'!Print_Titles</vt:lpstr>
      <vt:lpstr>ZeroInt!Print_Titles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Wolfram</cp:lastModifiedBy>
  <cp:lastPrinted>2025-02-03T16:00:19Z</cp:lastPrinted>
  <dcterms:created xsi:type="dcterms:W3CDTF">1999-02-10T22:20:33Z</dcterms:created>
  <dcterms:modified xsi:type="dcterms:W3CDTF">2025-02-03T16:00:19Z</dcterms:modified>
</cp:coreProperties>
</file>