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ofirm-my.sharepoint.com/personal/gerald_wuetcher_skofirm_com/Documents/EastLogan_RateCase/"/>
    </mc:Choice>
  </mc:AlternateContent>
  <xr:revisionPtr revIDLastSave="16" documentId="8_{6D49B0A7-09EF-47E3-81BC-EF5D63067221}" xr6:coauthVersionLast="47" xr6:coauthVersionMax="47" xr10:uidLastSave="{BAA72BBE-2599-451C-9323-B0D24CF75B2D}"/>
  <bookViews>
    <workbookView xWindow="-110" yWindow="-110" windowWidth="19420" windowHeight="11500" activeTab="6" xr2:uid="{E03A71BD-D1EA-4D63-A073-EADDB925F9E6}"/>
  </bookViews>
  <sheets>
    <sheet name="SAO" sheetId="1" r:id="rId1"/>
    <sheet name="RR-DC" sheetId="2" r:id="rId2"/>
    <sheet name="Dep" sheetId="3" r:id="rId3"/>
    <sheet name="AvgDebt" sheetId="4" r:id="rId4"/>
    <sheet name="WaterLoss" sheetId="5" r:id="rId5"/>
    <sheet name="Wages" sheetId="6" r:id="rId6"/>
    <sheet name="BAE" sheetId="8" r:id="rId7"/>
    <sheet name="BAP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ge001_e984e181-1915-4c65-bc7f-34878eddb473" name="Page001" connection="Query - Page001"/>
          <x15:modelTable id="Page002_073839d6-4656-4bc2-b8c9-ed81af4c8da6" name="Page002" connection="Query - Page002"/>
          <x15:modelTable id="Page003_b44cde35-90be-49ab-b24f-05455e061dbf" name="Page003" connection="Query - Page003"/>
          <x15:modelTable id="Page004_129a7fc4-55e5-4d0f-9107-4b0da88573dd" name="Page004" connection="Query - Page004"/>
          <x15:modelTable id="Page005_7c203f72-a48d-45a1-ac1a-a6c06fd3028e" name="Page005" connection="Query - Page00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8" l="1"/>
  <c r="J14" i="8"/>
  <c r="J12" i="8"/>
  <c r="J11" i="8"/>
  <c r="J10" i="8"/>
  <c r="K18" i="8"/>
  <c r="K15" i="8"/>
  <c r="K14" i="8"/>
  <c r="K12" i="8"/>
  <c r="K11" i="8"/>
  <c r="K10" i="8"/>
  <c r="P24" i="1"/>
  <c r="J33" i="1"/>
  <c r="N115" i="3"/>
  <c r="M35" i="3"/>
  <c r="M36" i="3"/>
  <c r="N36" i="3" s="1"/>
  <c r="H11" i="3"/>
  <c r="M8" i="3"/>
  <c r="R10" i="3"/>
  <c r="S12" i="3"/>
  <c r="S8" i="3"/>
  <c r="H47" i="3"/>
  <c r="F35" i="3"/>
  <c r="G29" i="3"/>
  <c r="H16" i="3"/>
  <c r="H14" i="3"/>
  <c r="Q6" i="3"/>
  <c r="S6" i="3" s="1"/>
  <c r="Q5" i="3"/>
  <c r="Q87" i="3"/>
  <c r="R87" i="3"/>
  <c r="R5" i="3"/>
  <c r="E115" i="3"/>
  <c r="D115" i="3"/>
  <c r="M113" i="3"/>
  <c r="N113" i="3" s="1"/>
  <c r="G113" i="3"/>
  <c r="H113" i="3" s="1"/>
  <c r="M112" i="3"/>
  <c r="N112" i="3" s="1"/>
  <c r="G112" i="3"/>
  <c r="H112" i="3" s="1"/>
  <c r="M111" i="3"/>
  <c r="N111" i="3" s="1"/>
  <c r="G111" i="3"/>
  <c r="H111" i="3" s="1"/>
  <c r="M110" i="3"/>
  <c r="N110" i="3" s="1"/>
  <c r="G110" i="3"/>
  <c r="H110" i="3" s="1"/>
  <c r="M109" i="3"/>
  <c r="N109" i="3" s="1"/>
  <c r="G109" i="3"/>
  <c r="H109" i="3" s="1"/>
  <c r="M108" i="3"/>
  <c r="N108" i="3" s="1"/>
  <c r="G108" i="3"/>
  <c r="H108" i="3" s="1"/>
  <c r="M107" i="3"/>
  <c r="N107" i="3" s="1"/>
  <c r="G107" i="3"/>
  <c r="H107" i="3" s="1"/>
  <c r="M106" i="3"/>
  <c r="N106" i="3" s="1"/>
  <c r="G106" i="3"/>
  <c r="H106" i="3" s="1"/>
  <c r="M105" i="3"/>
  <c r="N105" i="3" s="1"/>
  <c r="G105" i="3"/>
  <c r="H105" i="3" s="1"/>
  <c r="M104" i="3"/>
  <c r="N104" i="3" s="1"/>
  <c r="G104" i="3"/>
  <c r="H104" i="3" s="1"/>
  <c r="M103" i="3"/>
  <c r="N103" i="3" s="1"/>
  <c r="G103" i="3"/>
  <c r="H103" i="3" s="1"/>
  <c r="M102" i="3"/>
  <c r="N102" i="3" s="1"/>
  <c r="G102" i="3"/>
  <c r="H102" i="3" s="1"/>
  <c r="M101" i="3"/>
  <c r="N101" i="3" s="1"/>
  <c r="G101" i="3"/>
  <c r="H101" i="3" s="1"/>
  <c r="M100" i="3"/>
  <c r="N100" i="3" s="1"/>
  <c r="G100" i="3"/>
  <c r="H100" i="3" s="1"/>
  <c r="M99" i="3"/>
  <c r="N99" i="3" s="1"/>
  <c r="G99" i="3"/>
  <c r="H99" i="3" s="1"/>
  <c r="M98" i="3"/>
  <c r="N98" i="3" s="1"/>
  <c r="G98" i="3"/>
  <c r="H98" i="3" s="1"/>
  <c r="M97" i="3"/>
  <c r="N97" i="3" s="1"/>
  <c r="G97" i="3"/>
  <c r="H97" i="3" s="1"/>
  <c r="M96" i="3"/>
  <c r="N96" i="3" s="1"/>
  <c r="G96" i="3"/>
  <c r="H96" i="3" s="1"/>
  <c r="M95" i="3"/>
  <c r="N95" i="3" s="1"/>
  <c r="G95" i="3"/>
  <c r="H95" i="3" s="1"/>
  <c r="M94" i="3"/>
  <c r="N94" i="3" s="1"/>
  <c r="G94" i="3"/>
  <c r="H94" i="3" s="1"/>
  <c r="M93" i="3"/>
  <c r="N93" i="3" s="1"/>
  <c r="G93" i="3"/>
  <c r="H93" i="3" s="1"/>
  <c r="M92" i="3"/>
  <c r="N92" i="3" s="1"/>
  <c r="G92" i="3"/>
  <c r="H92" i="3" s="1"/>
  <c r="Q91" i="3"/>
  <c r="S91" i="3" s="1"/>
  <c r="M91" i="3"/>
  <c r="N91" i="3" s="1"/>
  <c r="G91" i="3"/>
  <c r="H91" i="3" s="1"/>
  <c r="Q90" i="3"/>
  <c r="S90" i="3" s="1"/>
  <c r="M90" i="3"/>
  <c r="N90" i="3" s="1"/>
  <c r="G90" i="3"/>
  <c r="H90" i="3" s="1"/>
  <c r="Q89" i="3"/>
  <c r="S89" i="3" s="1"/>
  <c r="M89" i="3"/>
  <c r="N89" i="3" s="1"/>
  <c r="G89" i="3"/>
  <c r="H89" i="3" s="1"/>
  <c r="Q88" i="3"/>
  <c r="S88" i="3" s="1"/>
  <c r="M88" i="3"/>
  <c r="N88" i="3" s="1"/>
  <c r="G88" i="3"/>
  <c r="H88" i="3" s="1"/>
  <c r="S87" i="3"/>
  <c r="M87" i="3"/>
  <c r="N87" i="3" s="1"/>
  <c r="G87" i="3"/>
  <c r="H87" i="3" s="1"/>
  <c r="Q86" i="3"/>
  <c r="S86" i="3" s="1"/>
  <c r="M86" i="3"/>
  <c r="G86" i="3"/>
  <c r="H86" i="3" s="1"/>
  <c r="Q85" i="3"/>
  <c r="R85" i="3" s="1"/>
  <c r="M85" i="3"/>
  <c r="N85" i="3" s="1"/>
  <c r="G85" i="3"/>
  <c r="H85" i="3" s="1"/>
  <c r="Q84" i="3"/>
  <c r="S84" i="3" s="1"/>
  <c r="M84" i="3"/>
  <c r="N84" i="3" s="1"/>
  <c r="G84" i="3"/>
  <c r="H84" i="3" s="1"/>
  <c r="Q83" i="3"/>
  <c r="S83" i="3" s="1"/>
  <c r="M83" i="3"/>
  <c r="N83" i="3" s="1"/>
  <c r="G83" i="3"/>
  <c r="H83" i="3" s="1"/>
  <c r="Q82" i="3"/>
  <c r="M82" i="3"/>
  <c r="N82" i="3" s="1"/>
  <c r="G82" i="3"/>
  <c r="H82" i="3" s="1"/>
  <c r="Q81" i="3"/>
  <c r="S81" i="3" s="1"/>
  <c r="M81" i="3"/>
  <c r="N81" i="3" s="1"/>
  <c r="G81" i="3"/>
  <c r="H81" i="3" s="1"/>
  <c r="Q80" i="3"/>
  <c r="R80" i="3" s="1"/>
  <c r="M80" i="3"/>
  <c r="N80" i="3" s="1"/>
  <c r="G80" i="3"/>
  <c r="H80" i="3" s="1"/>
  <c r="Q79" i="3"/>
  <c r="R79" i="3" s="1"/>
  <c r="M79" i="3"/>
  <c r="N79" i="3" s="1"/>
  <c r="G79" i="3"/>
  <c r="H79" i="3" s="1"/>
  <c r="Q78" i="3"/>
  <c r="R78" i="3" s="1"/>
  <c r="M78" i="3"/>
  <c r="N78" i="3" s="1"/>
  <c r="G78" i="3"/>
  <c r="H78" i="3" s="1"/>
  <c r="Q77" i="3"/>
  <c r="S77" i="3" s="1"/>
  <c r="M77" i="3"/>
  <c r="F77" i="3"/>
  <c r="G77" i="3" s="1"/>
  <c r="H77" i="3" s="1"/>
  <c r="Q76" i="3"/>
  <c r="R76" i="3" s="1"/>
  <c r="M76" i="3"/>
  <c r="F76" i="3"/>
  <c r="G76" i="3" s="1"/>
  <c r="H76" i="3" s="1"/>
  <c r="Q75" i="3"/>
  <c r="S75" i="3" s="1"/>
  <c r="M75" i="3"/>
  <c r="F75" i="3"/>
  <c r="G75" i="3" s="1"/>
  <c r="H75" i="3" s="1"/>
  <c r="Q74" i="3"/>
  <c r="S74" i="3" s="1"/>
  <c r="M74" i="3"/>
  <c r="F74" i="3"/>
  <c r="G74" i="3" s="1"/>
  <c r="H74" i="3" s="1"/>
  <c r="Q73" i="3"/>
  <c r="S73" i="3" s="1"/>
  <c r="M73" i="3"/>
  <c r="F73" i="3"/>
  <c r="G73" i="3" s="1"/>
  <c r="H73" i="3" s="1"/>
  <c r="Q72" i="3"/>
  <c r="R72" i="3" s="1"/>
  <c r="M72" i="3"/>
  <c r="F72" i="3"/>
  <c r="G72" i="3" s="1"/>
  <c r="H72" i="3" s="1"/>
  <c r="Q71" i="3"/>
  <c r="S71" i="3" s="1"/>
  <c r="M71" i="3"/>
  <c r="F71" i="3"/>
  <c r="G71" i="3" s="1"/>
  <c r="H71" i="3" s="1"/>
  <c r="Q70" i="3"/>
  <c r="R70" i="3" s="1"/>
  <c r="M70" i="3"/>
  <c r="F70" i="3"/>
  <c r="G70" i="3" s="1"/>
  <c r="H70" i="3" s="1"/>
  <c r="Q69" i="3"/>
  <c r="R69" i="3" s="1"/>
  <c r="M69" i="3"/>
  <c r="N69" i="3" s="1"/>
  <c r="F69" i="3"/>
  <c r="G69" i="3" s="1"/>
  <c r="H69" i="3" s="1"/>
  <c r="Q68" i="3"/>
  <c r="S68" i="3" s="1"/>
  <c r="M68" i="3"/>
  <c r="F68" i="3"/>
  <c r="G68" i="3" s="1"/>
  <c r="H68" i="3" s="1"/>
  <c r="Q67" i="3"/>
  <c r="R67" i="3" s="1"/>
  <c r="M67" i="3"/>
  <c r="F67" i="3"/>
  <c r="G67" i="3" s="1"/>
  <c r="H67" i="3" s="1"/>
  <c r="Q66" i="3"/>
  <c r="R66" i="3" s="1"/>
  <c r="M66" i="3"/>
  <c r="F66" i="3"/>
  <c r="G66" i="3" s="1"/>
  <c r="H66" i="3" s="1"/>
  <c r="Q65" i="3"/>
  <c r="S65" i="3" s="1"/>
  <c r="M65" i="3"/>
  <c r="F65" i="3"/>
  <c r="G65" i="3" s="1"/>
  <c r="H65" i="3" s="1"/>
  <c r="Q64" i="3"/>
  <c r="S64" i="3" s="1"/>
  <c r="M64" i="3"/>
  <c r="F64" i="3"/>
  <c r="G64" i="3" s="1"/>
  <c r="H64" i="3" s="1"/>
  <c r="Q63" i="3"/>
  <c r="S63" i="3" s="1"/>
  <c r="M63" i="3"/>
  <c r="F63" i="3"/>
  <c r="G63" i="3" s="1"/>
  <c r="H63" i="3" s="1"/>
  <c r="Q62" i="3"/>
  <c r="S62" i="3" s="1"/>
  <c r="M62" i="3"/>
  <c r="F62" i="3"/>
  <c r="G62" i="3" s="1"/>
  <c r="H62" i="3" s="1"/>
  <c r="Q61" i="3"/>
  <c r="R61" i="3" s="1"/>
  <c r="M61" i="3"/>
  <c r="F61" i="3"/>
  <c r="G61" i="3" s="1"/>
  <c r="H61" i="3" s="1"/>
  <c r="Q60" i="3"/>
  <c r="R60" i="3" s="1"/>
  <c r="M60" i="3"/>
  <c r="F60" i="3"/>
  <c r="G60" i="3" s="1"/>
  <c r="H60" i="3" s="1"/>
  <c r="Q59" i="3"/>
  <c r="S59" i="3" s="1"/>
  <c r="M59" i="3"/>
  <c r="F59" i="3"/>
  <c r="G59" i="3" s="1"/>
  <c r="H59" i="3" s="1"/>
  <c r="Q58" i="3"/>
  <c r="M58" i="3"/>
  <c r="F58" i="3"/>
  <c r="G58" i="3" s="1"/>
  <c r="H58" i="3" s="1"/>
  <c r="Q57" i="3"/>
  <c r="S57" i="3" s="1"/>
  <c r="M57" i="3"/>
  <c r="F57" i="3"/>
  <c r="G57" i="3" s="1"/>
  <c r="H57" i="3" s="1"/>
  <c r="Q56" i="3"/>
  <c r="R56" i="3" s="1"/>
  <c r="M56" i="3"/>
  <c r="F56" i="3"/>
  <c r="G56" i="3" s="1"/>
  <c r="H56" i="3" s="1"/>
  <c r="Q55" i="3"/>
  <c r="S55" i="3" s="1"/>
  <c r="M55" i="3"/>
  <c r="F55" i="3"/>
  <c r="G55" i="3" s="1"/>
  <c r="H55" i="3" s="1"/>
  <c r="Q54" i="3"/>
  <c r="S54" i="3" s="1"/>
  <c r="M54" i="3"/>
  <c r="F54" i="3"/>
  <c r="G54" i="3" s="1"/>
  <c r="H54" i="3" s="1"/>
  <c r="Q53" i="3"/>
  <c r="S53" i="3" s="1"/>
  <c r="M53" i="3"/>
  <c r="F53" i="3"/>
  <c r="G53" i="3" s="1"/>
  <c r="H53" i="3" s="1"/>
  <c r="Q52" i="3"/>
  <c r="S52" i="3" s="1"/>
  <c r="M52" i="3"/>
  <c r="G52" i="3"/>
  <c r="H52" i="3" s="1"/>
  <c r="Q51" i="3"/>
  <c r="S51" i="3" s="1"/>
  <c r="M51" i="3"/>
  <c r="G51" i="3"/>
  <c r="H51" i="3" s="1"/>
  <c r="Q50" i="3"/>
  <c r="R50" i="3" s="1"/>
  <c r="M50" i="3"/>
  <c r="G50" i="3"/>
  <c r="H50" i="3" s="1"/>
  <c r="Q49" i="3"/>
  <c r="S49" i="3" s="1"/>
  <c r="M49" i="3"/>
  <c r="F49" i="3"/>
  <c r="G49" i="3" s="1"/>
  <c r="H49" i="3" s="1"/>
  <c r="Q48" i="3"/>
  <c r="R48" i="3" s="1"/>
  <c r="M48" i="3"/>
  <c r="F48" i="3"/>
  <c r="G48" i="3" s="1"/>
  <c r="H48" i="3" s="1"/>
  <c r="Q47" i="3"/>
  <c r="S47" i="3" s="1"/>
  <c r="M47" i="3"/>
  <c r="F47" i="3"/>
  <c r="G47" i="3" s="1"/>
  <c r="Q46" i="3"/>
  <c r="S46" i="3" s="1"/>
  <c r="M46" i="3"/>
  <c r="F46" i="3"/>
  <c r="G46" i="3" s="1"/>
  <c r="H46" i="3" s="1"/>
  <c r="Q45" i="3"/>
  <c r="R45" i="3" s="1"/>
  <c r="M45" i="3"/>
  <c r="F45" i="3"/>
  <c r="G45" i="3" s="1"/>
  <c r="H45" i="3" s="1"/>
  <c r="Q44" i="3"/>
  <c r="S44" i="3" s="1"/>
  <c r="M44" i="3"/>
  <c r="F44" i="3"/>
  <c r="G44" i="3" s="1"/>
  <c r="H44" i="3" s="1"/>
  <c r="Q43" i="3"/>
  <c r="S43" i="3" s="1"/>
  <c r="M43" i="3"/>
  <c r="F43" i="3"/>
  <c r="G43" i="3" s="1"/>
  <c r="H43" i="3" s="1"/>
  <c r="Q42" i="3"/>
  <c r="S42" i="3" s="1"/>
  <c r="M42" i="3"/>
  <c r="F42" i="3"/>
  <c r="G42" i="3" s="1"/>
  <c r="H42" i="3" s="1"/>
  <c r="Q41" i="3"/>
  <c r="S41" i="3" s="1"/>
  <c r="M41" i="3"/>
  <c r="F41" i="3"/>
  <c r="G41" i="3" s="1"/>
  <c r="H41" i="3" s="1"/>
  <c r="Q40" i="3"/>
  <c r="S40" i="3" s="1"/>
  <c r="M40" i="3"/>
  <c r="F40" i="3"/>
  <c r="G40" i="3" s="1"/>
  <c r="H40" i="3" s="1"/>
  <c r="Q39" i="3"/>
  <c r="R39" i="3" s="1"/>
  <c r="M39" i="3"/>
  <c r="F39" i="3"/>
  <c r="G39" i="3" s="1"/>
  <c r="H39" i="3" s="1"/>
  <c r="Q38" i="3"/>
  <c r="S38" i="3" s="1"/>
  <c r="M38" i="3"/>
  <c r="F38" i="3"/>
  <c r="G38" i="3" s="1"/>
  <c r="H38" i="3" s="1"/>
  <c r="Q37" i="3"/>
  <c r="R37" i="3" s="1"/>
  <c r="M37" i="3"/>
  <c r="F37" i="3"/>
  <c r="G37" i="3" s="1"/>
  <c r="H37" i="3" s="1"/>
  <c r="Q36" i="3"/>
  <c r="S36" i="3" s="1"/>
  <c r="F36" i="3"/>
  <c r="Q35" i="3"/>
  <c r="R35" i="3" s="1"/>
  <c r="Q34" i="3"/>
  <c r="S34" i="3" s="1"/>
  <c r="M34" i="3"/>
  <c r="F34" i="3"/>
  <c r="G34" i="3" s="1"/>
  <c r="H34" i="3" s="1"/>
  <c r="Q33" i="3"/>
  <c r="M33" i="3"/>
  <c r="F33" i="3"/>
  <c r="G33" i="3" s="1"/>
  <c r="H33" i="3" s="1"/>
  <c r="Q32" i="3"/>
  <c r="S32" i="3" s="1"/>
  <c r="M32" i="3"/>
  <c r="F32" i="3"/>
  <c r="G32" i="3" s="1"/>
  <c r="H32" i="3" s="1"/>
  <c r="Q31" i="3"/>
  <c r="S31" i="3" s="1"/>
  <c r="M31" i="3"/>
  <c r="F31" i="3"/>
  <c r="G31" i="3" s="1"/>
  <c r="H31" i="3" s="1"/>
  <c r="Q30" i="3"/>
  <c r="M30" i="3"/>
  <c r="F30" i="3"/>
  <c r="G30" i="3" s="1"/>
  <c r="H30" i="3" s="1"/>
  <c r="Q29" i="3"/>
  <c r="S29" i="3" s="1"/>
  <c r="M29" i="3"/>
  <c r="F29" i="3"/>
  <c r="H29" i="3" s="1"/>
  <c r="Q28" i="3"/>
  <c r="R28" i="3" s="1"/>
  <c r="M28" i="3"/>
  <c r="F28" i="3"/>
  <c r="G28" i="3" s="1"/>
  <c r="H28" i="3" s="1"/>
  <c r="Q27" i="3"/>
  <c r="S27" i="3" s="1"/>
  <c r="M27" i="3"/>
  <c r="F27" i="3"/>
  <c r="G27" i="3" s="1"/>
  <c r="H27" i="3" s="1"/>
  <c r="Q26" i="3"/>
  <c r="S26" i="3" s="1"/>
  <c r="M26" i="3"/>
  <c r="F26" i="3"/>
  <c r="G26" i="3" s="1"/>
  <c r="H26" i="3" s="1"/>
  <c r="Q25" i="3"/>
  <c r="S25" i="3" s="1"/>
  <c r="M25" i="3"/>
  <c r="F25" i="3"/>
  <c r="G25" i="3" s="1"/>
  <c r="H25" i="3" s="1"/>
  <c r="Q24" i="3"/>
  <c r="S24" i="3" s="1"/>
  <c r="M24" i="3"/>
  <c r="F24" i="3"/>
  <c r="G24" i="3" s="1"/>
  <c r="H24" i="3" s="1"/>
  <c r="Q23" i="3"/>
  <c r="S23" i="3" s="1"/>
  <c r="M23" i="3"/>
  <c r="F23" i="3"/>
  <c r="G23" i="3" s="1"/>
  <c r="H23" i="3" s="1"/>
  <c r="Q22" i="3"/>
  <c r="S22" i="3" s="1"/>
  <c r="M22" i="3"/>
  <c r="F22" i="3"/>
  <c r="G22" i="3" s="1"/>
  <c r="H22" i="3" s="1"/>
  <c r="Q21" i="3"/>
  <c r="S21" i="3" s="1"/>
  <c r="M21" i="3"/>
  <c r="F21" i="3"/>
  <c r="G21" i="3" s="1"/>
  <c r="H21" i="3" s="1"/>
  <c r="Q20" i="3"/>
  <c r="M20" i="3"/>
  <c r="F20" i="3"/>
  <c r="G20" i="3" s="1"/>
  <c r="H20" i="3" s="1"/>
  <c r="Q19" i="3"/>
  <c r="R19" i="3" s="1"/>
  <c r="M19" i="3"/>
  <c r="F19" i="3"/>
  <c r="G19" i="3" s="1"/>
  <c r="H19" i="3" s="1"/>
  <c r="Q18" i="3"/>
  <c r="S18" i="3" s="1"/>
  <c r="M18" i="3"/>
  <c r="F18" i="3"/>
  <c r="G18" i="3" s="1"/>
  <c r="H18" i="3" s="1"/>
  <c r="Q17" i="3"/>
  <c r="S17" i="3" s="1"/>
  <c r="M17" i="3"/>
  <c r="F17" i="3"/>
  <c r="G17" i="3" s="1"/>
  <c r="H17" i="3" s="1"/>
  <c r="Q16" i="3"/>
  <c r="R16" i="3" s="1"/>
  <c r="M16" i="3"/>
  <c r="F16" i="3"/>
  <c r="G16" i="3" s="1"/>
  <c r="Q15" i="3"/>
  <c r="S15" i="3" s="1"/>
  <c r="M15" i="3"/>
  <c r="F15" i="3"/>
  <c r="G15" i="3" s="1"/>
  <c r="H15" i="3" s="1"/>
  <c r="Q14" i="3"/>
  <c r="R14" i="3" s="1"/>
  <c r="M14" i="3"/>
  <c r="F14" i="3"/>
  <c r="G14" i="3" s="1"/>
  <c r="Q13" i="3"/>
  <c r="S13" i="3" s="1"/>
  <c r="M13" i="3"/>
  <c r="F13" i="3"/>
  <c r="G13" i="3" s="1"/>
  <c r="H13" i="3" s="1"/>
  <c r="Q12" i="3"/>
  <c r="M12" i="3"/>
  <c r="F12" i="3"/>
  <c r="G12" i="3" s="1"/>
  <c r="H12" i="3" s="1"/>
  <c r="Q11" i="3"/>
  <c r="R11" i="3" s="1"/>
  <c r="M11" i="3"/>
  <c r="F11" i="3"/>
  <c r="G11" i="3" s="1"/>
  <c r="Q10" i="3"/>
  <c r="S10" i="3" s="1"/>
  <c r="M10" i="3"/>
  <c r="F10" i="3"/>
  <c r="G10" i="3" s="1"/>
  <c r="H10" i="3" s="1"/>
  <c r="Q9" i="3"/>
  <c r="M9" i="3"/>
  <c r="F9" i="3"/>
  <c r="G9" i="3" s="1"/>
  <c r="H9" i="3" s="1"/>
  <c r="Q8" i="3"/>
  <c r="R8" i="3" s="1"/>
  <c r="F8" i="3"/>
  <c r="G8" i="3" s="1"/>
  <c r="H8" i="3" s="1"/>
  <c r="Q7" i="3"/>
  <c r="S7" i="3" s="1"/>
  <c r="M7" i="3"/>
  <c r="F7" i="3"/>
  <c r="G7" i="3" s="1"/>
  <c r="M6" i="3"/>
  <c r="F6" i="3"/>
  <c r="G6" i="3" s="1"/>
  <c r="H6" i="3" s="1"/>
  <c r="M5" i="3"/>
  <c r="F5" i="3"/>
  <c r="N35" i="3" l="1"/>
  <c r="G35" i="3"/>
  <c r="H35" i="3" s="1"/>
  <c r="S69" i="3"/>
  <c r="N45" i="3"/>
  <c r="N15" i="3"/>
  <c r="N8" i="3"/>
  <c r="N57" i="3"/>
  <c r="N11" i="3"/>
  <c r="N74" i="3"/>
  <c r="N19" i="3"/>
  <c r="N20" i="3"/>
  <c r="N28" i="3"/>
  <c r="N60" i="3"/>
  <c r="N31" i="3"/>
  <c r="N24" i="3"/>
  <c r="N77" i="3"/>
  <c r="N56" i="3"/>
  <c r="N26" i="3"/>
  <c r="N12" i="3"/>
  <c r="N71" i="3"/>
  <c r="N22" i="3"/>
  <c r="N30" i="3"/>
  <c r="N53" i="3"/>
  <c r="N9" i="3"/>
  <c r="N23" i="3"/>
  <c r="N75" i="3"/>
  <c r="N62" i="3"/>
  <c r="N25" i="3"/>
  <c r="M115" i="3"/>
  <c r="N34" i="3"/>
  <c r="N50" i="3"/>
  <c r="N6" i="3"/>
  <c r="N13" i="3"/>
  <c r="N58" i="3"/>
  <c r="N16" i="3"/>
  <c r="N39" i="3"/>
  <c r="N10" i="3"/>
  <c r="N32" i="3"/>
  <c r="N47" i="3"/>
  <c r="N63" i="3"/>
  <c r="N70" i="3"/>
  <c r="N33" i="3"/>
  <c r="N18" i="3"/>
  <c r="N42" i="3"/>
  <c r="N73" i="3"/>
  <c r="N7" i="3"/>
  <c r="N54" i="3"/>
  <c r="N51" i="3"/>
  <c r="N66" i="3"/>
  <c r="N59" i="3"/>
  <c r="N21" i="3"/>
  <c r="N29" i="3"/>
  <c r="N37" i="3"/>
  <c r="R38" i="3"/>
  <c r="S45" i="3"/>
  <c r="R25" i="3"/>
  <c r="R53" i="3"/>
  <c r="S72" i="3"/>
  <c r="S66" i="3"/>
  <c r="S79" i="3"/>
  <c r="R86" i="3"/>
  <c r="R57" i="3"/>
  <c r="S50" i="3"/>
  <c r="R54" i="3"/>
  <c r="S14" i="3"/>
  <c r="R42" i="3"/>
  <c r="S48" i="3"/>
  <c r="R62" i="3"/>
  <c r="S37" i="3"/>
  <c r="S11" i="3"/>
  <c r="S67" i="3"/>
  <c r="F115" i="3"/>
  <c r="R40" i="3"/>
  <c r="S19" i="3"/>
  <c r="R43" i="3"/>
  <c r="R59" i="3"/>
  <c r="S39" i="3"/>
  <c r="N48" i="3"/>
  <c r="N68" i="3"/>
  <c r="S80" i="3"/>
  <c r="N5" i="3"/>
  <c r="S16" i="3"/>
  <c r="N40" i="3"/>
  <c r="R64" i="3"/>
  <c r="R44" i="3"/>
  <c r="S85" i="3"/>
  <c r="S5" i="3"/>
  <c r="S28" i="3"/>
  <c r="N49" i="3"/>
  <c r="S56" i="3"/>
  <c r="N17" i="3"/>
  <c r="R36" i="3"/>
  <c r="S60" i="3"/>
  <c r="R73" i="3"/>
  <c r="N86" i="3"/>
  <c r="R13" i="3"/>
  <c r="R32" i="3"/>
  <c r="R49" i="3"/>
  <c r="N65" i="3"/>
  <c r="R77" i="3"/>
  <c r="R81" i="3"/>
  <c r="R21" i="3"/>
  <c r="N41" i="3"/>
  <c r="N61" i="3"/>
  <c r="R26" i="3"/>
  <c r="R84" i="3"/>
  <c r="R71" i="3"/>
  <c r="R23" i="3"/>
  <c r="R63" i="3"/>
  <c r="R15" i="3"/>
  <c r="N43" i="3"/>
  <c r="R12" i="3"/>
  <c r="S35" i="3"/>
  <c r="N72" i="3"/>
  <c r="S76" i="3"/>
  <c r="R52" i="3"/>
  <c r="N64" i="3"/>
  <c r="G36" i="3"/>
  <c r="H36" i="3" s="1"/>
  <c r="N44" i="3"/>
  <c r="S20" i="3"/>
  <c r="R20" i="3"/>
  <c r="R24" i="3"/>
  <c r="R68" i="3"/>
  <c r="S9" i="3"/>
  <c r="R9" i="3"/>
  <c r="N14" i="3"/>
  <c r="S61" i="3"/>
  <c r="N67" i="3"/>
  <c r="R31" i="3"/>
  <c r="S58" i="3"/>
  <c r="R58" i="3"/>
  <c r="G5" i="3"/>
  <c r="H5" i="3" s="1"/>
  <c r="S70" i="3"/>
  <c r="R74" i="3"/>
  <c r="S78" i="3"/>
  <c r="N27" i="3"/>
  <c r="R47" i="3"/>
  <c r="R29" i="3"/>
  <c r="N46" i="3"/>
  <c r="S82" i="3"/>
  <c r="R82" i="3"/>
  <c r="N38" i="3"/>
  <c r="R18" i="3"/>
  <c r="R22" i="3"/>
  <c r="S33" i="3"/>
  <c r="R33" i="3"/>
  <c r="R46" i="3"/>
  <c r="S30" i="3"/>
  <c r="R30" i="3"/>
  <c r="R7" i="3"/>
  <c r="R51" i="3"/>
  <c r="N55" i="3"/>
  <c r="R75" i="3"/>
  <c r="R17" i="3"/>
  <c r="R41" i="3"/>
  <c r="R65" i="3"/>
  <c r="R27" i="3"/>
  <c r="R34" i="3"/>
  <c r="R55" i="3"/>
  <c r="R83" i="3"/>
  <c r="N52" i="3"/>
  <c r="N76" i="3"/>
  <c r="R6" i="3"/>
  <c r="H115" i="3" l="1"/>
  <c r="G115" i="3"/>
  <c r="N34" i="1" l="1"/>
  <c r="J34" i="1"/>
  <c r="J18" i="1"/>
  <c r="M14" i="6" l="1"/>
  <c r="J22" i="1"/>
  <c r="J21" i="1"/>
  <c r="J7" i="2"/>
  <c r="J4" i="2"/>
  <c r="J3" i="2"/>
  <c r="T10" i="4"/>
  <c r="R10" i="4"/>
  <c r="T8" i="4"/>
  <c r="R8" i="4"/>
  <c r="T7" i="4"/>
  <c r="R7" i="4"/>
  <c r="T4" i="4"/>
  <c r="R4" i="4"/>
  <c r="I12" i="4"/>
  <c r="I10" i="4"/>
  <c r="E12" i="4"/>
  <c r="F12" i="4"/>
  <c r="D12" i="4"/>
  <c r="D10" i="4"/>
  <c r="F10" i="4"/>
  <c r="E10" i="4"/>
  <c r="I4" i="4" l="1"/>
  <c r="I5" i="4"/>
  <c r="I6" i="4"/>
  <c r="I7" i="4"/>
  <c r="I8" i="4"/>
  <c r="I3" i="4"/>
  <c r="G133" i="8" l="1"/>
  <c r="E133" i="8"/>
  <c r="C133" i="8"/>
  <c r="E132" i="8"/>
  <c r="E135" i="8" s="1"/>
  <c r="D132" i="8"/>
  <c r="D135" i="8" s="1"/>
  <c r="C132" i="8"/>
  <c r="G127" i="8"/>
  <c r="F127" i="8"/>
  <c r="H127" i="8" s="1"/>
  <c r="E127" i="8"/>
  <c r="D127" i="8"/>
  <c r="H125" i="8"/>
  <c r="H124" i="8"/>
  <c r="G123" i="8"/>
  <c r="F123" i="8"/>
  <c r="E116" i="8"/>
  <c r="G116" i="8" s="1"/>
  <c r="C116" i="8"/>
  <c r="E115" i="8"/>
  <c r="E118" i="8" s="1"/>
  <c r="D115" i="8"/>
  <c r="D118" i="8" s="1"/>
  <c r="C115" i="8"/>
  <c r="H91" i="8"/>
  <c r="G110" i="8"/>
  <c r="F110" i="8"/>
  <c r="E110" i="8"/>
  <c r="D110" i="8"/>
  <c r="H108" i="8"/>
  <c r="H107" i="8"/>
  <c r="G106" i="8"/>
  <c r="F106" i="8"/>
  <c r="C99" i="8"/>
  <c r="C98" i="8"/>
  <c r="E98" i="8"/>
  <c r="D98" i="8"/>
  <c r="G98" i="8" s="1"/>
  <c r="H90" i="8"/>
  <c r="F93" i="8"/>
  <c r="E93" i="8"/>
  <c r="D93" i="8"/>
  <c r="G89" i="8"/>
  <c r="F89" i="8"/>
  <c r="C81" i="8"/>
  <c r="C82" i="8"/>
  <c r="C80" i="8"/>
  <c r="E75" i="8"/>
  <c r="I71" i="8"/>
  <c r="D75" i="8"/>
  <c r="D80" i="8" s="1"/>
  <c r="D84" i="8" s="1"/>
  <c r="H70" i="8"/>
  <c r="G70" i="8"/>
  <c r="G73" i="8" s="1"/>
  <c r="F70" i="8"/>
  <c r="G132" i="8" l="1"/>
  <c r="G135" i="8" s="1"/>
  <c r="G115" i="8"/>
  <c r="G118" i="8" s="1"/>
  <c r="H110" i="8"/>
  <c r="D101" i="8"/>
  <c r="G93" i="8"/>
  <c r="E99" i="8" s="1"/>
  <c r="E101" i="8" s="1"/>
  <c r="G80" i="8"/>
  <c r="F75" i="8"/>
  <c r="E80" i="8" s="1"/>
  <c r="G72" i="8"/>
  <c r="G75" i="8" s="1"/>
  <c r="E81" i="8" s="1"/>
  <c r="G99" i="8" l="1"/>
  <c r="G101" i="8" s="1"/>
  <c r="H93" i="8"/>
  <c r="G81" i="8"/>
  <c r="I72" i="8"/>
  <c r="H73" i="8"/>
  <c r="H75" i="8" s="1"/>
  <c r="I75" i="8" l="1"/>
  <c r="E82" i="8"/>
  <c r="I73" i="8"/>
  <c r="G82" i="8" l="1"/>
  <c r="G84" i="8" s="1"/>
  <c r="E84" i="8"/>
  <c r="C63" i="8" l="1"/>
  <c r="C62" i="8"/>
  <c r="C61" i="8"/>
  <c r="C60" i="8"/>
  <c r="I55" i="8"/>
  <c r="E63" i="8" s="1"/>
  <c r="G63" i="8" s="1"/>
  <c r="J53" i="8"/>
  <c r="I49" i="8"/>
  <c r="H49" i="8"/>
  <c r="G49" i="8"/>
  <c r="G52" i="8" s="1"/>
  <c r="F49" i="8"/>
  <c r="F51" i="8" s="1"/>
  <c r="E55" i="8"/>
  <c r="D55" i="8"/>
  <c r="D60" i="8" s="1"/>
  <c r="E32" i="8"/>
  <c r="J9" i="8" s="1"/>
  <c r="F32" i="8"/>
  <c r="G32" i="8"/>
  <c r="E39" i="8" s="1"/>
  <c r="G39" i="8" s="1"/>
  <c r="H32" i="8"/>
  <c r="E40" i="8" s="1"/>
  <c r="G40" i="8" s="1"/>
  <c r="I32" i="8"/>
  <c r="E41" i="8" s="1"/>
  <c r="G41" i="8" s="1"/>
  <c r="J32" i="8"/>
  <c r="E42" i="8" s="1"/>
  <c r="G42" i="8" s="1"/>
  <c r="K27" i="8"/>
  <c r="K28" i="8"/>
  <c r="K29" i="8"/>
  <c r="K30" i="8"/>
  <c r="K26" i="8"/>
  <c r="F52" i="8" l="1"/>
  <c r="K32" i="8"/>
  <c r="E38" i="8"/>
  <c r="E44" i="8" s="1"/>
  <c r="G60" i="8"/>
  <c r="D65" i="8"/>
  <c r="G51" i="8"/>
  <c r="G55" i="8" s="1"/>
  <c r="E61" i="8" s="1"/>
  <c r="G61" i="8" s="1"/>
  <c r="F50" i="8"/>
  <c r="H52" i="8"/>
  <c r="H55" i="8" l="1"/>
  <c r="E62" i="8" s="1"/>
  <c r="G62" i="8" s="1"/>
  <c r="G65" i="8" s="1"/>
  <c r="J52" i="8"/>
  <c r="F55" i="8"/>
  <c r="J50" i="8"/>
  <c r="J51" i="8"/>
  <c r="E60" i="8" l="1"/>
  <c r="E65" i="8" s="1"/>
  <c r="J55" i="8"/>
  <c r="D32" i="8"/>
  <c r="D38" i="8" l="1"/>
  <c r="G38" i="8" s="1"/>
  <c r="G44" i="8" s="1"/>
  <c r="K9" i="8" s="1"/>
  <c r="I9" i="8"/>
  <c r="H14" i="1"/>
  <c r="H13" i="1"/>
  <c r="I10" i="6"/>
  <c r="I9" i="6"/>
  <c r="I7" i="6"/>
  <c r="M7" i="6" s="1"/>
  <c r="I6" i="6"/>
  <c r="I8" i="6"/>
  <c r="I5" i="6"/>
  <c r="M6" i="6"/>
  <c r="M8" i="6"/>
  <c r="M9" i="6"/>
  <c r="M10" i="6"/>
  <c r="M11" i="6"/>
  <c r="M5" i="6"/>
  <c r="G7" i="6"/>
  <c r="G8" i="6"/>
  <c r="G9" i="6"/>
  <c r="G10" i="6"/>
  <c r="G11" i="6"/>
  <c r="G6" i="6"/>
  <c r="G5" i="6"/>
  <c r="M13" i="6" l="1"/>
  <c r="M16" i="6" s="1"/>
  <c r="S5" i="6" l="1"/>
  <c r="S8" i="6" s="1"/>
  <c r="C22" i="5" l="1"/>
  <c r="N5" i="5"/>
  <c r="L3" i="5"/>
  <c r="N3" i="5"/>
  <c r="N2" i="5"/>
  <c r="L2" i="5" l="1"/>
  <c r="J25" i="5"/>
  <c r="J22" i="5"/>
  <c r="J3" i="5"/>
  <c r="J2" i="5"/>
  <c r="C34" i="5"/>
  <c r="C32" i="5"/>
  <c r="C30" i="5"/>
  <c r="E16" i="5"/>
  <c r="C16" i="5"/>
  <c r="J12" i="2"/>
  <c r="N33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18" i="1"/>
  <c r="J32" i="1"/>
  <c r="J35" i="1" s="1"/>
  <c r="H32" i="1"/>
  <c r="H35" i="1" s="1"/>
  <c r="N12" i="1"/>
  <c r="N11" i="1"/>
  <c r="N13" i="1" s="1"/>
  <c r="J13" i="1"/>
  <c r="J14" i="1" s="1"/>
  <c r="N7" i="1"/>
  <c r="N8" i="1"/>
  <c r="N6" i="1"/>
  <c r="N9" i="1" s="1"/>
  <c r="N14" i="1" s="1"/>
  <c r="J9" i="1"/>
  <c r="H9" i="1"/>
  <c r="N32" i="1" l="1"/>
  <c r="N35" i="1" s="1"/>
  <c r="J36" i="1"/>
  <c r="H36" i="1"/>
  <c r="J2" i="2" l="1"/>
  <c r="J6" i="2" s="1"/>
  <c r="J11" i="2" s="1"/>
  <c r="J14" i="2" s="1"/>
  <c r="J17" i="2" s="1"/>
  <c r="N3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E1A93D-FE6D-4FD5-BFC3-F1683EEEAF9B}" name="Query - Page001" description="Connection to the 'Page001' query in the workbook." type="100" refreshedVersion="8" minRefreshableVersion="5">
    <extLst>
      <ext xmlns:x15="http://schemas.microsoft.com/office/spreadsheetml/2010/11/main" uri="{DE250136-89BD-433C-8126-D09CA5730AF9}">
        <x15:connection id="7ebed5f2-7e42-4c78-9c8e-f2eaa5b62615"/>
      </ext>
    </extLst>
  </connection>
  <connection id="2" xr16:uid="{7385A4F1-D0EB-414D-861C-397866818C4D}" keepAlive="1" name="Query - Page001 (2)" description="Connection to the 'Page001 (2)' query in the workbook." type="5" refreshedVersion="0" background="1" saveData="1">
    <dbPr connection="Provider=Microsoft.Mashup.OleDb.1;Data Source=$Workbook$;Location=&quot;Page001 (2)&quot;;Extended Properties=&quot;&quot;" command="SELECT * FROM [Page001 (2)]"/>
  </connection>
  <connection id="3" xr16:uid="{685D1A87-6807-4652-9DDC-6A8A6DF19126}" name="Query - Page002" description="Connection to the 'Page002' query in the workbook." type="100" refreshedVersion="8" minRefreshableVersion="5">
    <extLst>
      <ext xmlns:x15="http://schemas.microsoft.com/office/spreadsheetml/2010/11/main" uri="{DE250136-89BD-433C-8126-D09CA5730AF9}">
        <x15:connection id="84c88a6e-59fb-4e80-be3c-3c332b2e9d47"/>
      </ext>
    </extLst>
  </connection>
  <connection id="4" xr16:uid="{2560ABC3-D7A6-4693-84CC-089CFDD08559}" name="Query - Page003" description="Connection to the 'Page003' query in the workbook." type="100" refreshedVersion="8" minRefreshableVersion="5">
    <extLst>
      <ext xmlns:x15="http://schemas.microsoft.com/office/spreadsheetml/2010/11/main" uri="{DE250136-89BD-433C-8126-D09CA5730AF9}">
        <x15:connection id="4d4190e5-9a2d-4a12-8471-d690e3ab0f5c"/>
      </ext>
    </extLst>
  </connection>
  <connection id="5" xr16:uid="{0E8C66C6-B91E-49C8-9AA5-A3F7557B4008}" name="Query - Page004" description="Connection to the 'Page004' query in the workbook." type="100" refreshedVersion="8" minRefreshableVersion="5">
    <extLst>
      <ext xmlns:x15="http://schemas.microsoft.com/office/spreadsheetml/2010/11/main" uri="{DE250136-89BD-433C-8126-D09CA5730AF9}">
        <x15:connection id="28027ea4-39b1-40c6-a251-9b6be759db6f"/>
      </ext>
    </extLst>
  </connection>
  <connection id="6" xr16:uid="{FDF72AA4-4ADC-42C7-B861-61A1D8D95049}" name="Query - Page005" description="Connection to the 'Page005' query in the workbook." type="100" refreshedVersion="8" minRefreshableVersion="5">
    <extLst>
      <ext xmlns:x15="http://schemas.microsoft.com/office/spreadsheetml/2010/11/main" uri="{DE250136-89BD-433C-8126-D09CA5730AF9}">
        <x15:connection id="2446cfb2-9a43-442c-a468-a4388bc09dcb"/>
      </ext>
    </extLst>
  </connection>
  <connection id="7" xr16:uid="{FEB72161-6CB9-486E-979A-4AC3C02500E1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<sst xmlns="http://schemas.openxmlformats.org/spreadsheetml/2006/main" count="464" uniqueCount="233">
  <si>
    <t>SCHEDULE OF ADJUSTED OPERATIONS - EAST LOGAN WATER DISTRICT - 2024 TEST YEAR</t>
  </si>
  <si>
    <t>Operating Revenues</t>
  </si>
  <si>
    <t>Sales of Water</t>
  </si>
  <si>
    <t>Sales to Residential Customers</t>
  </si>
  <si>
    <t>Sales to Commercial Customers</t>
  </si>
  <si>
    <t>Sales to Public Authorities</t>
  </si>
  <si>
    <t>Total Sales of Water</t>
  </si>
  <si>
    <t>Other Water Revenues</t>
  </si>
  <si>
    <t>Miscellaneous Service Revenues</t>
  </si>
  <si>
    <t>Total Other Water Revenues</t>
  </si>
  <si>
    <t>Total Operating Revenues</t>
  </si>
  <si>
    <t>Test Year</t>
  </si>
  <si>
    <t>Adjustment</t>
  </si>
  <si>
    <t>Ref.</t>
  </si>
  <si>
    <t>Pro Forma</t>
  </si>
  <si>
    <t>Operating Expenses</t>
  </si>
  <si>
    <t>Operation and Maintenance Expenses</t>
  </si>
  <si>
    <t>Salaries and Wages - Employees</t>
  </si>
  <si>
    <t>Salaries and Wages - Officers</t>
  </si>
  <si>
    <t>Employee Pensions and Benefits</t>
  </si>
  <si>
    <t>Purchased Water</t>
  </si>
  <si>
    <t>Purchased Power</t>
  </si>
  <si>
    <t>Materials and Supplies</t>
  </si>
  <si>
    <t>Contractual Services - Acct.</t>
  </si>
  <si>
    <t>Insurance - General Liability</t>
  </si>
  <si>
    <t>Insurance - Worker's Compensation</t>
  </si>
  <si>
    <t>Insurance - Other</t>
  </si>
  <si>
    <t>Bad Debt</t>
  </si>
  <si>
    <t>Miscellaneous Expenses</t>
  </si>
  <si>
    <t>Total Operation and Maintenance Expenses</t>
  </si>
  <si>
    <t>Depreciation Expense</t>
  </si>
  <si>
    <t>Taxes Other Than Income</t>
  </si>
  <si>
    <t>Total Operating Expenses</t>
  </si>
  <si>
    <t>Utility Operating Income</t>
  </si>
  <si>
    <t>Contractual Services - Legal</t>
  </si>
  <si>
    <t>Contractual Services - Other</t>
  </si>
  <si>
    <t>Pro Forma Operating Expenses</t>
  </si>
  <si>
    <t>Plus: Average Annual Debt Principal and Interest Payments</t>
  </si>
  <si>
    <t>Debt Coverage Requirement</t>
  </si>
  <si>
    <t>Total Revenue Requirement</t>
  </si>
  <si>
    <t>Less: Other Operating Revenue</t>
  </si>
  <si>
    <t>Non-operating Revenue</t>
  </si>
  <si>
    <t>Interest Income</t>
  </si>
  <si>
    <t>Revenue Required from Rates</t>
  </si>
  <si>
    <t>Less: Revenue from Sales at Present Rates</t>
  </si>
  <si>
    <t>Required Revenue Increase</t>
  </si>
  <si>
    <t>Required Revenue Increase stated as a Percentage of Revenue at Present Rates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</si>
  <si>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</si>
  <si>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</si>
  <si>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</si>
  <si>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</si>
  <si>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</si>
  <si>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</si>
  <si>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</si>
  <si>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</si>
  <si>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</si>
  <si>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</si>
  <si>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</si>
  <si>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</si>
  <si>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Water Purchased</t>
  </si>
  <si>
    <t>Total</t>
  </si>
  <si>
    <t>Water Sold</t>
  </si>
  <si>
    <t>Water Sales</t>
  </si>
  <si>
    <t>Commercial</t>
  </si>
  <si>
    <t>Residential</t>
  </si>
  <si>
    <t>System Flushing</t>
  </si>
  <si>
    <t>Line Breaks</t>
  </si>
  <si>
    <t>Other Loss</t>
  </si>
  <si>
    <t>Total Water Loss</t>
  </si>
  <si>
    <t>Water Loss %</t>
  </si>
  <si>
    <t>Annual Report Numbers</t>
  </si>
  <si>
    <t>Check</t>
  </si>
  <si>
    <t>Water Loss Above Allowable 15 %</t>
  </si>
  <si>
    <t>ProForma Purchased Water</t>
  </si>
  <si>
    <t>ProForma Purchased Power</t>
  </si>
  <si>
    <t>Water Loss Percentage</t>
  </si>
  <si>
    <t>Allowable for Rate Calculation</t>
  </si>
  <si>
    <t>Adjustment Percentage</t>
  </si>
  <si>
    <t>Adj. %</t>
  </si>
  <si>
    <t>Total Adjustment</t>
  </si>
  <si>
    <t>Total Water Sales</t>
  </si>
  <si>
    <t>Salary and Wage Adjustments</t>
  </si>
  <si>
    <t>Employee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</si>
  <si>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</si>
  <si>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</si>
  <si>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</si>
  <si>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</si>
  <si>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</si>
  <si>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</si>
  <si>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</si>
  <si>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Job Title</t>
  </si>
  <si>
    <t>General Manager (License II Operator)</t>
  </si>
  <si>
    <t>Field Manager (License III Operator)</t>
  </si>
  <si>
    <t>Field Crew (License III Operator)</t>
  </si>
  <si>
    <t>Field Crew (License II Operator)</t>
  </si>
  <si>
    <t>Field Crew</t>
  </si>
  <si>
    <t>Utility Clerk</t>
  </si>
  <si>
    <t>Field Crew (Part-Time)</t>
  </si>
  <si>
    <t>Regular</t>
  </si>
  <si>
    <t>Overtime</t>
  </si>
  <si>
    <t>Current Wages</t>
  </si>
  <si>
    <t>2024 Hours</t>
  </si>
  <si>
    <t xml:space="preserve">Total </t>
  </si>
  <si>
    <t>Salaries</t>
  </si>
  <si>
    <t>ProForma Salaries</t>
  </si>
  <si>
    <t>Less: Test Year Wages</t>
  </si>
  <si>
    <t>FICA Tax</t>
  </si>
  <si>
    <t>FICA Rate</t>
  </si>
  <si>
    <t>Tax Increase/Decrease</t>
  </si>
  <si>
    <t>Total Increase/Decrease in Wages</t>
  </si>
  <si>
    <t>5/8" X 3/4" METERS</t>
  </si>
  <si>
    <t>CURRENT BILLING ANALYSIS - 2024 USAGE &amp; EXISTING RATES</t>
  </si>
  <si>
    <t>EAST LOGAN WATER DISTRICT</t>
  </si>
  <si>
    <t>SUMMARY</t>
  </si>
  <si>
    <t>Gallons</t>
  </si>
  <si>
    <t>Sold</t>
  </si>
  <si>
    <t># of Bills</t>
  </si>
  <si>
    <t>Revenue</t>
  </si>
  <si>
    <t>5/8" X 3/4" Meters</t>
  </si>
  <si>
    <t>1" Meters</t>
  </si>
  <si>
    <t>1 1/2" Meters</t>
  </si>
  <si>
    <t>2" Meters</t>
  </si>
  <si>
    <t>3" Meters</t>
  </si>
  <si>
    <t>4" Meters</t>
  </si>
  <si>
    <t>6" Meters</t>
  </si>
  <si>
    <t>8" Meters</t>
  </si>
  <si>
    <t>Totals</t>
  </si>
  <si>
    <t>Less Billing Adjustments</t>
  </si>
  <si>
    <t>Pro Forma Retail Sales Revenue</t>
  </si>
  <si>
    <t>First</t>
  </si>
  <si>
    <t>Next</t>
  </si>
  <si>
    <t>Over</t>
  </si>
  <si>
    <t>Usage</t>
  </si>
  <si>
    <t>Bills</t>
  </si>
  <si>
    <t>5/8" X 3/4" REVENUE BY RATE INCREMENT</t>
  </si>
  <si>
    <t>Rates</t>
  </si>
  <si>
    <t>1" METERS</t>
  </si>
  <si>
    <t>1" REVENUE BY RATE INCREMENT</t>
  </si>
  <si>
    <t>Rate</t>
  </si>
  <si>
    <t>Firxt</t>
  </si>
  <si>
    <t>1 1/2" METERS</t>
  </si>
  <si>
    <t>YEAR</t>
  </si>
  <si>
    <t>PERIOD</t>
  </si>
  <si>
    <t>NUMBER</t>
  </si>
  <si>
    <t>PAYMENT</t>
  </si>
  <si>
    <t>INTEREST</t>
  </si>
  <si>
    <t>PRINCIPAL</t>
  </si>
  <si>
    <t>BALANCE</t>
  </si>
  <si>
    <t>1 1/2" METERS BY RATE INCREMENT</t>
  </si>
  <si>
    <t>2" METERS</t>
  </si>
  <si>
    <t>2" METERS BY RATE INCREMENT</t>
  </si>
  <si>
    <t>4" METERS</t>
  </si>
  <si>
    <t>4" METERS BY RATE INCREMENT</t>
  </si>
  <si>
    <t>6" METERS</t>
  </si>
  <si>
    <t>6" METERS BY RATE INCREMENT</t>
  </si>
  <si>
    <t>3_Year Average</t>
  </si>
  <si>
    <t>5 Year Average</t>
  </si>
  <si>
    <t>Debt Coverage Requirement:</t>
  </si>
  <si>
    <t>Average Annual Debt Principal and Interest Payments</t>
  </si>
  <si>
    <t>Times :DSC Coverage Ratio</t>
  </si>
  <si>
    <t>Less: Average Annual Principal and Interest Payments</t>
  </si>
  <si>
    <t>Additional Working Capital</t>
  </si>
  <si>
    <t>3-Year</t>
  </si>
  <si>
    <t>5-Year</t>
  </si>
  <si>
    <t>Depreciation Schedule</t>
  </si>
  <si>
    <t>Reported Amounts</t>
  </si>
  <si>
    <t>Proforma Amounts</t>
  </si>
  <si>
    <t>Asset</t>
  </si>
  <si>
    <t>Property Description</t>
  </si>
  <si>
    <t>Date In Service</t>
  </si>
  <si>
    <t>Cost</t>
  </si>
  <si>
    <t>Prior Depreciation</t>
  </si>
  <si>
    <t>Current Depreciation</t>
  </si>
  <si>
    <t>End Depreciation</t>
  </si>
  <si>
    <t>Net Book Value</t>
  </si>
  <si>
    <t>Method</t>
  </si>
  <si>
    <t>Life</t>
  </si>
  <si>
    <t>Adjusted Life</t>
  </si>
  <si>
    <t>Adjusted Depreciation Expense</t>
  </si>
  <si>
    <t>Asset Age</t>
  </si>
  <si>
    <t>Remaining Useful Life - Audit</t>
  </si>
  <si>
    <t>Remaining Useful Life - Proforma</t>
  </si>
  <si>
    <t>S/L</t>
  </si>
  <si>
    <t>Grand Total</t>
  </si>
  <si>
    <t>East Logan Water District</t>
  </si>
  <si>
    <t>Russellville Office Building</t>
  </si>
  <si>
    <t>Fence at Russellville Office</t>
  </si>
  <si>
    <t>Russellville Office Improvements</t>
  </si>
  <si>
    <t>Cemetary Tank Building</t>
  </si>
  <si>
    <t>Russellville Building Improvements</t>
  </si>
  <si>
    <t>100K BTU Heating Unit for Middle</t>
  </si>
  <si>
    <t>3 Ton Central Unit for Office</t>
  </si>
  <si>
    <t>Concrete Pads for Parking Area</t>
  </si>
  <si>
    <t>Sheds for Buildings</t>
  </si>
  <si>
    <t>18 x 40 Carport for Vehicles</t>
  </si>
  <si>
    <t>Distribution Reservoirs</t>
  </si>
  <si>
    <t>Addition to Expansion Project</t>
  </si>
  <si>
    <t>Water Tank Project</t>
  </si>
  <si>
    <t>Transmission and Distribution Mains</t>
  </si>
  <si>
    <t>Trans &amp; Dist</t>
  </si>
  <si>
    <t>Transmission &amp; Dist Mains</t>
  </si>
  <si>
    <t>Expansion Project</t>
  </si>
  <si>
    <t>2800' 4 Main Laid and Contributed</t>
  </si>
  <si>
    <t>700' of 3 Main Laid and Contributed</t>
  </si>
  <si>
    <t>Bismark Lane Addition</t>
  </si>
  <si>
    <t>J Will Stewart Road Line Extension</t>
  </si>
  <si>
    <t>Duncan Chapel Road Pump Station</t>
  </si>
  <si>
    <t>Rockwell Project Line Extensions</t>
  </si>
  <si>
    <t>Additions to Duncan Chapel Rd</t>
  </si>
  <si>
    <t>Phase II System Upgrade</t>
  </si>
  <si>
    <t>Iron Mountain Road Line Extension</t>
  </si>
  <si>
    <t>Chandlers Pump Station Building</t>
  </si>
  <si>
    <t>E Belcher Road Line Extension</t>
  </si>
  <si>
    <t>Mott's Lick Creek Line Extension</t>
  </si>
  <si>
    <t>HWY 100 Relocation</t>
  </si>
  <si>
    <t>Phase II System Upgrade Additions</t>
  </si>
  <si>
    <t>Phase III System Upgrade Project</t>
  </si>
  <si>
    <t>Oakvue Lane/Coles/Quarry Rd.</t>
  </si>
  <si>
    <t>Belcher RD Additional Costs</t>
  </si>
  <si>
    <t>Sharps Garden Road Line Extension</t>
  </si>
  <si>
    <t>ELWD/LTRWC Territory Expansion</t>
  </si>
  <si>
    <t>79/Motts Lick Relocation</t>
  </si>
  <si>
    <t>Lindsey Lane Waterline Project</t>
  </si>
  <si>
    <t>Ellis Rd Waterline Extension</t>
  </si>
  <si>
    <t>15/15/14</t>
  </si>
  <si>
    <t>Quarry Road Line Addition</t>
  </si>
  <si>
    <t>SCADA Computer, Setup, Software</t>
  </si>
  <si>
    <t>CIAC-LCHS Meter and Vault Project</t>
  </si>
  <si>
    <t>Hwy 79 Meter Service Repl Project</t>
  </si>
  <si>
    <t>CIAC-Hwy 79 Meter Service REPL</t>
  </si>
  <si>
    <t>CIAC Danny Moore Howlett RD EX</t>
  </si>
  <si>
    <t>Ethermeters to Friendship Montgomery</t>
  </si>
  <si>
    <t>Cumberland Service Line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</si>
</sst>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0.00000"/>
    <numFmt numFmtId="168" formatCode="_(* #,##0.00000_);_(* \(#,##0.00000\);_(* &quot;-&quot;??_);_(@_)"/>
    <numFmt numFmtId="169" formatCode="m/dd/yy;@"/>
    <numFmt numFmtId="170" formatCode="m/d/yy;@"/>
  </numFmts>
  <fonts count="1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vertAlign val="superscript"/>
      <sz val="16"/>
      <name val="Arial"/>
      <family val="2"/>
    </font>
    <font>
      <b/>
      <sz val="22"/>
      <name val="Arial"/>
      <family val="2"/>
    </font>
    <font>
      <vertAlign val="superscript"/>
      <sz val="26"/>
      <name val="Arial"/>
      <family val="2"/>
    </font>
    <font>
      <b/>
      <vertAlign val="superscript"/>
      <sz val="2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D9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3" xfId="1" applyNumberFormat="1" applyFont="1" applyBorder="1"/>
    <xf numFmtId="165" fontId="0" fillId="0" borderId="0" xfId="2" applyNumberFormat="1" applyFont="1"/>
    <xf numFmtId="164" fontId="0" fillId="0" borderId="2" xfId="0" applyNumberFormat="1" applyBorder="1"/>
    <xf numFmtId="165" fontId="0" fillId="0" borderId="2" xfId="2" applyNumberFormat="1" applyFont="1" applyBorder="1"/>
    <xf numFmtId="165" fontId="0" fillId="0" borderId="0" xfId="0" applyNumberFormat="1"/>
    <xf numFmtId="164" fontId="0" fillId="0" borderId="4" xfId="0" applyNumberFormat="1" applyBorder="1"/>
    <xf numFmtId="10" fontId="0" fillId="0" borderId="4" xfId="3" applyNumberFormat="1" applyFont="1" applyBorder="1"/>
    <xf numFmtId="0" fontId="2" fillId="0" borderId="2" xfId="0" applyFont="1" applyBorder="1"/>
    <xf numFmtId="164" fontId="0" fillId="0" borderId="4" xfId="1" applyNumberFormat="1" applyFont="1" applyBorder="1"/>
    <xf numFmtId="10" fontId="0" fillId="0" borderId="0" xfId="0" applyNumberFormat="1"/>
    <xf numFmtId="10" fontId="0" fillId="0" borderId="2" xfId="0" applyNumberFormat="1" applyBorder="1"/>
    <xf numFmtId="10" fontId="0" fillId="0" borderId="4" xfId="0" applyNumberFormat="1" applyBorder="1"/>
    <xf numFmtId="165" fontId="0" fillId="0" borderId="2" xfId="0" applyNumberFormat="1" applyBorder="1"/>
    <xf numFmtId="165" fontId="0" fillId="0" borderId="4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0" fillId="0" borderId="0" xfId="2" applyFont="1"/>
    <xf numFmtId="43" fontId="0" fillId="0" borderId="0" xfId="1" applyFont="1"/>
    <xf numFmtId="44" fontId="0" fillId="0" borderId="0" xfId="0" applyNumberFormat="1"/>
    <xf numFmtId="43" fontId="0" fillId="0" borderId="0" xfId="0" applyNumberFormat="1"/>
    <xf numFmtId="43" fontId="0" fillId="0" borderId="2" xfId="1" applyFont="1" applyBorder="1"/>
    <xf numFmtId="43" fontId="0" fillId="0" borderId="2" xfId="0" applyNumberFormat="1" applyBorder="1"/>
    <xf numFmtId="44" fontId="0" fillId="0" borderId="4" xfId="0" applyNumberFormat="1" applyBorder="1"/>
    <xf numFmtId="1" fontId="0" fillId="0" borderId="0" xfId="0" applyNumberFormat="1"/>
    <xf numFmtId="166" fontId="0" fillId="0" borderId="2" xfId="1" applyNumberFormat="1" applyFont="1" applyBorder="1"/>
    <xf numFmtId="164" fontId="0" fillId="0" borderId="6" xfId="1" applyNumberFormat="1" applyFont="1" applyBorder="1"/>
    <xf numFmtId="43" fontId="0" fillId="0" borderId="6" xfId="1" applyFont="1" applyBorder="1"/>
    <xf numFmtId="44" fontId="0" fillId="0" borderId="6" xfId="2" applyFont="1" applyBorder="1"/>
    <xf numFmtId="165" fontId="0" fillId="0" borderId="6" xfId="2" applyNumberFormat="1" applyFont="1" applyBorder="1"/>
    <xf numFmtId="164" fontId="0" fillId="0" borderId="6" xfId="1" applyNumberFormat="1" applyFont="1" applyBorder="1" applyAlignment="1">
      <alignment horizontal="center"/>
    </xf>
    <xf numFmtId="168" fontId="0" fillId="0" borderId="6" xfId="1" applyNumberFormat="1" applyFont="1" applyBorder="1"/>
    <xf numFmtId="0" fontId="0" fillId="0" borderId="6" xfId="1" applyNumberFormat="1" applyFont="1" applyBorder="1"/>
    <xf numFmtId="0" fontId="0" fillId="0" borderId="1" xfId="0" applyBorder="1"/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6" xfId="0" applyNumberFormat="1" applyBorder="1"/>
    <xf numFmtId="164" fontId="0" fillId="0" borderId="6" xfId="0" applyNumberFormat="1" applyBorder="1"/>
    <xf numFmtId="8" fontId="0" fillId="0" borderId="6" xfId="0" applyNumberFormat="1" applyBorder="1"/>
    <xf numFmtId="167" fontId="0" fillId="0" borderId="6" xfId="0" applyNumberFormat="1" applyBorder="1"/>
    <xf numFmtId="165" fontId="0" fillId="0" borderId="6" xfId="0" applyNumberForma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9" fontId="0" fillId="0" borderId="2" xfId="0" applyNumberFormat="1" applyBorder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5" fillId="0" borderId="0" xfId="0" applyNumberFormat="1" applyFont="1" applyAlignment="1">
      <alignment vertical="top"/>
    </xf>
    <xf numFmtId="0" fontId="0" fillId="0" borderId="0" xfId="0" applyAlignment="1">
      <alignment horizontal="left" vertical="top"/>
    </xf>
    <xf numFmtId="0" fontId="10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0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left" vertical="top"/>
    </xf>
    <xf numFmtId="169" fontId="11" fillId="0" borderId="6" xfId="0" applyNumberFormat="1" applyFont="1" applyBorder="1" applyAlignment="1">
      <alignment horizontal="center" vertical="top"/>
    </xf>
    <xf numFmtId="43" fontId="11" fillId="0" borderId="6" xfId="1" applyFont="1" applyFill="1" applyBorder="1" applyAlignment="1">
      <alignment horizontal="left" vertical="top"/>
    </xf>
    <xf numFmtId="43" fontId="11" fillId="0" borderId="6" xfId="0" applyNumberFormat="1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top"/>
    </xf>
    <xf numFmtId="14" fontId="11" fillId="0" borderId="6" xfId="0" applyNumberFormat="1" applyFont="1" applyBorder="1" applyAlignment="1">
      <alignment horizontal="left" vertical="top"/>
    </xf>
    <xf numFmtId="170" fontId="11" fillId="0" borderId="6" xfId="0" applyNumberFormat="1" applyFont="1" applyBorder="1" applyAlignment="1">
      <alignment horizontal="center" vertical="top"/>
    </xf>
    <xf numFmtId="43" fontId="11" fillId="0" borderId="6" xfId="1" applyFont="1" applyFill="1" applyBorder="1" applyAlignment="1">
      <alignment horizontal="center" vertical="top"/>
    </xf>
    <xf numFmtId="0" fontId="11" fillId="0" borderId="6" xfId="1" applyNumberFormat="1" applyFont="1" applyFill="1" applyBorder="1" applyAlignment="1">
      <alignment horizontal="center" vertical="top"/>
    </xf>
    <xf numFmtId="0" fontId="11" fillId="0" borderId="6" xfId="0" applyFont="1" applyBorder="1" applyAlignment="1">
      <alignment vertical="top"/>
    </xf>
    <xf numFmtId="43" fontId="11" fillId="0" borderId="6" xfId="0" applyNumberFormat="1" applyFont="1" applyBorder="1" applyAlignment="1">
      <alignment vertical="top"/>
    </xf>
    <xf numFmtId="43" fontId="11" fillId="0" borderId="6" xfId="1" applyFont="1" applyFill="1" applyBorder="1" applyAlignment="1">
      <alignment vertical="top"/>
    </xf>
    <xf numFmtId="1" fontId="11" fillId="0" borderId="6" xfId="0" applyNumberFormat="1" applyFont="1" applyBorder="1" applyAlignment="1">
      <alignment horizontal="center" vertical="top"/>
    </xf>
    <xf numFmtId="0" fontId="11" fillId="0" borderId="6" xfId="1" applyNumberFormat="1" applyFont="1" applyFill="1" applyBorder="1" applyAlignment="1">
      <alignment horizontal="center" vertical="center"/>
    </xf>
    <xf numFmtId="43" fontId="11" fillId="3" borderId="6" xfId="1" applyFont="1" applyFill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0" fontId="14" fillId="0" borderId="6" xfId="0" applyFont="1" applyBorder="1" applyAlignment="1">
      <alignment vertical="top"/>
    </xf>
    <xf numFmtId="170" fontId="14" fillId="0" borderId="6" xfId="0" applyNumberFormat="1" applyFont="1" applyBorder="1" applyAlignment="1">
      <alignment horizontal="center" vertical="top"/>
    </xf>
    <xf numFmtId="43" fontId="14" fillId="0" borderId="6" xfId="0" applyNumberFormat="1" applyFont="1" applyBorder="1" applyAlignment="1">
      <alignment vertical="top"/>
    </xf>
    <xf numFmtId="0" fontId="14" fillId="0" borderId="6" xfId="0" applyFont="1" applyBorder="1" applyAlignment="1">
      <alignment horizontal="center" vertical="top"/>
    </xf>
    <xf numFmtId="1" fontId="13" fillId="0" borderId="6" xfId="0" applyNumberFormat="1" applyFont="1" applyBorder="1" applyAlignment="1">
      <alignment horizontal="center" vertical="top"/>
    </xf>
    <xf numFmtId="169" fontId="11" fillId="0" borderId="6" xfId="0" applyNumberFormat="1" applyFont="1" applyBorder="1" applyAlignment="1">
      <alignment vertical="top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left" vertical="top"/>
    </xf>
    <xf numFmtId="169" fontId="11" fillId="0" borderId="10" xfId="0" applyNumberFormat="1" applyFont="1" applyBorder="1" applyAlignment="1">
      <alignment horizontal="center" vertical="top"/>
    </xf>
    <xf numFmtId="43" fontId="11" fillId="0" borderId="10" xfId="1" applyFont="1" applyFill="1" applyBorder="1" applyAlignment="1">
      <alignment horizontal="left" vertical="top"/>
    </xf>
    <xf numFmtId="0" fontId="11" fillId="0" borderId="11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43" fontId="11" fillId="0" borderId="10" xfId="0" applyNumberFormat="1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1" fillId="0" borderId="8" xfId="0" applyFont="1" applyBorder="1" applyAlignment="1">
      <alignment horizontal="left" vertical="top"/>
    </xf>
    <xf numFmtId="169" fontId="10" fillId="4" borderId="10" xfId="0" applyNumberFormat="1" applyFont="1" applyFill="1" applyBorder="1" applyAlignment="1">
      <alignment horizontal="center" vertical="top"/>
    </xf>
    <xf numFmtId="43" fontId="10" fillId="4" borderId="10" xfId="1" applyFont="1" applyFill="1" applyBorder="1" applyAlignment="1">
      <alignment horizontal="left" vertical="top"/>
    </xf>
    <xf numFmtId="0" fontId="9" fillId="0" borderId="0" xfId="0" applyFont="1" applyAlignment="1">
      <alignment vertical="top"/>
    </xf>
    <xf numFmtId="43" fontId="10" fillId="0" borderId="9" xfId="0" applyNumberFormat="1" applyFont="1" applyBorder="1" applyAlignment="1">
      <alignment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69" fontId="11" fillId="0" borderId="0" xfId="0" applyNumberFormat="1" applyFont="1" applyAlignment="1">
      <alignment horizontal="center" vertical="top"/>
    </xf>
    <xf numFmtId="43" fontId="11" fillId="0" borderId="0" xfId="1" applyFont="1" applyFill="1" applyBorder="1" applyAlignment="1">
      <alignment horizontal="left" vertical="top"/>
    </xf>
    <xf numFmtId="43" fontId="11" fillId="0" borderId="0" xfId="1" applyFont="1" applyFill="1" applyBorder="1" applyAlignment="1">
      <alignment horizontal="center" vertical="top"/>
    </xf>
    <xf numFmtId="0" fontId="11" fillId="0" borderId="0" xfId="1" applyNumberFormat="1" applyFont="1" applyFill="1" applyBorder="1" applyAlignment="1">
      <alignment horizontal="center" vertical="top"/>
    </xf>
    <xf numFmtId="43" fontId="11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169" fontId="10" fillId="0" borderId="0" xfId="0" applyNumberFormat="1" applyFont="1" applyAlignment="1">
      <alignment horizontal="center" vertical="top"/>
    </xf>
    <xf numFmtId="43" fontId="10" fillId="0" borderId="0" xfId="1" applyFont="1" applyFill="1" applyBorder="1" applyAlignment="1">
      <alignment horizontal="left" vertical="top"/>
    </xf>
    <xf numFmtId="43" fontId="10" fillId="0" borderId="0" xfId="0" applyNumberFormat="1" applyFont="1" applyAlignment="1">
      <alignment horizontal="center" vertical="top"/>
    </xf>
    <xf numFmtId="1" fontId="14" fillId="0" borderId="6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3" fontId="10" fillId="0" borderId="11" xfId="0" applyNumberFormat="1" applyFont="1" applyBorder="1" applyAlignment="1">
      <alignment horizontal="center" vertical="top"/>
    </xf>
    <xf numFmtId="43" fontId="10" fillId="0" borderId="8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43" fontId="10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0" fillId="0" borderId="2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2883-19A4-409D-9F1C-0DA3581A4582}">
  <dimension ref="B1:P36"/>
  <sheetViews>
    <sheetView topLeftCell="A12" zoomScale="80" zoomScaleNormal="80" workbookViewId="0">
      <selection activeCell="U19" sqref="U19"/>
    </sheetView>
  </sheetViews>
  <sheetFormatPr defaultRowHeight="15.5" x14ac:dyDescent="0.35"/>
  <cols>
    <col min="2" max="3" width="2.3046875" customWidth="1"/>
    <col min="8" max="8" width="12.4609375" bestFit="1" customWidth="1"/>
    <col min="9" max="9" width="2.3046875" customWidth="1"/>
    <col min="10" max="10" width="12" bestFit="1" customWidth="1"/>
    <col min="11" max="11" width="2.3046875" customWidth="1"/>
    <col min="12" max="12" width="4.07421875" bestFit="1" customWidth="1"/>
    <col min="13" max="13" width="2.3046875" customWidth="1"/>
    <col min="14" max="14" width="12.4609375" bestFit="1" customWidth="1"/>
  </cols>
  <sheetData>
    <row r="1" spans="2:14" ht="16" thickBo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2:14" x14ac:dyDescent="0.3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35">
      <c r="H3" s="4" t="s">
        <v>11</v>
      </c>
      <c r="J3" s="4" t="s">
        <v>12</v>
      </c>
      <c r="L3" s="4" t="s">
        <v>13</v>
      </c>
      <c r="N3" s="4" t="s">
        <v>14</v>
      </c>
    </row>
    <row r="4" spans="2:14" x14ac:dyDescent="0.35">
      <c r="B4" s="2" t="s">
        <v>1</v>
      </c>
    </row>
    <row r="5" spans="2:14" x14ac:dyDescent="0.35">
      <c r="C5" t="s">
        <v>2</v>
      </c>
    </row>
    <row r="6" spans="2:14" x14ac:dyDescent="0.35">
      <c r="D6" t="s">
        <v>3</v>
      </c>
      <c r="H6" s="9">
        <v>1911944</v>
      </c>
      <c r="J6" s="6"/>
      <c r="N6" s="9">
        <f>SUM(H6,J6)</f>
        <v>1911944</v>
      </c>
    </row>
    <row r="7" spans="2:14" x14ac:dyDescent="0.35">
      <c r="D7" t="s">
        <v>4</v>
      </c>
      <c r="H7" s="6">
        <v>312975</v>
      </c>
      <c r="J7" s="6"/>
      <c r="N7" s="6">
        <f>SUM(H7,J7)</f>
        <v>312975</v>
      </c>
    </row>
    <row r="8" spans="2:14" x14ac:dyDescent="0.35">
      <c r="D8" t="s">
        <v>5</v>
      </c>
      <c r="H8" s="7"/>
      <c r="J8" s="7"/>
      <c r="N8" s="6">
        <f>SUM(H8,J8)</f>
        <v>0</v>
      </c>
    </row>
    <row r="9" spans="2:14" x14ac:dyDescent="0.35">
      <c r="C9" t="s">
        <v>6</v>
      </c>
      <c r="H9" s="8">
        <f>SUM(H6:H8)</f>
        <v>2224919</v>
      </c>
      <c r="J9" s="8">
        <f>SUM(J6:J8)</f>
        <v>0</v>
      </c>
      <c r="N9" s="8">
        <f>SUM(N6:N8)</f>
        <v>2224919</v>
      </c>
    </row>
    <row r="10" spans="2:14" x14ac:dyDescent="0.35">
      <c r="C10" t="s">
        <v>7</v>
      </c>
    </row>
    <row r="11" spans="2:14" x14ac:dyDescent="0.35">
      <c r="D11" t="s">
        <v>8</v>
      </c>
      <c r="H11" s="6">
        <v>45640</v>
      </c>
      <c r="N11" s="6">
        <f>SUM(H11,J11)</f>
        <v>45640</v>
      </c>
    </row>
    <row r="12" spans="2:14" x14ac:dyDescent="0.35">
      <c r="D12" t="s">
        <v>7</v>
      </c>
      <c r="H12" s="5"/>
      <c r="J12" s="5"/>
      <c r="N12" s="7">
        <f>SUM(H12,J12)</f>
        <v>0</v>
      </c>
    </row>
    <row r="13" spans="2:14" x14ac:dyDescent="0.35">
      <c r="C13" t="s">
        <v>9</v>
      </c>
      <c r="H13" s="10">
        <f>SUM(H11:H12)</f>
        <v>45640</v>
      </c>
      <c r="J13" s="10">
        <f>SUM(J11:J12)</f>
        <v>0</v>
      </c>
      <c r="N13" s="10">
        <f>SUM(N11:N12)</f>
        <v>45640</v>
      </c>
    </row>
    <row r="14" spans="2:14" x14ac:dyDescent="0.35">
      <c r="B14" s="2" t="s">
        <v>10</v>
      </c>
      <c r="H14" s="10">
        <f>H13+H9</f>
        <v>2270559</v>
      </c>
      <c r="J14" s="10">
        <f>J13+J9</f>
        <v>0</v>
      </c>
      <c r="N14" s="10">
        <f>N13+N9</f>
        <v>2270559</v>
      </c>
    </row>
    <row r="16" spans="2:14" x14ac:dyDescent="0.35">
      <c r="B16" s="2" t="s">
        <v>15</v>
      </c>
    </row>
    <row r="17" spans="3:16" x14ac:dyDescent="0.35">
      <c r="C17" t="s">
        <v>16</v>
      </c>
    </row>
    <row r="18" spans="3:16" x14ac:dyDescent="0.35">
      <c r="D18" t="s">
        <v>17</v>
      </c>
      <c r="H18" s="6">
        <v>376829</v>
      </c>
      <c r="J18" s="6">
        <f>Wages!M16</f>
        <v>1605.5025000000023</v>
      </c>
      <c r="N18" s="6">
        <f>SUM(H18,J18)</f>
        <v>378434.5025</v>
      </c>
    </row>
    <row r="19" spans="3:16" x14ac:dyDescent="0.35">
      <c r="D19" t="s">
        <v>18</v>
      </c>
      <c r="H19" s="6">
        <v>10800</v>
      </c>
      <c r="N19" s="6">
        <f t="shared" ref="N19:N31" si="0">SUM(H19,J19)</f>
        <v>10800</v>
      </c>
    </row>
    <row r="20" spans="3:16" x14ac:dyDescent="0.35">
      <c r="D20" t="s">
        <v>19</v>
      </c>
      <c r="H20" s="6">
        <v>7195</v>
      </c>
      <c r="N20" s="6">
        <f t="shared" si="0"/>
        <v>7195</v>
      </c>
    </row>
    <row r="21" spans="3:16" x14ac:dyDescent="0.35">
      <c r="D21" t="s">
        <v>20</v>
      </c>
      <c r="H21" s="6">
        <v>1066466</v>
      </c>
      <c r="J21" s="6">
        <f>-WaterLoss!N2</f>
        <v>-123319.91312683446</v>
      </c>
      <c r="N21" s="6">
        <f t="shared" si="0"/>
        <v>943146.08687316556</v>
      </c>
    </row>
    <row r="22" spans="3:16" x14ac:dyDescent="0.35">
      <c r="D22" t="s">
        <v>21</v>
      </c>
      <c r="H22" s="6">
        <v>13051</v>
      </c>
      <c r="J22" s="6">
        <f>-WaterLoss!N3</f>
        <v>-1509.1415818397554</v>
      </c>
      <c r="N22" s="6">
        <f t="shared" si="0"/>
        <v>11541.858418160245</v>
      </c>
    </row>
    <row r="23" spans="3:16" x14ac:dyDescent="0.35">
      <c r="D23" t="s">
        <v>22</v>
      </c>
      <c r="H23" s="6">
        <v>224624</v>
      </c>
      <c r="N23" s="6">
        <f t="shared" si="0"/>
        <v>224624</v>
      </c>
    </row>
    <row r="24" spans="3:16" x14ac:dyDescent="0.35">
      <c r="D24" t="s">
        <v>23</v>
      </c>
      <c r="H24" s="6">
        <v>10945</v>
      </c>
      <c r="N24" s="6">
        <f t="shared" si="0"/>
        <v>10945</v>
      </c>
      <c r="P24" s="41">
        <f>SUM(H24:H26)</f>
        <v>65005</v>
      </c>
    </row>
    <row r="25" spans="3:16" x14ac:dyDescent="0.35">
      <c r="D25" t="s">
        <v>34</v>
      </c>
      <c r="H25" s="6">
        <v>3744</v>
      </c>
      <c r="N25" s="6">
        <f t="shared" si="0"/>
        <v>3744</v>
      </c>
    </row>
    <row r="26" spans="3:16" x14ac:dyDescent="0.35">
      <c r="D26" t="s">
        <v>35</v>
      </c>
      <c r="H26" s="6">
        <v>50316</v>
      </c>
      <c r="N26" s="6">
        <f t="shared" si="0"/>
        <v>50316</v>
      </c>
    </row>
    <row r="27" spans="3:16" x14ac:dyDescent="0.35">
      <c r="D27" t="s">
        <v>24</v>
      </c>
      <c r="H27" s="6">
        <v>27891</v>
      </c>
      <c r="N27" s="6">
        <f t="shared" si="0"/>
        <v>27891</v>
      </c>
    </row>
    <row r="28" spans="3:16" x14ac:dyDescent="0.35">
      <c r="D28" t="s">
        <v>25</v>
      </c>
      <c r="H28" s="6"/>
      <c r="N28" s="6">
        <f t="shared" si="0"/>
        <v>0</v>
      </c>
    </row>
    <row r="29" spans="3:16" x14ac:dyDescent="0.35">
      <c r="D29" t="s">
        <v>26</v>
      </c>
      <c r="H29" s="6"/>
      <c r="N29" s="6">
        <f t="shared" si="0"/>
        <v>0</v>
      </c>
    </row>
    <row r="30" spans="3:16" x14ac:dyDescent="0.35">
      <c r="D30" t="s">
        <v>27</v>
      </c>
      <c r="H30" s="6">
        <v>9894</v>
      </c>
      <c r="N30" s="6">
        <f t="shared" si="0"/>
        <v>9894</v>
      </c>
    </row>
    <row r="31" spans="3:16" x14ac:dyDescent="0.35">
      <c r="D31" t="s">
        <v>28</v>
      </c>
      <c r="H31" s="7">
        <v>97647</v>
      </c>
      <c r="J31" s="5"/>
      <c r="N31" s="7">
        <f t="shared" si="0"/>
        <v>97647</v>
      </c>
    </row>
    <row r="32" spans="3:16" x14ac:dyDescent="0.35">
      <c r="C32" t="s">
        <v>29</v>
      </c>
      <c r="H32" s="6">
        <f>SUM(H17:H31)</f>
        <v>1899402</v>
      </c>
      <c r="J32" s="6">
        <f>SUM(J17:J31)</f>
        <v>-123223.55220867421</v>
      </c>
      <c r="N32" s="6">
        <f>SUM(N17:N31)</f>
        <v>1776178.4477913259</v>
      </c>
    </row>
    <row r="33" spans="2:14" x14ac:dyDescent="0.35">
      <c r="C33" t="s">
        <v>30</v>
      </c>
      <c r="H33" s="6">
        <v>435765</v>
      </c>
      <c r="J33" s="41">
        <f>Dep!N115</f>
        <v>-101913.65207</v>
      </c>
      <c r="N33" s="6">
        <f>SUM(H33,J33)</f>
        <v>333851.34792999999</v>
      </c>
    </row>
    <row r="34" spans="2:14" x14ac:dyDescent="0.35">
      <c r="C34" t="s">
        <v>31</v>
      </c>
      <c r="H34" s="7">
        <v>32597</v>
      </c>
      <c r="J34" s="7">
        <f>Wages!S8</f>
        <v>122.82094125000017</v>
      </c>
      <c r="N34" s="7">
        <f>SUM(H34,J34)</f>
        <v>32719.82094125</v>
      </c>
    </row>
    <row r="35" spans="2:14" x14ac:dyDescent="0.35">
      <c r="B35" s="1" t="s">
        <v>32</v>
      </c>
      <c r="H35" s="7">
        <f>SUM(H32:H34)</f>
        <v>2367764</v>
      </c>
      <c r="J35" s="7">
        <f>SUM(J32:J34)</f>
        <v>-225014.38333742419</v>
      </c>
      <c r="N35" s="7">
        <f>SUM(N32:N34)</f>
        <v>2142749.6166625759</v>
      </c>
    </row>
    <row r="36" spans="2:14" x14ac:dyDescent="0.35">
      <c r="B36" s="1" t="s">
        <v>33</v>
      </c>
      <c r="H36" s="11">
        <f>H14-H35</f>
        <v>-97205</v>
      </c>
      <c r="J36" s="11">
        <f>J14-J35</f>
        <v>225014.38333742419</v>
      </c>
      <c r="N36" s="11">
        <f>N14-N35</f>
        <v>127809.38333742414</v>
      </c>
    </row>
  </sheetData>
  <mergeCells count="1">
    <mergeCell ref="B1:N1"/>
  </mergeCells>
  <pageMargins left="0.7" right="0.7" top="0.75" bottom="0.75" header="0.3" footer="0.3"/>
  <ignoredErrors>
    <ignoredError sqref="N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F6CF-75CA-4D30-8D3F-AE63A3EBB6E9}">
  <dimension ref="A2:J18"/>
  <sheetViews>
    <sheetView zoomScale="80" zoomScaleNormal="80" workbookViewId="0">
      <selection activeCell="M29" sqref="M29"/>
    </sheetView>
  </sheetViews>
  <sheetFormatPr defaultRowHeight="15.5" x14ac:dyDescent="0.35"/>
  <cols>
    <col min="2" max="3" width="2.3046875" customWidth="1"/>
    <col min="10" max="10" width="13.53515625" bestFit="1" customWidth="1"/>
  </cols>
  <sheetData>
    <row r="2" spans="2:10" x14ac:dyDescent="0.35">
      <c r="B2" t="s">
        <v>36</v>
      </c>
      <c r="J2" s="9">
        <f>SAO!N35</f>
        <v>2142749.6166625759</v>
      </c>
    </row>
    <row r="3" spans="2:10" x14ac:dyDescent="0.35">
      <c r="B3" t="s">
        <v>37</v>
      </c>
      <c r="J3" s="6">
        <f>AvgDebt!R4</f>
        <v>89150.666666666672</v>
      </c>
    </row>
    <row r="4" spans="2:10" x14ac:dyDescent="0.35">
      <c r="D4" t="s">
        <v>38</v>
      </c>
      <c r="J4" s="7">
        <f>AvgDebt!R10</f>
        <v>17830.133333333331</v>
      </c>
    </row>
    <row r="6" spans="2:10" x14ac:dyDescent="0.35">
      <c r="B6" t="s">
        <v>39</v>
      </c>
      <c r="J6" s="12">
        <f>SUM(J2:J4)</f>
        <v>2249730.4166625757</v>
      </c>
    </row>
    <row r="7" spans="2:10" x14ac:dyDescent="0.35">
      <c r="B7" t="s">
        <v>40</v>
      </c>
      <c r="J7" s="6">
        <f>-SAO!N13</f>
        <v>-45640</v>
      </c>
    </row>
    <row r="8" spans="2:10" x14ac:dyDescent="0.35">
      <c r="D8" t="s">
        <v>41</v>
      </c>
    </row>
    <row r="9" spans="2:10" x14ac:dyDescent="0.35">
      <c r="D9" t="s">
        <v>42</v>
      </c>
      <c r="J9" s="7">
        <v>-151849</v>
      </c>
    </row>
    <row r="11" spans="2:10" x14ac:dyDescent="0.35">
      <c r="B11" t="s">
        <v>43</v>
      </c>
      <c r="J11" s="6">
        <f>SUM(J6:J9)</f>
        <v>2052241.4166625757</v>
      </c>
    </row>
    <row r="12" spans="2:10" x14ac:dyDescent="0.35">
      <c r="B12" t="s">
        <v>44</v>
      </c>
      <c r="J12" s="7">
        <f>-SAO!N9</f>
        <v>-2224919</v>
      </c>
    </row>
    <row r="14" spans="2:10" ht="16" thickBot="1" x14ac:dyDescent="0.4">
      <c r="B14" t="s">
        <v>45</v>
      </c>
      <c r="J14" s="13">
        <f>SUM(J11:J12)</f>
        <v>-172677.58333742432</v>
      </c>
    </row>
    <row r="15" spans="2:10" ht="16" thickTop="1" x14ac:dyDescent="0.35"/>
    <row r="17" spans="1:10" ht="16" thickBot="1" x14ac:dyDescent="0.4">
      <c r="A17" t="s">
        <v>46</v>
      </c>
      <c r="J17" s="14">
        <f>(J14/-J12)</f>
        <v>-7.7610728002873053E-2</v>
      </c>
    </row>
    <row r="18" spans="1:10" ht="16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5DF2-4284-4AC7-BDD9-E341D0F8E654}">
  <dimension ref="A1:AI121"/>
  <sheetViews>
    <sheetView zoomScale="80" zoomScaleNormal="80" workbookViewId="0">
      <pane ySplit="4" topLeftCell="A14" activePane="bottomLeft" state="frozen"/>
      <selection pane="bottomLeft" activeCell="A2" sqref="A2:N2"/>
    </sheetView>
  </sheetViews>
  <sheetFormatPr defaultColWidth="8.3046875" defaultRowHeight="15.5" x14ac:dyDescent="0.35"/>
  <cols>
    <col min="1" max="1" width="6.4609375" style="59" customWidth="1"/>
    <col min="2" max="2" width="24.765625" style="59" bestFit="1" customWidth="1"/>
    <col min="3" max="3" width="8.53515625" style="101" customWidth="1"/>
    <col min="4" max="4" width="12" style="59" bestFit="1" customWidth="1"/>
    <col min="5" max="5" width="10.921875" style="59" bestFit="1" customWidth="1"/>
    <col min="6" max="6" width="10.15234375" style="59" customWidth="1"/>
    <col min="7" max="7" width="10.921875" style="59" bestFit="1" customWidth="1"/>
    <col min="8" max="8" width="12" style="59" bestFit="1" customWidth="1"/>
    <col min="9" max="9" width="6" style="101" customWidth="1"/>
    <col min="10" max="10" width="4.84375" style="101" customWidth="1"/>
    <col min="11" max="11" width="7.4609375" style="59" customWidth="1"/>
    <col min="12" max="12" width="6.921875" style="101" customWidth="1"/>
    <col min="13" max="13" width="15.765625" style="59" bestFit="1" customWidth="1"/>
    <col min="14" max="14" width="10.4609375" style="59" bestFit="1" customWidth="1"/>
    <col min="15" max="15" width="8.3046875" style="59"/>
    <col min="16" max="16" width="12.765625" style="59" customWidth="1"/>
    <col min="17" max="19" width="13" style="59" customWidth="1"/>
    <col min="20" max="16384" width="8.3046875" style="59"/>
  </cols>
  <sheetData>
    <row r="1" spans="1:35" ht="27.75" customHeight="1" x14ac:dyDescent="0.35">
      <c r="A1" s="121" t="s">
        <v>184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56"/>
      <c r="P1" s="56"/>
      <c r="Q1" s="58">
        <v>45658</v>
      </c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</row>
    <row r="2" spans="1:35" ht="36" customHeight="1" x14ac:dyDescent="0.35">
      <c r="A2" s="122" t="s">
        <v>164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1:35" ht="20.25" customHeight="1" x14ac:dyDescent="0.35">
      <c r="A3" s="123" t="s">
        <v>165</v>
      </c>
      <c r="B3" s="123"/>
      <c r="C3" s="123"/>
      <c r="D3" s="123"/>
      <c r="E3" s="123"/>
      <c r="F3" s="123"/>
      <c r="G3" s="123"/>
      <c r="H3" s="123"/>
      <c r="I3" s="123"/>
      <c r="J3" s="123"/>
      <c r="K3" s="124"/>
      <c r="L3" s="123" t="s">
        <v>166</v>
      </c>
      <c r="M3" s="123"/>
      <c r="N3" s="123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</row>
    <row r="4" spans="1:35" ht="41.25" customHeight="1" x14ac:dyDescent="0.35">
      <c r="A4" s="60" t="s">
        <v>167</v>
      </c>
      <c r="B4" s="60" t="s">
        <v>168</v>
      </c>
      <c r="C4" s="60" t="s">
        <v>169</v>
      </c>
      <c r="D4" s="60" t="s">
        <v>170</v>
      </c>
      <c r="E4" s="60" t="s">
        <v>171</v>
      </c>
      <c r="F4" s="60" t="s">
        <v>172</v>
      </c>
      <c r="G4" s="60" t="s">
        <v>173</v>
      </c>
      <c r="H4" s="60" t="s">
        <v>174</v>
      </c>
      <c r="I4" s="60" t="s">
        <v>175</v>
      </c>
      <c r="J4" s="60" t="s">
        <v>176</v>
      </c>
      <c r="K4" s="124"/>
      <c r="L4" s="60" t="s">
        <v>177</v>
      </c>
      <c r="M4" s="60" t="s">
        <v>178</v>
      </c>
      <c r="N4" s="60" t="s">
        <v>12</v>
      </c>
      <c r="O4" s="61"/>
      <c r="P4" s="61"/>
      <c r="Q4" s="62" t="s">
        <v>179</v>
      </c>
      <c r="R4" s="62" t="s">
        <v>180</v>
      </c>
      <c r="S4" s="62" t="s">
        <v>181</v>
      </c>
    </row>
    <row r="5" spans="1:35" ht="15" customHeight="1" x14ac:dyDescent="0.35">
      <c r="A5" s="63">
        <v>173</v>
      </c>
      <c r="B5" s="64" t="s">
        <v>185</v>
      </c>
      <c r="C5" s="65">
        <v>41925</v>
      </c>
      <c r="D5" s="66">
        <v>175900</v>
      </c>
      <c r="E5" s="66">
        <v>36279.379999999997</v>
      </c>
      <c r="F5" s="66">
        <f t="shared" ref="F5:F35" si="0">D5/J5</f>
        <v>4397.5</v>
      </c>
      <c r="G5" s="66">
        <f t="shared" ref="G5:G68" si="1">E5+F5</f>
        <v>40676.879999999997</v>
      </c>
      <c r="H5" s="66">
        <f>D5-G5</f>
        <v>135223.12</v>
      </c>
      <c r="I5" s="63" t="s">
        <v>182</v>
      </c>
      <c r="J5" s="63">
        <v>40</v>
      </c>
      <c r="K5" s="124"/>
      <c r="L5" s="63">
        <v>40</v>
      </c>
      <c r="M5" s="67">
        <f t="shared" ref="M5:M36" si="2">D5/L5</f>
        <v>4397.5</v>
      </c>
      <c r="N5" s="67">
        <f>M5-F5</f>
        <v>0</v>
      </c>
      <c r="O5" s="61"/>
      <c r="P5" s="61"/>
      <c r="Q5" s="68">
        <f>ROUND(($Q$1-C5)/365,1)</f>
        <v>10.199999999999999</v>
      </c>
      <c r="R5" s="69">
        <f t="shared" ref="R5:R68" si="3">J5-Q5</f>
        <v>29.8</v>
      </c>
      <c r="S5" s="69">
        <f t="shared" ref="S5:S68" si="4">L5-Q5</f>
        <v>29.8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15" customHeight="1" x14ac:dyDescent="0.35">
      <c r="A6" s="63">
        <v>174</v>
      </c>
      <c r="B6" s="64" t="s">
        <v>186</v>
      </c>
      <c r="C6" s="65">
        <v>41933</v>
      </c>
      <c r="D6" s="66">
        <v>8612</v>
      </c>
      <c r="E6" s="66">
        <v>4688.7299999999996</v>
      </c>
      <c r="F6" s="66">
        <f t="shared" si="0"/>
        <v>574.13333333333333</v>
      </c>
      <c r="G6" s="66">
        <f t="shared" si="1"/>
        <v>5262.8633333333328</v>
      </c>
      <c r="H6" s="66">
        <f>D6-G6</f>
        <v>3349.1366666666672</v>
      </c>
      <c r="I6" s="63" t="s">
        <v>182</v>
      </c>
      <c r="J6" s="63">
        <v>15</v>
      </c>
      <c r="K6" s="124"/>
      <c r="L6" s="63">
        <v>15</v>
      </c>
      <c r="M6" s="67">
        <f t="shared" si="2"/>
        <v>574.13333333333333</v>
      </c>
      <c r="N6" s="67">
        <f t="shared" ref="N6:N69" si="5">M6-F6</f>
        <v>0</v>
      </c>
      <c r="O6" s="61"/>
      <c r="P6" s="61"/>
      <c r="Q6" s="68">
        <f>ROUND(($Q$1-C6)/365,1)</f>
        <v>10.199999999999999</v>
      </c>
      <c r="R6" s="69">
        <f t="shared" si="3"/>
        <v>4.8000000000000007</v>
      </c>
      <c r="S6" s="69">
        <f t="shared" si="4"/>
        <v>4.8000000000000007</v>
      </c>
    </row>
    <row r="7" spans="1:35" ht="15" customHeight="1" x14ac:dyDescent="0.35">
      <c r="A7" s="63">
        <v>176</v>
      </c>
      <c r="B7" s="64" t="s">
        <v>187</v>
      </c>
      <c r="C7" s="65">
        <v>41955</v>
      </c>
      <c r="D7" s="66">
        <v>7430.07</v>
      </c>
      <c r="E7" s="66">
        <v>1516.96</v>
      </c>
      <c r="F7" s="66">
        <f t="shared" si="0"/>
        <v>185.75174999999999</v>
      </c>
      <c r="G7" s="66">
        <f t="shared" si="1"/>
        <v>1702.7117499999999</v>
      </c>
      <c r="H7" s="66">
        <v>3946.34</v>
      </c>
      <c r="I7" s="63" t="s">
        <v>182</v>
      </c>
      <c r="J7" s="63">
        <v>40</v>
      </c>
      <c r="K7" s="124"/>
      <c r="L7" s="63">
        <v>40</v>
      </c>
      <c r="M7" s="67">
        <f t="shared" si="2"/>
        <v>185.75174999999999</v>
      </c>
      <c r="N7" s="67">
        <f t="shared" si="5"/>
        <v>0</v>
      </c>
      <c r="O7" s="61"/>
      <c r="P7" s="61"/>
      <c r="Q7" s="68">
        <f t="shared" ref="Q7:Q68" si="6">ROUND(($Q$1-C7)/365,1)</f>
        <v>10.1</v>
      </c>
      <c r="R7" s="69">
        <f t="shared" si="3"/>
        <v>29.9</v>
      </c>
      <c r="S7" s="69">
        <f t="shared" si="4"/>
        <v>29.9</v>
      </c>
    </row>
    <row r="8" spans="1:35" ht="15" customHeight="1" x14ac:dyDescent="0.35">
      <c r="A8" s="63">
        <v>201</v>
      </c>
      <c r="B8" s="64" t="s">
        <v>188</v>
      </c>
      <c r="C8" s="65">
        <v>42342</v>
      </c>
      <c r="D8" s="66">
        <v>1078.05</v>
      </c>
      <c r="E8" s="66">
        <v>509.08</v>
      </c>
      <c r="F8" s="66">
        <f t="shared" si="0"/>
        <v>71.86999999999999</v>
      </c>
      <c r="G8" s="66">
        <f t="shared" si="1"/>
        <v>580.94999999999993</v>
      </c>
      <c r="H8" s="66">
        <f t="shared" ref="H8:H16" si="7">D8-G8</f>
        <v>497.1</v>
      </c>
      <c r="I8" s="63" t="s">
        <v>182</v>
      </c>
      <c r="J8" s="63">
        <v>15</v>
      </c>
      <c r="K8" s="124"/>
      <c r="L8" s="63">
        <v>15</v>
      </c>
      <c r="M8" s="67">
        <f>D8/L8</f>
        <v>71.86999999999999</v>
      </c>
      <c r="N8" s="67">
        <f t="shared" si="5"/>
        <v>0</v>
      </c>
      <c r="O8" s="61"/>
      <c r="P8" s="61"/>
      <c r="Q8" s="68">
        <f t="shared" si="6"/>
        <v>9.1</v>
      </c>
      <c r="R8" s="69">
        <f t="shared" si="3"/>
        <v>5.9</v>
      </c>
      <c r="S8" s="69">
        <f>L8-Q8</f>
        <v>5.9</v>
      </c>
    </row>
    <row r="9" spans="1:35" ht="15" customHeight="1" x14ac:dyDescent="0.35">
      <c r="A9" s="63">
        <v>203</v>
      </c>
      <c r="B9" s="64" t="s">
        <v>189</v>
      </c>
      <c r="C9" s="65">
        <v>42329</v>
      </c>
      <c r="D9" s="66">
        <v>18827.009999999998</v>
      </c>
      <c r="E9" s="66">
        <v>3333.98</v>
      </c>
      <c r="F9" s="66">
        <f t="shared" si="0"/>
        <v>470.67524999999995</v>
      </c>
      <c r="G9" s="66">
        <f t="shared" si="1"/>
        <v>3804.6552499999998</v>
      </c>
      <c r="H9" s="66">
        <f t="shared" si="7"/>
        <v>15022.354749999999</v>
      </c>
      <c r="I9" s="63" t="s">
        <v>182</v>
      </c>
      <c r="J9" s="63">
        <v>40</v>
      </c>
      <c r="K9" s="124"/>
      <c r="L9" s="63">
        <v>40</v>
      </c>
      <c r="M9" s="67">
        <f t="shared" si="2"/>
        <v>470.67524999999995</v>
      </c>
      <c r="N9" s="67">
        <f t="shared" si="5"/>
        <v>0</v>
      </c>
      <c r="O9" s="61"/>
      <c r="P9" s="61"/>
      <c r="Q9" s="68">
        <f t="shared" si="6"/>
        <v>9.1</v>
      </c>
      <c r="R9" s="69">
        <f t="shared" si="3"/>
        <v>30.9</v>
      </c>
      <c r="S9" s="69">
        <f t="shared" si="4"/>
        <v>30.9</v>
      </c>
    </row>
    <row r="10" spans="1:35" ht="15" customHeight="1" x14ac:dyDescent="0.35">
      <c r="A10" s="63">
        <v>214</v>
      </c>
      <c r="B10" s="64" t="s">
        <v>190</v>
      </c>
      <c r="C10" s="65">
        <v>42723</v>
      </c>
      <c r="D10" s="66">
        <v>1878</v>
      </c>
      <c r="E10" s="66">
        <v>1126.8</v>
      </c>
      <c r="F10" s="66">
        <f t="shared" si="0"/>
        <v>187.8</v>
      </c>
      <c r="G10" s="66">
        <f t="shared" si="1"/>
        <v>1314.6</v>
      </c>
      <c r="H10" s="66">
        <f t="shared" si="7"/>
        <v>563.40000000000009</v>
      </c>
      <c r="I10" s="63" t="s">
        <v>182</v>
      </c>
      <c r="J10" s="63">
        <v>10</v>
      </c>
      <c r="K10" s="124"/>
      <c r="L10" s="63">
        <v>10</v>
      </c>
      <c r="M10" s="67">
        <f t="shared" si="2"/>
        <v>187.8</v>
      </c>
      <c r="N10" s="67">
        <f t="shared" si="5"/>
        <v>0</v>
      </c>
      <c r="O10" s="61"/>
      <c r="P10" s="61"/>
      <c r="Q10" s="68">
        <f t="shared" si="6"/>
        <v>8</v>
      </c>
      <c r="R10" s="69">
        <f>J10-Q10</f>
        <v>2</v>
      </c>
      <c r="S10" s="69">
        <f t="shared" si="4"/>
        <v>2</v>
      </c>
    </row>
    <row r="11" spans="1:35" ht="15" customHeight="1" x14ac:dyDescent="0.35">
      <c r="A11" s="63">
        <v>218</v>
      </c>
      <c r="B11" s="70" t="s">
        <v>191</v>
      </c>
      <c r="C11" s="71">
        <v>42972</v>
      </c>
      <c r="D11" s="66">
        <v>4706</v>
      </c>
      <c r="E11" s="66">
        <v>2509.87</v>
      </c>
      <c r="F11" s="66">
        <f t="shared" si="0"/>
        <v>470.6</v>
      </c>
      <c r="G11" s="66">
        <f t="shared" si="1"/>
        <v>2980.47</v>
      </c>
      <c r="H11" s="66">
        <f>D11-G11</f>
        <v>1725.5300000000002</v>
      </c>
      <c r="I11" s="72" t="s">
        <v>182</v>
      </c>
      <c r="J11" s="73">
        <v>10</v>
      </c>
      <c r="K11" s="124"/>
      <c r="L11" s="63">
        <v>10</v>
      </c>
      <c r="M11" s="67">
        <f t="shared" si="2"/>
        <v>470.6</v>
      </c>
      <c r="N11" s="67">
        <f t="shared" si="5"/>
        <v>0</v>
      </c>
      <c r="O11" s="61"/>
      <c r="P11" s="61"/>
      <c r="Q11" s="68">
        <f t="shared" si="6"/>
        <v>7.4</v>
      </c>
      <c r="R11" s="69">
        <f t="shared" si="3"/>
        <v>2.5999999999999996</v>
      </c>
      <c r="S11" s="69">
        <f t="shared" si="4"/>
        <v>2.5999999999999996</v>
      </c>
    </row>
    <row r="12" spans="1:35" ht="15" customHeight="1" x14ac:dyDescent="0.35">
      <c r="A12" s="63">
        <v>219</v>
      </c>
      <c r="B12" s="70" t="s">
        <v>192</v>
      </c>
      <c r="C12" s="71">
        <v>42948</v>
      </c>
      <c r="D12" s="66">
        <v>4891.63</v>
      </c>
      <c r="E12" s="66">
        <v>1766.43</v>
      </c>
      <c r="F12" s="66">
        <f t="shared" si="0"/>
        <v>326.10866666666669</v>
      </c>
      <c r="G12" s="66">
        <f t="shared" si="1"/>
        <v>2092.5386666666668</v>
      </c>
      <c r="H12" s="66">
        <f t="shared" si="7"/>
        <v>2799.0913333333333</v>
      </c>
      <c r="I12" s="72" t="s">
        <v>182</v>
      </c>
      <c r="J12" s="73">
        <v>15</v>
      </c>
      <c r="K12" s="124"/>
      <c r="L12" s="63">
        <v>15</v>
      </c>
      <c r="M12" s="67">
        <f t="shared" si="2"/>
        <v>326.10866666666669</v>
      </c>
      <c r="N12" s="67">
        <f t="shared" si="5"/>
        <v>0</v>
      </c>
      <c r="O12" s="61"/>
      <c r="P12" s="61"/>
      <c r="Q12" s="68">
        <f t="shared" si="6"/>
        <v>7.4</v>
      </c>
      <c r="R12" s="69">
        <f t="shared" si="3"/>
        <v>7.6</v>
      </c>
      <c r="S12" s="69">
        <f>L12-Q12</f>
        <v>7.6</v>
      </c>
    </row>
    <row r="13" spans="1:35" ht="15" customHeight="1" x14ac:dyDescent="0.35">
      <c r="A13" s="63">
        <v>220</v>
      </c>
      <c r="B13" s="70" t="s">
        <v>193</v>
      </c>
      <c r="C13" s="71">
        <v>43013</v>
      </c>
      <c r="D13" s="66">
        <v>3834.04</v>
      </c>
      <c r="E13" s="66">
        <v>503.21</v>
      </c>
      <c r="F13" s="66">
        <f t="shared" si="0"/>
        <v>95.850999999999999</v>
      </c>
      <c r="G13" s="66">
        <f t="shared" si="1"/>
        <v>599.06099999999992</v>
      </c>
      <c r="H13" s="66">
        <f t="shared" si="7"/>
        <v>3234.9790000000003</v>
      </c>
      <c r="I13" s="72" t="s">
        <v>182</v>
      </c>
      <c r="J13" s="73">
        <v>40</v>
      </c>
      <c r="K13" s="124"/>
      <c r="L13" s="63">
        <v>40</v>
      </c>
      <c r="M13" s="67">
        <f t="shared" si="2"/>
        <v>95.850999999999999</v>
      </c>
      <c r="N13" s="67">
        <f t="shared" si="5"/>
        <v>0</v>
      </c>
      <c r="O13" s="61"/>
      <c r="P13" s="61"/>
      <c r="Q13" s="68">
        <f t="shared" si="6"/>
        <v>7.2</v>
      </c>
      <c r="R13" s="69">
        <f t="shared" si="3"/>
        <v>32.799999999999997</v>
      </c>
      <c r="S13" s="69">
        <f t="shared" si="4"/>
        <v>32.799999999999997</v>
      </c>
    </row>
    <row r="14" spans="1:35" ht="15" customHeight="1" x14ac:dyDescent="0.35">
      <c r="A14" s="63">
        <v>224</v>
      </c>
      <c r="B14" s="64" t="s">
        <v>194</v>
      </c>
      <c r="C14" s="65">
        <v>43455</v>
      </c>
      <c r="D14" s="66">
        <v>8850</v>
      </c>
      <c r="E14" s="66">
        <v>2360</v>
      </c>
      <c r="F14" s="66">
        <f t="shared" si="0"/>
        <v>590</v>
      </c>
      <c r="G14" s="66">
        <f t="shared" si="1"/>
        <v>2950</v>
      </c>
      <c r="H14" s="66">
        <f t="shared" si="7"/>
        <v>5900</v>
      </c>
      <c r="I14" s="72" t="s">
        <v>182</v>
      </c>
      <c r="J14" s="73">
        <v>15</v>
      </c>
      <c r="K14" s="124"/>
      <c r="L14" s="63">
        <v>15</v>
      </c>
      <c r="M14" s="67">
        <f t="shared" si="2"/>
        <v>590</v>
      </c>
      <c r="N14" s="67">
        <f t="shared" si="5"/>
        <v>0</v>
      </c>
      <c r="O14" s="61"/>
      <c r="P14" s="61"/>
      <c r="Q14" s="68">
        <f t="shared" si="6"/>
        <v>6</v>
      </c>
      <c r="R14" s="69">
        <f t="shared" si="3"/>
        <v>9</v>
      </c>
      <c r="S14" s="69">
        <f t="shared" si="4"/>
        <v>9</v>
      </c>
    </row>
    <row r="15" spans="1:35" ht="15" customHeight="1" x14ac:dyDescent="0.35">
      <c r="A15" s="63">
        <v>4</v>
      </c>
      <c r="B15" s="70" t="s">
        <v>195</v>
      </c>
      <c r="C15" s="71">
        <v>36525</v>
      </c>
      <c r="D15" s="66">
        <v>165805.34</v>
      </c>
      <c r="E15" s="66">
        <v>145013.15</v>
      </c>
      <c r="F15" s="66">
        <f t="shared" si="0"/>
        <v>4145.1334999999999</v>
      </c>
      <c r="G15" s="66">
        <f t="shared" si="1"/>
        <v>149158.28349999999</v>
      </c>
      <c r="H15" s="66">
        <f t="shared" si="7"/>
        <v>16647.056500000006</v>
      </c>
      <c r="I15" s="72" t="s">
        <v>182</v>
      </c>
      <c r="J15" s="73">
        <v>40</v>
      </c>
      <c r="K15" s="124"/>
      <c r="L15" s="63">
        <v>40</v>
      </c>
      <c r="M15" s="67">
        <f t="shared" si="2"/>
        <v>4145.1334999999999</v>
      </c>
      <c r="N15" s="67">
        <f t="shared" si="5"/>
        <v>0</v>
      </c>
      <c r="O15" s="61"/>
      <c r="P15" s="61"/>
      <c r="Q15" s="68">
        <f t="shared" si="6"/>
        <v>25</v>
      </c>
      <c r="R15" s="69">
        <f t="shared" si="3"/>
        <v>15</v>
      </c>
      <c r="S15" s="69">
        <f t="shared" si="4"/>
        <v>15</v>
      </c>
    </row>
    <row r="16" spans="1:35" ht="15" customHeight="1" x14ac:dyDescent="0.35">
      <c r="A16" s="63">
        <v>81</v>
      </c>
      <c r="B16" s="70" t="s">
        <v>196</v>
      </c>
      <c r="C16" s="71">
        <v>38651</v>
      </c>
      <c r="D16" s="66">
        <v>10180.5</v>
      </c>
      <c r="E16" s="66">
        <v>4920.55</v>
      </c>
      <c r="F16" s="66">
        <f t="shared" si="0"/>
        <v>254.51249999999999</v>
      </c>
      <c r="G16" s="66">
        <f t="shared" si="1"/>
        <v>5175.0625</v>
      </c>
      <c r="H16" s="66">
        <f t="shared" si="7"/>
        <v>5005.4375</v>
      </c>
      <c r="I16" s="72" t="s">
        <v>182</v>
      </c>
      <c r="J16" s="73">
        <v>40</v>
      </c>
      <c r="K16" s="124"/>
      <c r="L16" s="63">
        <v>40</v>
      </c>
      <c r="M16" s="67">
        <f t="shared" si="2"/>
        <v>254.51249999999999</v>
      </c>
      <c r="N16" s="67">
        <f t="shared" si="5"/>
        <v>0</v>
      </c>
      <c r="O16" s="61"/>
      <c r="P16" s="61"/>
      <c r="Q16" s="68">
        <f t="shared" si="6"/>
        <v>19.2</v>
      </c>
      <c r="R16" s="69">
        <f t="shared" si="3"/>
        <v>20.8</v>
      </c>
      <c r="S16" s="69">
        <f t="shared" si="4"/>
        <v>20.8</v>
      </c>
    </row>
    <row r="17" spans="1:19" ht="15" customHeight="1" x14ac:dyDescent="0.35">
      <c r="A17" s="63">
        <v>82</v>
      </c>
      <c r="B17" s="70" t="s">
        <v>197</v>
      </c>
      <c r="C17" s="71">
        <v>37742</v>
      </c>
      <c r="D17" s="66">
        <v>293975</v>
      </c>
      <c r="E17" s="66">
        <v>144537.81</v>
      </c>
      <c r="F17" s="66">
        <f t="shared" si="0"/>
        <v>7349.375</v>
      </c>
      <c r="G17" s="66">
        <f t="shared" si="1"/>
        <v>151887.185</v>
      </c>
      <c r="H17" s="66">
        <f t="shared" ref="H17:H47" si="8">D17-G17</f>
        <v>142087.815</v>
      </c>
      <c r="I17" s="72" t="s">
        <v>182</v>
      </c>
      <c r="J17" s="73">
        <v>40</v>
      </c>
      <c r="K17" s="124"/>
      <c r="L17" s="63">
        <v>40</v>
      </c>
      <c r="M17" s="67">
        <f t="shared" si="2"/>
        <v>7349.375</v>
      </c>
      <c r="N17" s="67">
        <f t="shared" si="5"/>
        <v>0</v>
      </c>
      <c r="O17" s="61"/>
      <c r="P17" s="61"/>
      <c r="Q17" s="68">
        <f t="shared" si="6"/>
        <v>21.7</v>
      </c>
      <c r="R17" s="69">
        <f t="shared" si="3"/>
        <v>18.3</v>
      </c>
      <c r="S17" s="69">
        <f t="shared" si="4"/>
        <v>18.3</v>
      </c>
    </row>
    <row r="18" spans="1:19" ht="15" customHeight="1" x14ac:dyDescent="0.35">
      <c r="A18" s="63">
        <v>83</v>
      </c>
      <c r="B18" s="74" t="s">
        <v>197</v>
      </c>
      <c r="C18" s="71">
        <v>38108</v>
      </c>
      <c r="D18" s="67">
        <v>37360</v>
      </c>
      <c r="E18" s="67">
        <v>17434.669999999998</v>
      </c>
      <c r="F18" s="66">
        <f t="shared" si="0"/>
        <v>934</v>
      </c>
      <c r="G18" s="66">
        <f t="shared" si="1"/>
        <v>18368.669999999998</v>
      </c>
      <c r="H18" s="66">
        <f t="shared" si="8"/>
        <v>18991.330000000002</v>
      </c>
      <c r="I18" s="72" t="s">
        <v>182</v>
      </c>
      <c r="J18" s="73">
        <v>40</v>
      </c>
      <c r="K18" s="124"/>
      <c r="L18" s="63">
        <v>40</v>
      </c>
      <c r="M18" s="67">
        <f t="shared" si="2"/>
        <v>934</v>
      </c>
      <c r="N18" s="67">
        <f t="shared" si="5"/>
        <v>0</v>
      </c>
      <c r="O18" s="61"/>
      <c r="P18" s="61"/>
      <c r="Q18" s="68">
        <f t="shared" si="6"/>
        <v>20.7</v>
      </c>
      <c r="R18" s="69">
        <f t="shared" si="3"/>
        <v>19.3</v>
      </c>
      <c r="S18" s="69">
        <f t="shared" si="4"/>
        <v>19.3</v>
      </c>
    </row>
    <row r="19" spans="1:19" ht="15" customHeight="1" x14ac:dyDescent="0.35">
      <c r="A19" s="63">
        <v>5</v>
      </c>
      <c r="B19" s="74" t="s">
        <v>198</v>
      </c>
      <c r="C19" s="71">
        <v>36525</v>
      </c>
      <c r="D19" s="75">
        <v>5807239.5199999996</v>
      </c>
      <c r="E19" s="75">
        <v>4710781.8</v>
      </c>
      <c r="F19" s="66">
        <f t="shared" si="0"/>
        <v>145180.98799999998</v>
      </c>
      <c r="G19" s="66">
        <f t="shared" si="1"/>
        <v>4855962.7879999997</v>
      </c>
      <c r="H19" s="66">
        <f t="shared" si="8"/>
        <v>951276.73199999984</v>
      </c>
      <c r="I19" s="72" t="s">
        <v>182</v>
      </c>
      <c r="J19" s="73">
        <v>40</v>
      </c>
      <c r="K19" s="124"/>
      <c r="L19" s="63">
        <v>62.5</v>
      </c>
      <c r="M19" s="67">
        <f t="shared" si="2"/>
        <v>92915.832319999987</v>
      </c>
      <c r="N19" s="67">
        <f t="shared" si="5"/>
        <v>-52265.155679999996</v>
      </c>
      <c r="O19" s="61"/>
      <c r="P19" s="61"/>
      <c r="Q19" s="68">
        <f t="shared" si="6"/>
        <v>25</v>
      </c>
      <c r="R19" s="69">
        <f t="shared" si="3"/>
        <v>15</v>
      </c>
      <c r="S19" s="69">
        <f t="shared" si="4"/>
        <v>37.5</v>
      </c>
    </row>
    <row r="20" spans="1:19" ht="15" customHeight="1" x14ac:dyDescent="0.35">
      <c r="A20" s="63">
        <v>12</v>
      </c>
      <c r="B20" s="64" t="s">
        <v>199</v>
      </c>
      <c r="C20" s="65">
        <v>36891</v>
      </c>
      <c r="D20" s="66">
        <v>108510.06</v>
      </c>
      <c r="E20" s="66">
        <v>59680.5</v>
      </c>
      <c r="F20" s="66">
        <f t="shared" si="0"/>
        <v>2712.7514999999999</v>
      </c>
      <c r="G20" s="66">
        <f t="shared" si="1"/>
        <v>62393.251499999998</v>
      </c>
      <c r="H20" s="66">
        <f t="shared" si="8"/>
        <v>46116.808499999999</v>
      </c>
      <c r="I20" s="72" t="s">
        <v>182</v>
      </c>
      <c r="J20" s="73">
        <v>40</v>
      </c>
      <c r="K20" s="124"/>
      <c r="L20" s="63">
        <v>62.5</v>
      </c>
      <c r="M20" s="67">
        <f t="shared" si="2"/>
        <v>1736.1609599999999</v>
      </c>
      <c r="N20" s="67">
        <f t="shared" si="5"/>
        <v>-976.59053999999992</v>
      </c>
      <c r="O20" s="61"/>
      <c r="P20" s="61"/>
      <c r="Q20" s="68">
        <f t="shared" si="6"/>
        <v>24</v>
      </c>
      <c r="R20" s="69">
        <f t="shared" si="3"/>
        <v>16</v>
      </c>
      <c r="S20" s="69">
        <f t="shared" si="4"/>
        <v>38.5</v>
      </c>
    </row>
    <row r="21" spans="1:19" ht="15" customHeight="1" x14ac:dyDescent="0.35">
      <c r="A21" s="63">
        <v>26</v>
      </c>
      <c r="B21" s="64" t="s">
        <v>200</v>
      </c>
      <c r="C21" s="65">
        <v>37256</v>
      </c>
      <c r="D21" s="66">
        <v>78179.039999999994</v>
      </c>
      <c r="E21" s="66">
        <v>41044.080000000002</v>
      </c>
      <c r="F21" s="66">
        <f t="shared" si="0"/>
        <v>1954.4759999999999</v>
      </c>
      <c r="G21" s="66">
        <f t="shared" si="1"/>
        <v>42998.556000000004</v>
      </c>
      <c r="H21" s="66">
        <f t="shared" si="8"/>
        <v>35180.483999999989</v>
      </c>
      <c r="I21" s="72" t="s">
        <v>182</v>
      </c>
      <c r="J21" s="73">
        <v>40</v>
      </c>
      <c r="K21" s="124"/>
      <c r="L21" s="63">
        <v>62.5</v>
      </c>
      <c r="M21" s="67">
        <f t="shared" si="2"/>
        <v>1250.86464</v>
      </c>
      <c r="N21" s="67">
        <f t="shared" si="5"/>
        <v>-703.61135999999988</v>
      </c>
      <c r="O21" s="61"/>
      <c r="P21" s="61"/>
      <c r="Q21" s="68">
        <f t="shared" si="6"/>
        <v>23</v>
      </c>
      <c r="R21" s="69">
        <f t="shared" si="3"/>
        <v>17</v>
      </c>
      <c r="S21" s="69">
        <f t="shared" si="4"/>
        <v>39.5</v>
      </c>
    </row>
    <row r="22" spans="1:19" ht="15" customHeight="1" x14ac:dyDescent="0.35">
      <c r="A22" s="63">
        <v>33</v>
      </c>
      <c r="B22" s="64" t="s">
        <v>199</v>
      </c>
      <c r="C22" s="65">
        <v>37438</v>
      </c>
      <c r="D22" s="66">
        <v>15330</v>
      </c>
      <c r="E22" s="66">
        <v>7856.63</v>
      </c>
      <c r="F22" s="66">
        <f t="shared" si="0"/>
        <v>383.25</v>
      </c>
      <c r="G22" s="66">
        <f t="shared" si="1"/>
        <v>8239.880000000001</v>
      </c>
      <c r="H22" s="66">
        <f t="shared" si="8"/>
        <v>7090.119999999999</v>
      </c>
      <c r="I22" s="72" t="s">
        <v>182</v>
      </c>
      <c r="J22" s="73">
        <v>40</v>
      </c>
      <c r="K22" s="124"/>
      <c r="L22" s="63">
        <v>62.5</v>
      </c>
      <c r="M22" s="67">
        <f t="shared" si="2"/>
        <v>245.28</v>
      </c>
      <c r="N22" s="67">
        <f t="shared" si="5"/>
        <v>-137.97</v>
      </c>
      <c r="O22" s="61"/>
      <c r="P22" s="61"/>
      <c r="Q22" s="68">
        <f t="shared" si="6"/>
        <v>22.5</v>
      </c>
      <c r="R22" s="69">
        <f t="shared" si="3"/>
        <v>17.5</v>
      </c>
      <c r="S22" s="69">
        <f t="shared" si="4"/>
        <v>40</v>
      </c>
    </row>
    <row r="23" spans="1:19" ht="15" customHeight="1" x14ac:dyDescent="0.35">
      <c r="A23" s="63">
        <v>37</v>
      </c>
      <c r="B23" s="74" t="s">
        <v>201</v>
      </c>
      <c r="C23" s="71">
        <v>37742</v>
      </c>
      <c r="D23" s="76">
        <v>816801.63</v>
      </c>
      <c r="E23" s="76">
        <v>401594.12</v>
      </c>
      <c r="F23" s="66">
        <f t="shared" si="0"/>
        <v>20420.04075</v>
      </c>
      <c r="G23" s="66">
        <f t="shared" si="1"/>
        <v>422014.16074999998</v>
      </c>
      <c r="H23" s="66">
        <f t="shared" si="8"/>
        <v>394787.46925000002</v>
      </c>
      <c r="I23" s="63" t="s">
        <v>182</v>
      </c>
      <c r="J23" s="77">
        <v>40</v>
      </c>
      <c r="K23" s="124"/>
      <c r="L23" s="63">
        <v>62.5</v>
      </c>
      <c r="M23" s="67">
        <f t="shared" si="2"/>
        <v>13068.826080000001</v>
      </c>
      <c r="N23" s="67">
        <f t="shared" si="5"/>
        <v>-7351.2146699999994</v>
      </c>
      <c r="O23" s="61"/>
      <c r="P23" s="61"/>
      <c r="Q23" s="68">
        <f t="shared" si="6"/>
        <v>21.7</v>
      </c>
      <c r="R23" s="69">
        <f t="shared" si="3"/>
        <v>18.3</v>
      </c>
      <c r="S23" s="69">
        <f t="shared" si="4"/>
        <v>40.799999999999997</v>
      </c>
    </row>
    <row r="24" spans="1:19" ht="15" customHeight="1" x14ac:dyDescent="0.35">
      <c r="A24" s="63">
        <v>51</v>
      </c>
      <c r="B24" s="74" t="s">
        <v>201</v>
      </c>
      <c r="C24" s="71">
        <v>38108</v>
      </c>
      <c r="D24" s="75">
        <v>164877.35</v>
      </c>
      <c r="E24" s="75">
        <v>76942.69</v>
      </c>
      <c r="F24" s="66">
        <f t="shared" si="0"/>
        <v>4121.9337500000001</v>
      </c>
      <c r="G24" s="66">
        <f t="shared" si="1"/>
        <v>81064.623749999999</v>
      </c>
      <c r="H24" s="66">
        <f t="shared" si="8"/>
        <v>83812.726250000007</v>
      </c>
      <c r="I24" s="63" t="s">
        <v>182</v>
      </c>
      <c r="J24" s="77">
        <v>40</v>
      </c>
      <c r="K24" s="124"/>
      <c r="L24" s="63">
        <v>62.5</v>
      </c>
      <c r="M24" s="67">
        <f t="shared" si="2"/>
        <v>2638.0376000000001</v>
      </c>
      <c r="N24" s="67">
        <f t="shared" si="5"/>
        <v>-1483.89615</v>
      </c>
      <c r="O24" s="61"/>
      <c r="P24" s="61"/>
      <c r="Q24" s="68">
        <f t="shared" si="6"/>
        <v>20.7</v>
      </c>
      <c r="R24" s="69">
        <f t="shared" si="3"/>
        <v>19.3</v>
      </c>
      <c r="S24" s="69">
        <f t="shared" si="4"/>
        <v>41.8</v>
      </c>
    </row>
    <row r="25" spans="1:19" ht="15" customHeight="1" x14ac:dyDescent="0.35">
      <c r="A25" s="63">
        <v>67</v>
      </c>
      <c r="B25" s="64" t="s">
        <v>202</v>
      </c>
      <c r="C25" s="65">
        <v>38533</v>
      </c>
      <c r="D25" s="66">
        <v>14000</v>
      </c>
      <c r="E25" s="66">
        <v>6125</v>
      </c>
      <c r="F25" s="66">
        <f t="shared" si="0"/>
        <v>350</v>
      </c>
      <c r="G25" s="66">
        <f t="shared" si="1"/>
        <v>6475</v>
      </c>
      <c r="H25" s="66">
        <f t="shared" si="8"/>
        <v>7525</v>
      </c>
      <c r="I25" s="72" t="s">
        <v>182</v>
      </c>
      <c r="J25" s="78">
        <v>40</v>
      </c>
      <c r="K25" s="124"/>
      <c r="L25" s="63">
        <v>62.5</v>
      </c>
      <c r="M25" s="67">
        <f t="shared" si="2"/>
        <v>224</v>
      </c>
      <c r="N25" s="67">
        <f t="shared" si="5"/>
        <v>-126</v>
      </c>
      <c r="O25" s="61"/>
      <c r="P25" s="61"/>
      <c r="Q25" s="68">
        <f t="shared" si="6"/>
        <v>19.5</v>
      </c>
      <c r="R25" s="69">
        <f t="shared" si="3"/>
        <v>20.5</v>
      </c>
      <c r="S25" s="69">
        <f t="shared" si="4"/>
        <v>43</v>
      </c>
    </row>
    <row r="26" spans="1:19" ht="15" customHeight="1" x14ac:dyDescent="0.35">
      <c r="A26" s="63">
        <v>68</v>
      </c>
      <c r="B26" s="64" t="s">
        <v>203</v>
      </c>
      <c r="C26" s="65">
        <v>38533</v>
      </c>
      <c r="D26" s="66">
        <v>2800</v>
      </c>
      <c r="E26" s="66">
        <v>1225</v>
      </c>
      <c r="F26" s="66">
        <f t="shared" si="0"/>
        <v>70</v>
      </c>
      <c r="G26" s="66">
        <f t="shared" si="1"/>
        <v>1295</v>
      </c>
      <c r="H26" s="66">
        <f t="shared" si="8"/>
        <v>1505</v>
      </c>
      <c r="I26" s="63" t="s">
        <v>182</v>
      </c>
      <c r="J26" s="77">
        <v>40</v>
      </c>
      <c r="K26" s="124"/>
      <c r="L26" s="63">
        <v>62.5</v>
      </c>
      <c r="M26" s="67">
        <f t="shared" si="2"/>
        <v>44.8</v>
      </c>
      <c r="N26" s="67">
        <f t="shared" si="5"/>
        <v>-25.200000000000003</v>
      </c>
      <c r="O26" s="61"/>
      <c r="P26" s="61"/>
      <c r="Q26" s="68">
        <f t="shared" si="6"/>
        <v>19.5</v>
      </c>
      <c r="R26" s="69">
        <f t="shared" si="3"/>
        <v>20.5</v>
      </c>
      <c r="S26" s="69">
        <f t="shared" si="4"/>
        <v>43</v>
      </c>
    </row>
    <row r="27" spans="1:19" ht="15" customHeight="1" x14ac:dyDescent="0.35">
      <c r="A27" s="63">
        <v>87</v>
      </c>
      <c r="B27" s="64" t="s">
        <v>204</v>
      </c>
      <c r="C27" s="65">
        <v>39017</v>
      </c>
      <c r="D27" s="66">
        <v>46880</v>
      </c>
      <c r="E27" s="66">
        <v>18947.330000000002</v>
      </c>
      <c r="F27" s="66">
        <f t="shared" si="0"/>
        <v>1172</v>
      </c>
      <c r="G27" s="66">
        <f t="shared" si="1"/>
        <v>20119.330000000002</v>
      </c>
      <c r="H27" s="66">
        <f t="shared" si="8"/>
        <v>26760.67</v>
      </c>
      <c r="I27" s="72" t="s">
        <v>182</v>
      </c>
      <c r="J27" s="73">
        <v>40</v>
      </c>
      <c r="K27" s="124"/>
      <c r="L27" s="63">
        <v>62.5</v>
      </c>
      <c r="M27" s="67">
        <f t="shared" si="2"/>
        <v>750.08</v>
      </c>
      <c r="N27" s="67">
        <f t="shared" si="5"/>
        <v>-421.91999999999996</v>
      </c>
      <c r="O27" s="61"/>
      <c r="P27" s="61"/>
      <c r="Q27" s="68">
        <f t="shared" si="6"/>
        <v>18.2</v>
      </c>
      <c r="R27" s="69">
        <f t="shared" si="3"/>
        <v>21.8</v>
      </c>
      <c r="S27" s="69">
        <f>L27-Q27</f>
        <v>44.3</v>
      </c>
    </row>
    <row r="28" spans="1:19" ht="15" customHeight="1" x14ac:dyDescent="0.35">
      <c r="A28" s="63">
        <v>116</v>
      </c>
      <c r="B28" s="64" t="s">
        <v>205</v>
      </c>
      <c r="C28" s="65">
        <v>39202</v>
      </c>
      <c r="D28" s="66">
        <v>11763.08</v>
      </c>
      <c r="E28" s="66">
        <v>4607.25</v>
      </c>
      <c r="F28" s="66">
        <f t="shared" si="0"/>
        <v>294.077</v>
      </c>
      <c r="G28" s="66">
        <f t="shared" si="1"/>
        <v>4901.3270000000002</v>
      </c>
      <c r="H28" s="66">
        <f t="shared" si="8"/>
        <v>6861.7529999999997</v>
      </c>
      <c r="I28" s="72" t="s">
        <v>182</v>
      </c>
      <c r="J28" s="73">
        <v>40</v>
      </c>
      <c r="K28" s="124"/>
      <c r="L28" s="63">
        <v>62.5</v>
      </c>
      <c r="M28" s="67">
        <f t="shared" si="2"/>
        <v>188.20928000000001</v>
      </c>
      <c r="N28" s="67">
        <f t="shared" si="5"/>
        <v>-105.86771999999999</v>
      </c>
      <c r="O28" s="61"/>
      <c r="P28" s="61"/>
      <c r="Q28" s="68">
        <f t="shared" si="6"/>
        <v>17.7</v>
      </c>
      <c r="R28" s="69">
        <f t="shared" si="3"/>
        <v>22.3</v>
      </c>
      <c r="S28" s="69">
        <f t="shared" si="4"/>
        <v>44.8</v>
      </c>
    </row>
    <row r="29" spans="1:19" ht="15" customHeight="1" x14ac:dyDescent="0.35">
      <c r="A29" s="63">
        <v>117</v>
      </c>
      <c r="B29" s="64" t="s">
        <v>206</v>
      </c>
      <c r="C29" s="65">
        <v>39427</v>
      </c>
      <c r="D29" s="66">
        <v>109425.54</v>
      </c>
      <c r="E29" s="66">
        <v>41262.57</v>
      </c>
      <c r="F29" s="66">
        <f t="shared" si="0"/>
        <v>2735.6385</v>
      </c>
      <c r="G29" s="66">
        <f>E29+F29</f>
        <v>43998.208500000001</v>
      </c>
      <c r="H29" s="66">
        <f t="shared" si="8"/>
        <v>65427.331499999993</v>
      </c>
      <c r="I29" s="63" t="s">
        <v>182</v>
      </c>
      <c r="J29" s="63">
        <v>40</v>
      </c>
      <c r="K29" s="124"/>
      <c r="L29" s="63">
        <v>62.5</v>
      </c>
      <c r="M29" s="67">
        <f t="shared" si="2"/>
        <v>1750.80864</v>
      </c>
      <c r="N29" s="67">
        <f t="shared" si="5"/>
        <v>-984.82986000000005</v>
      </c>
      <c r="O29" s="61"/>
      <c r="P29" s="61"/>
      <c r="Q29" s="68">
        <f t="shared" si="6"/>
        <v>17.100000000000001</v>
      </c>
      <c r="R29" s="69">
        <f t="shared" si="3"/>
        <v>22.9</v>
      </c>
      <c r="S29" s="69">
        <f t="shared" si="4"/>
        <v>45.4</v>
      </c>
    </row>
    <row r="30" spans="1:19" ht="15" customHeight="1" x14ac:dyDescent="0.35">
      <c r="A30" s="63">
        <v>132</v>
      </c>
      <c r="B30" s="64" t="s">
        <v>207</v>
      </c>
      <c r="C30" s="65">
        <v>39812</v>
      </c>
      <c r="D30" s="66">
        <v>533212.35</v>
      </c>
      <c r="E30" s="66">
        <v>186624.34</v>
      </c>
      <c r="F30" s="66">
        <f t="shared" si="0"/>
        <v>13330.30875</v>
      </c>
      <c r="G30" s="66">
        <f t="shared" si="1"/>
        <v>199954.64874999999</v>
      </c>
      <c r="H30" s="66">
        <f t="shared" si="8"/>
        <v>333257.70124999998</v>
      </c>
      <c r="I30" s="63" t="s">
        <v>182</v>
      </c>
      <c r="J30" s="63">
        <v>40</v>
      </c>
      <c r="K30" s="124"/>
      <c r="L30" s="63">
        <v>62.5</v>
      </c>
      <c r="M30" s="67">
        <f t="shared" si="2"/>
        <v>8531.3976000000002</v>
      </c>
      <c r="N30" s="67">
        <f t="shared" si="5"/>
        <v>-4798.9111499999999</v>
      </c>
      <c r="O30" s="61"/>
      <c r="P30" s="61"/>
      <c r="Q30" s="68">
        <f t="shared" si="6"/>
        <v>16</v>
      </c>
      <c r="R30" s="69">
        <f t="shared" si="3"/>
        <v>24</v>
      </c>
      <c r="S30" s="69">
        <f t="shared" si="4"/>
        <v>46.5</v>
      </c>
    </row>
    <row r="31" spans="1:19" ht="15" customHeight="1" x14ac:dyDescent="0.35">
      <c r="A31" s="63">
        <v>133</v>
      </c>
      <c r="B31" s="74" t="s">
        <v>208</v>
      </c>
      <c r="C31" s="65">
        <v>39497</v>
      </c>
      <c r="D31" s="76">
        <v>91305.1</v>
      </c>
      <c r="E31" s="76">
        <v>33859.01</v>
      </c>
      <c r="F31" s="66">
        <f t="shared" si="0"/>
        <v>2282.6275000000001</v>
      </c>
      <c r="G31" s="66">
        <f t="shared" si="1"/>
        <v>36141.637500000004</v>
      </c>
      <c r="H31" s="66">
        <f t="shared" si="8"/>
        <v>55163.462500000001</v>
      </c>
      <c r="I31" s="63" t="s">
        <v>182</v>
      </c>
      <c r="J31" s="77">
        <v>40</v>
      </c>
      <c r="K31" s="124"/>
      <c r="L31" s="63">
        <v>62.5</v>
      </c>
      <c r="M31" s="67">
        <f t="shared" si="2"/>
        <v>1460.8816000000002</v>
      </c>
      <c r="N31" s="67">
        <f t="shared" si="5"/>
        <v>-821.74589999999989</v>
      </c>
      <c r="O31" s="61"/>
      <c r="P31" s="61"/>
      <c r="Q31" s="68">
        <f t="shared" si="6"/>
        <v>16.899999999999999</v>
      </c>
      <c r="R31" s="69">
        <f t="shared" si="3"/>
        <v>23.1</v>
      </c>
      <c r="S31" s="69">
        <f t="shared" si="4"/>
        <v>45.6</v>
      </c>
    </row>
    <row r="32" spans="1:19" ht="15" customHeight="1" x14ac:dyDescent="0.35">
      <c r="A32" s="63">
        <v>135</v>
      </c>
      <c r="B32" s="64" t="s">
        <v>209</v>
      </c>
      <c r="C32" s="65">
        <v>39902</v>
      </c>
      <c r="D32" s="66">
        <v>2468415.41</v>
      </c>
      <c r="E32" s="66">
        <v>848517.86</v>
      </c>
      <c r="F32" s="66">
        <f t="shared" si="0"/>
        <v>61710.385250000007</v>
      </c>
      <c r="G32" s="66">
        <f t="shared" si="1"/>
        <v>910228.24525000004</v>
      </c>
      <c r="H32" s="66">
        <f t="shared" si="8"/>
        <v>1558187.16475</v>
      </c>
      <c r="I32" s="72" t="s">
        <v>182</v>
      </c>
      <c r="J32" s="73">
        <v>40</v>
      </c>
      <c r="K32" s="124"/>
      <c r="L32" s="63">
        <v>62.5</v>
      </c>
      <c r="M32" s="67">
        <f t="shared" si="2"/>
        <v>39494.646560000001</v>
      </c>
      <c r="N32" s="67">
        <f t="shared" si="5"/>
        <v>-22215.738690000006</v>
      </c>
      <c r="O32" s="61"/>
      <c r="P32" s="61"/>
      <c r="Q32" s="68">
        <f t="shared" si="6"/>
        <v>15.8</v>
      </c>
      <c r="R32" s="69">
        <f t="shared" si="3"/>
        <v>24.2</v>
      </c>
      <c r="S32" s="69">
        <f t="shared" si="4"/>
        <v>46.7</v>
      </c>
    </row>
    <row r="33" spans="1:19" ht="15" customHeight="1" x14ac:dyDescent="0.35">
      <c r="A33" s="63">
        <v>136</v>
      </c>
      <c r="B33" s="74" t="s">
        <v>210</v>
      </c>
      <c r="C33" s="71">
        <v>40142</v>
      </c>
      <c r="D33" s="75">
        <v>27372.14</v>
      </c>
      <c r="E33" s="75">
        <v>8952.93</v>
      </c>
      <c r="F33" s="66">
        <f t="shared" si="0"/>
        <v>684.30349999999999</v>
      </c>
      <c r="G33" s="66">
        <f t="shared" si="1"/>
        <v>9637.2335000000003</v>
      </c>
      <c r="H33" s="66">
        <f t="shared" si="8"/>
        <v>17734.906499999997</v>
      </c>
      <c r="I33" s="63" t="s">
        <v>182</v>
      </c>
      <c r="J33" s="77">
        <v>40</v>
      </c>
      <c r="K33" s="124"/>
      <c r="L33" s="63">
        <v>62.5</v>
      </c>
      <c r="M33" s="67">
        <f t="shared" si="2"/>
        <v>437.95423999999997</v>
      </c>
      <c r="N33" s="67">
        <f t="shared" si="5"/>
        <v>-246.34926000000002</v>
      </c>
      <c r="O33" s="61"/>
      <c r="P33" s="61"/>
      <c r="Q33" s="68">
        <f t="shared" si="6"/>
        <v>15.1</v>
      </c>
      <c r="R33" s="69">
        <f t="shared" si="3"/>
        <v>24.9</v>
      </c>
      <c r="S33" s="69">
        <f t="shared" si="4"/>
        <v>47.4</v>
      </c>
    </row>
    <row r="34" spans="1:19" ht="15" customHeight="1" x14ac:dyDescent="0.35">
      <c r="A34" s="63">
        <v>139</v>
      </c>
      <c r="B34" s="64" t="s">
        <v>211</v>
      </c>
      <c r="C34" s="65">
        <v>40227</v>
      </c>
      <c r="D34" s="66">
        <v>2500</v>
      </c>
      <c r="E34" s="66">
        <v>1604.17</v>
      </c>
      <c r="F34" s="66">
        <f t="shared" si="0"/>
        <v>125</v>
      </c>
      <c r="G34" s="66">
        <f>E34+F34</f>
        <v>1729.17</v>
      </c>
      <c r="H34" s="66">
        <f>D34-G34</f>
        <v>770.82999999999993</v>
      </c>
      <c r="I34" s="72" t="s">
        <v>182</v>
      </c>
      <c r="J34" s="73">
        <v>20</v>
      </c>
      <c r="K34" s="124"/>
      <c r="L34" s="73">
        <v>62.5</v>
      </c>
      <c r="M34" s="67">
        <f t="shared" si="2"/>
        <v>40</v>
      </c>
      <c r="N34" s="67">
        <f t="shared" si="5"/>
        <v>-85</v>
      </c>
      <c r="O34" s="61"/>
      <c r="P34" s="61"/>
      <c r="Q34" s="68">
        <f t="shared" si="6"/>
        <v>14.9</v>
      </c>
      <c r="R34" s="69">
        <f t="shared" si="3"/>
        <v>5.0999999999999996</v>
      </c>
      <c r="S34" s="69">
        <f t="shared" si="4"/>
        <v>47.6</v>
      </c>
    </row>
    <row r="35" spans="1:19" ht="15" customHeight="1" x14ac:dyDescent="0.35">
      <c r="A35" s="63">
        <v>140</v>
      </c>
      <c r="B35" s="64" t="s">
        <v>212</v>
      </c>
      <c r="C35" s="65">
        <v>40504</v>
      </c>
      <c r="D35" s="79">
        <v>6632.51</v>
      </c>
      <c r="E35" s="66">
        <v>2003.54</v>
      </c>
      <c r="F35" s="66">
        <f t="shared" si="0"/>
        <v>165.81274999999999</v>
      </c>
      <c r="G35" s="66">
        <f>E35+F35</f>
        <v>2169.35275</v>
      </c>
      <c r="H35" s="66">
        <f>D35-G35</f>
        <v>4463.1572500000002</v>
      </c>
      <c r="I35" s="63" t="s">
        <v>182</v>
      </c>
      <c r="J35" s="63">
        <v>40</v>
      </c>
      <c r="K35" s="124"/>
      <c r="L35" s="63">
        <v>62.5</v>
      </c>
      <c r="M35" s="67">
        <f t="shared" si="2"/>
        <v>106.12016</v>
      </c>
      <c r="N35" s="67">
        <f t="shared" si="5"/>
        <v>-59.692589999999996</v>
      </c>
      <c r="O35" s="61"/>
      <c r="P35" s="61"/>
      <c r="Q35" s="68">
        <f t="shared" si="6"/>
        <v>14.1</v>
      </c>
      <c r="R35" s="69">
        <f t="shared" si="3"/>
        <v>25.9</v>
      </c>
      <c r="S35" s="69">
        <f t="shared" si="4"/>
        <v>48.4</v>
      </c>
    </row>
    <row r="36" spans="1:19" ht="15" customHeight="1" x14ac:dyDescent="0.35">
      <c r="A36" s="63">
        <v>141</v>
      </c>
      <c r="B36" s="64" t="s">
        <v>213</v>
      </c>
      <c r="C36" s="65">
        <v>40473</v>
      </c>
      <c r="D36" s="66">
        <v>8480.0499999999993</v>
      </c>
      <c r="E36" s="66">
        <v>2579.33</v>
      </c>
      <c r="F36" s="66">
        <f t="shared" ref="F36:F77" si="9">D36/J36</f>
        <v>212.00124999999997</v>
      </c>
      <c r="G36" s="66">
        <f t="shared" si="1"/>
        <v>2791.3312499999997</v>
      </c>
      <c r="H36" s="66">
        <f t="shared" si="8"/>
        <v>5688.71875</v>
      </c>
      <c r="I36" s="63" t="s">
        <v>182</v>
      </c>
      <c r="J36" s="63">
        <v>40</v>
      </c>
      <c r="K36" s="124"/>
      <c r="L36" s="63">
        <v>62.5</v>
      </c>
      <c r="M36" s="67">
        <f t="shared" si="2"/>
        <v>135.68079999999998</v>
      </c>
      <c r="N36" s="67">
        <f>M36-F36</f>
        <v>-76.320449999999994</v>
      </c>
      <c r="O36" s="61"/>
      <c r="P36" s="61"/>
      <c r="Q36" s="68">
        <f t="shared" si="6"/>
        <v>14.2</v>
      </c>
      <c r="R36" s="69">
        <f t="shared" si="3"/>
        <v>25.8</v>
      </c>
      <c r="S36" s="69">
        <f t="shared" si="4"/>
        <v>48.3</v>
      </c>
    </row>
    <row r="37" spans="1:19" ht="15" customHeight="1" x14ac:dyDescent="0.35">
      <c r="A37" s="63">
        <v>142</v>
      </c>
      <c r="B37" s="64" t="s">
        <v>214</v>
      </c>
      <c r="C37" s="65">
        <v>40473</v>
      </c>
      <c r="D37" s="66">
        <v>49023.78</v>
      </c>
      <c r="E37" s="66">
        <v>14911.35</v>
      </c>
      <c r="F37" s="66">
        <f t="shared" si="9"/>
        <v>1225.5944999999999</v>
      </c>
      <c r="G37" s="66">
        <f t="shared" si="1"/>
        <v>16136.9445</v>
      </c>
      <c r="H37" s="66">
        <f t="shared" si="8"/>
        <v>32886.835500000001</v>
      </c>
      <c r="I37" s="72" t="s">
        <v>182</v>
      </c>
      <c r="J37" s="73">
        <v>40</v>
      </c>
      <c r="K37" s="124"/>
      <c r="L37" s="73">
        <v>62.5</v>
      </c>
      <c r="M37" s="67">
        <f t="shared" ref="M37:M111" si="10">D37/L37</f>
        <v>784.38048000000003</v>
      </c>
      <c r="N37" s="67">
        <f t="shared" si="5"/>
        <v>-441.21401999999989</v>
      </c>
      <c r="O37" s="61"/>
      <c r="P37" s="61"/>
      <c r="Q37" s="68">
        <f t="shared" si="6"/>
        <v>14.2</v>
      </c>
      <c r="R37" s="69">
        <f t="shared" si="3"/>
        <v>25.8</v>
      </c>
      <c r="S37" s="69">
        <f t="shared" si="4"/>
        <v>48.3</v>
      </c>
    </row>
    <row r="38" spans="1:19" ht="15" customHeight="1" x14ac:dyDescent="0.35">
      <c r="A38" s="80">
        <v>143</v>
      </c>
      <c r="B38" s="81" t="s">
        <v>215</v>
      </c>
      <c r="C38" s="82">
        <v>40360</v>
      </c>
      <c r="D38" s="83">
        <v>42846.53</v>
      </c>
      <c r="E38" s="83">
        <v>13389.5</v>
      </c>
      <c r="F38" s="66">
        <f t="shared" si="9"/>
        <v>1071.1632500000001</v>
      </c>
      <c r="G38" s="66">
        <f t="shared" si="1"/>
        <v>14460.66325</v>
      </c>
      <c r="H38" s="66">
        <f t="shared" si="8"/>
        <v>28385.866750000001</v>
      </c>
      <c r="I38" s="84" t="s">
        <v>182</v>
      </c>
      <c r="J38" s="113">
        <v>40</v>
      </c>
      <c r="K38" s="124"/>
      <c r="L38" s="63">
        <v>62.5</v>
      </c>
      <c r="M38" s="67">
        <f t="shared" si="10"/>
        <v>685.54448000000002</v>
      </c>
      <c r="N38" s="67">
        <f t="shared" si="5"/>
        <v>-385.61877000000004</v>
      </c>
      <c r="O38" s="61"/>
      <c r="P38" s="61"/>
      <c r="Q38" s="68">
        <f t="shared" si="6"/>
        <v>14.5</v>
      </c>
      <c r="R38" s="69">
        <f t="shared" si="3"/>
        <v>25.5</v>
      </c>
      <c r="S38" s="69">
        <f t="shared" si="4"/>
        <v>48</v>
      </c>
    </row>
    <row r="39" spans="1:19" ht="15" customHeight="1" x14ac:dyDescent="0.35">
      <c r="A39" s="63">
        <v>147</v>
      </c>
      <c r="B39" s="64" t="s">
        <v>216</v>
      </c>
      <c r="C39" s="65">
        <v>40724</v>
      </c>
      <c r="D39" s="66">
        <v>407069.09</v>
      </c>
      <c r="E39" s="66">
        <v>117032.39</v>
      </c>
      <c r="F39" s="66">
        <f t="shared" si="9"/>
        <v>10176.72725</v>
      </c>
      <c r="G39" s="66">
        <f t="shared" si="1"/>
        <v>127209.11725</v>
      </c>
      <c r="H39" s="66">
        <f t="shared" si="8"/>
        <v>279859.97275000002</v>
      </c>
      <c r="I39" s="63" t="s">
        <v>182</v>
      </c>
      <c r="J39" s="63">
        <v>40</v>
      </c>
      <c r="K39" s="124"/>
      <c r="L39" s="63">
        <v>62.5</v>
      </c>
      <c r="M39" s="67">
        <f t="shared" si="10"/>
        <v>6513.1054400000003</v>
      </c>
      <c r="N39" s="67">
        <f t="shared" si="5"/>
        <v>-3663.6218099999996</v>
      </c>
      <c r="O39" s="61"/>
      <c r="P39" s="61"/>
      <c r="Q39" s="68">
        <f t="shared" si="6"/>
        <v>13.5</v>
      </c>
      <c r="R39" s="69">
        <f t="shared" si="3"/>
        <v>26.5</v>
      </c>
      <c r="S39" s="69">
        <f t="shared" si="4"/>
        <v>49</v>
      </c>
    </row>
    <row r="40" spans="1:19" ht="15" customHeight="1" x14ac:dyDescent="0.35">
      <c r="A40" s="63">
        <v>152</v>
      </c>
      <c r="B40" s="74" t="s">
        <v>217</v>
      </c>
      <c r="C40" s="71">
        <v>40725</v>
      </c>
      <c r="D40" s="75">
        <v>2970</v>
      </c>
      <c r="E40" s="75">
        <v>853.88</v>
      </c>
      <c r="F40" s="66">
        <f t="shared" si="9"/>
        <v>74.25</v>
      </c>
      <c r="G40" s="66">
        <f t="shared" si="1"/>
        <v>928.13</v>
      </c>
      <c r="H40" s="66">
        <f t="shared" si="8"/>
        <v>2041.87</v>
      </c>
      <c r="I40" s="63" t="s">
        <v>182</v>
      </c>
      <c r="J40" s="77">
        <v>40</v>
      </c>
      <c r="K40" s="124"/>
      <c r="L40" s="63">
        <v>62.5</v>
      </c>
      <c r="M40" s="67">
        <f t="shared" si="10"/>
        <v>47.52</v>
      </c>
      <c r="N40" s="67">
        <f t="shared" si="5"/>
        <v>-26.729999999999997</v>
      </c>
      <c r="O40" s="61"/>
      <c r="P40" s="61"/>
      <c r="Q40" s="68">
        <f t="shared" si="6"/>
        <v>13.5</v>
      </c>
      <c r="R40" s="69">
        <f t="shared" si="3"/>
        <v>26.5</v>
      </c>
      <c r="S40" s="69">
        <f t="shared" si="4"/>
        <v>49</v>
      </c>
    </row>
    <row r="41" spans="1:19" ht="15" customHeight="1" x14ac:dyDescent="0.35">
      <c r="A41" s="63">
        <v>155</v>
      </c>
      <c r="B41" s="74" t="s">
        <v>218</v>
      </c>
      <c r="C41" s="65">
        <v>40725</v>
      </c>
      <c r="D41" s="76">
        <v>1006.5</v>
      </c>
      <c r="E41" s="76">
        <v>289.33999999999997</v>
      </c>
      <c r="F41" s="66">
        <f t="shared" si="9"/>
        <v>25.162500000000001</v>
      </c>
      <c r="G41" s="66">
        <f t="shared" si="1"/>
        <v>314.5025</v>
      </c>
      <c r="H41" s="66">
        <f t="shared" si="8"/>
        <v>691.99749999999995</v>
      </c>
      <c r="I41" s="63" t="s">
        <v>182</v>
      </c>
      <c r="J41" s="77">
        <v>40</v>
      </c>
      <c r="K41" s="124"/>
      <c r="L41" s="63">
        <v>62.5</v>
      </c>
      <c r="M41" s="67">
        <f t="shared" si="10"/>
        <v>16.103999999999999</v>
      </c>
      <c r="N41" s="67">
        <f t="shared" si="5"/>
        <v>-9.0585000000000022</v>
      </c>
      <c r="O41" s="61"/>
      <c r="P41" s="61"/>
      <c r="Q41" s="68">
        <f t="shared" si="6"/>
        <v>13.5</v>
      </c>
      <c r="R41" s="69">
        <f t="shared" si="3"/>
        <v>26.5</v>
      </c>
      <c r="S41" s="69">
        <f t="shared" si="4"/>
        <v>49</v>
      </c>
    </row>
    <row r="42" spans="1:19" ht="15" customHeight="1" x14ac:dyDescent="0.35">
      <c r="A42" s="63">
        <v>159</v>
      </c>
      <c r="B42" s="64" t="s">
        <v>219</v>
      </c>
      <c r="C42" s="65">
        <v>41053</v>
      </c>
      <c r="D42" s="66">
        <v>41974.35</v>
      </c>
      <c r="E42" s="66">
        <v>11105.73</v>
      </c>
      <c r="F42" s="66">
        <f t="shared" si="9"/>
        <v>1049.3587499999999</v>
      </c>
      <c r="G42" s="66">
        <f t="shared" si="1"/>
        <v>12155.088749999999</v>
      </c>
      <c r="H42" s="66">
        <f t="shared" si="8"/>
        <v>29819.26125</v>
      </c>
      <c r="I42" s="72" t="s">
        <v>182</v>
      </c>
      <c r="J42" s="73">
        <v>40</v>
      </c>
      <c r="K42" s="124"/>
      <c r="L42" s="73">
        <v>62.5</v>
      </c>
      <c r="M42" s="67">
        <f t="shared" si="10"/>
        <v>671.58960000000002</v>
      </c>
      <c r="N42" s="67">
        <f t="shared" si="5"/>
        <v>-377.76914999999985</v>
      </c>
      <c r="O42" s="61"/>
      <c r="P42" s="61"/>
      <c r="Q42" s="68">
        <f t="shared" si="6"/>
        <v>12.6</v>
      </c>
      <c r="R42" s="69">
        <f t="shared" si="3"/>
        <v>27.4</v>
      </c>
      <c r="S42" s="69">
        <f t="shared" si="4"/>
        <v>49.9</v>
      </c>
    </row>
    <row r="43" spans="1:19" ht="15" customHeight="1" x14ac:dyDescent="0.35">
      <c r="A43" s="84">
        <v>160</v>
      </c>
      <c r="B43" s="81" t="s">
        <v>220</v>
      </c>
      <c r="C43" s="82">
        <v>41179</v>
      </c>
      <c r="D43" s="83">
        <v>649621.28</v>
      </c>
      <c r="E43" s="83">
        <v>166465.43</v>
      </c>
      <c r="F43" s="66">
        <f t="shared" si="9"/>
        <v>16240.532000000001</v>
      </c>
      <c r="G43" s="66">
        <f t="shared" si="1"/>
        <v>182705.962</v>
      </c>
      <c r="H43" s="66">
        <f t="shared" si="8"/>
        <v>466915.31800000003</v>
      </c>
      <c r="I43" s="72" t="s">
        <v>182</v>
      </c>
      <c r="J43" s="73">
        <v>40</v>
      </c>
      <c r="K43" s="124"/>
      <c r="L43" s="63">
        <v>62.5</v>
      </c>
      <c r="M43" s="67">
        <f t="shared" si="10"/>
        <v>10393.940480000001</v>
      </c>
      <c r="N43" s="67">
        <f t="shared" si="5"/>
        <v>-5846.5915199999999</v>
      </c>
      <c r="O43" s="61"/>
      <c r="P43" s="61"/>
      <c r="Q43" s="68">
        <f t="shared" si="6"/>
        <v>12.3</v>
      </c>
      <c r="R43" s="69">
        <f t="shared" si="3"/>
        <v>27.7</v>
      </c>
      <c r="S43" s="69">
        <f t="shared" si="4"/>
        <v>50.2</v>
      </c>
    </row>
    <row r="44" spans="1:19" ht="15" customHeight="1" x14ac:dyDescent="0.35">
      <c r="A44" s="63">
        <v>161</v>
      </c>
      <c r="B44" s="64" t="s">
        <v>221</v>
      </c>
      <c r="C44" s="65">
        <v>41623</v>
      </c>
      <c r="D44" s="66">
        <v>114964.4</v>
      </c>
      <c r="E44" s="66">
        <v>26106.5</v>
      </c>
      <c r="F44" s="66">
        <f t="shared" si="9"/>
        <v>2874.1099999999997</v>
      </c>
      <c r="G44" s="66">
        <f t="shared" si="1"/>
        <v>28980.61</v>
      </c>
      <c r="H44" s="66">
        <f t="shared" si="8"/>
        <v>85983.79</v>
      </c>
      <c r="I44" s="72" t="s">
        <v>182</v>
      </c>
      <c r="J44" s="73">
        <v>40</v>
      </c>
      <c r="K44" s="124"/>
      <c r="L44" s="63">
        <v>62.5</v>
      </c>
      <c r="M44" s="67">
        <f t="shared" si="10"/>
        <v>1839.4304</v>
      </c>
      <c r="N44" s="67">
        <f t="shared" si="5"/>
        <v>-1034.6795999999997</v>
      </c>
      <c r="O44" s="61"/>
      <c r="P44" s="61"/>
      <c r="Q44" s="68">
        <f t="shared" si="6"/>
        <v>11.1</v>
      </c>
      <c r="R44" s="69">
        <f t="shared" si="3"/>
        <v>28.9</v>
      </c>
      <c r="S44" s="69">
        <f t="shared" si="4"/>
        <v>51.4</v>
      </c>
    </row>
    <row r="45" spans="1:19" ht="15" customHeight="1" x14ac:dyDescent="0.35">
      <c r="A45" s="63">
        <v>171</v>
      </c>
      <c r="B45" s="64" t="s">
        <v>222</v>
      </c>
      <c r="C45" s="65">
        <v>41939</v>
      </c>
      <c r="D45" s="66">
        <v>156186</v>
      </c>
      <c r="E45" s="66">
        <v>25510.38</v>
      </c>
      <c r="F45" s="66">
        <f t="shared" si="9"/>
        <v>3123.72</v>
      </c>
      <c r="G45" s="66">
        <f t="shared" si="1"/>
        <v>28634.100000000002</v>
      </c>
      <c r="H45" s="66">
        <f t="shared" si="8"/>
        <v>127551.9</v>
      </c>
      <c r="I45" s="72" t="s">
        <v>182</v>
      </c>
      <c r="J45" s="73">
        <v>50</v>
      </c>
      <c r="K45" s="124"/>
      <c r="L45" s="63">
        <v>62.5</v>
      </c>
      <c r="M45" s="67">
        <f t="shared" si="10"/>
        <v>2498.9760000000001</v>
      </c>
      <c r="N45" s="67">
        <f t="shared" si="5"/>
        <v>-624.74399999999969</v>
      </c>
      <c r="O45" s="61"/>
      <c r="P45" s="61"/>
      <c r="Q45" s="68">
        <f t="shared" si="6"/>
        <v>10.199999999999999</v>
      </c>
      <c r="R45" s="69">
        <f t="shared" si="3"/>
        <v>39.799999999999997</v>
      </c>
      <c r="S45" s="69">
        <f t="shared" si="4"/>
        <v>52.3</v>
      </c>
    </row>
    <row r="46" spans="1:19" ht="15" customHeight="1" x14ac:dyDescent="0.35">
      <c r="A46" s="63">
        <v>172</v>
      </c>
      <c r="B46" s="64" t="s">
        <v>223</v>
      </c>
      <c r="C46" s="65" t="s">
        <v>224</v>
      </c>
      <c r="D46" s="66">
        <v>26466.400000000001</v>
      </c>
      <c r="E46" s="66">
        <v>4278.75</v>
      </c>
      <c r="F46" s="66">
        <f t="shared" si="9"/>
        <v>529.32799999999997</v>
      </c>
      <c r="G46" s="66">
        <f t="shared" si="1"/>
        <v>4808.0779999999995</v>
      </c>
      <c r="H46" s="66">
        <f t="shared" si="8"/>
        <v>21658.322</v>
      </c>
      <c r="I46" s="63" t="s">
        <v>182</v>
      </c>
      <c r="J46" s="63">
        <v>50</v>
      </c>
      <c r="K46" s="124"/>
      <c r="L46" s="63">
        <v>62.5</v>
      </c>
      <c r="M46" s="67">
        <f t="shared" si="10"/>
        <v>423.4624</v>
      </c>
      <c r="N46" s="67">
        <f t="shared" si="5"/>
        <v>-105.86559999999997</v>
      </c>
      <c r="O46" s="61"/>
      <c r="P46" s="61"/>
      <c r="Q46" s="68" t="e">
        <f t="shared" si="6"/>
        <v>#VALUE!</v>
      </c>
      <c r="R46" s="69" t="e">
        <f t="shared" si="3"/>
        <v>#VALUE!</v>
      </c>
      <c r="S46" s="69" t="e">
        <f t="shared" si="4"/>
        <v>#VALUE!</v>
      </c>
    </row>
    <row r="47" spans="1:19" ht="15" customHeight="1" x14ac:dyDescent="0.35">
      <c r="A47" s="63">
        <v>202</v>
      </c>
      <c r="B47" s="64" t="s">
        <v>225</v>
      </c>
      <c r="C47" s="65">
        <v>42275</v>
      </c>
      <c r="D47" s="66">
        <v>14851.97</v>
      </c>
      <c r="E47" s="66">
        <v>2153.54</v>
      </c>
      <c r="F47" s="66">
        <f t="shared" si="9"/>
        <v>297.0394</v>
      </c>
      <c r="G47" s="66">
        <f t="shared" si="1"/>
        <v>2450.5794000000001</v>
      </c>
      <c r="H47" s="66">
        <f t="shared" si="8"/>
        <v>12401.390599999999</v>
      </c>
      <c r="I47" s="72" t="s">
        <v>182</v>
      </c>
      <c r="J47" s="73">
        <v>50</v>
      </c>
      <c r="K47" s="124"/>
      <c r="L47" s="63">
        <v>62.5</v>
      </c>
      <c r="M47" s="67">
        <f t="shared" si="10"/>
        <v>237.63151999999999</v>
      </c>
      <c r="N47" s="67">
        <f t="shared" si="5"/>
        <v>-59.407880000000006</v>
      </c>
      <c r="O47" s="61"/>
      <c r="P47" s="61"/>
      <c r="Q47" s="68">
        <f t="shared" si="6"/>
        <v>9.3000000000000007</v>
      </c>
      <c r="R47" s="69">
        <f t="shared" si="3"/>
        <v>40.700000000000003</v>
      </c>
      <c r="S47" s="69">
        <f t="shared" si="4"/>
        <v>53.2</v>
      </c>
    </row>
    <row r="48" spans="1:19" ht="15" customHeight="1" x14ac:dyDescent="0.35">
      <c r="A48" s="63">
        <v>246</v>
      </c>
      <c r="B48" s="74" t="s">
        <v>226</v>
      </c>
      <c r="C48" s="71">
        <v>44299</v>
      </c>
      <c r="D48" s="75">
        <v>6460</v>
      </c>
      <c r="E48" s="75">
        <v>1130.5</v>
      </c>
      <c r="F48" s="66">
        <f t="shared" si="9"/>
        <v>646</v>
      </c>
      <c r="G48" s="66">
        <f t="shared" si="1"/>
        <v>1776.5</v>
      </c>
      <c r="H48" s="66">
        <f t="shared" ref="H48:H54" si="11">D48-G48</f>
        <v>4683.5</v>
      </c>
      <c r="I48" s="63" t="s">
        <v>182</v>
      </c>
      <c r="J48" s="77">
        <v>10</v>
      </c>
      <c r="K48" s="124"/>
      <c r="L48" s="63">
        <v>10</v>
      </c>
      <c r="M48" s="67">
        <f t="shared" si="10"/>
        <v>646</v>
      </c>
      <c r="N48" s="67">
        <f t="shared" si="5"/>
        <v>0</v>
      </c>
      <c r="O48" s="61"/>
      <c r="P48" s="61"/>
      <c r="Q48" s="68">
        <f t="shared" si="6"/>
        <v>3.7</v>
      </c>
      <c r="R48" s="69">
        <f t="shared" si="3"/>
        <v>6.3</v>
      </c>
      <c r="S48" s="69">
        <f t="shared" si="4"/>
        <v>6.3</v>
      </c>
    </row>
    <row r="49" spans="1:19" ht="15" customHeight="1" x14ac:dyDescent="0.35">
      <c r="A49" s="63">
        <v>250</v>
      </c>
      <c r="B49" s="64" t="s">
        <v>227</v>
      </c>
      <c r="C49" s="71">
        <v>44708</v>
      </c>
      <c r="D49" s="66">
        <v>37390</v>
      </c>
      <c r="E49" s="66">
        <v>545.27</v>
      </c>
      <c r="F49" s="66">
        <f t="shared" si="9"/>
        <v>934.75</v>
      </c>
      <c r="G49" s="66">
        <f t="shared" si="1"/>
        <v>1480.02</v>
      </c>
      <c r="H49" s="66">
        <f t="shared" si="11"/>
        <v>35909.980000000003</v>
      </c>
      <c r="I49" s="84" t="s">
        <v>182</v>
      </c>
      <c r="J49" s="113">
        <v>40</v>
      </c>
      <c r="K49" s="124"/>
      <c r="L49" s="63">
        <v>62.5</v>
      </c>
      <c r="M49" s="67">
        <f t="shared" si="10"/>
        <v>598.24</v>
      </c>
      <c r="N49" s="67">
        <f t="shared" si="5"/>
        <v>-336.51</v>
      </c>
      <c r="O49" s="61"/>
      <c r="P49" s="61"/>
      <c r="Q49" s="68">
        <f t="shared" si="6"/>
        <v>2.6</v>
      </c>
      <c r="R49" s="69">
        <f t="shared" si="3"/>
        <v>37.4</v>
      </c>
      <c r="S49" s="69">
        <f t="shared" si="4"/>
        <v>59.9</v>
      </c>
    </row>
    <row r="50" spans="1:19" ht="15" customHeight="1" x14ac:dyDescent="0.35">
      <c r="A50" s="63">
        <v>261</v>
      </c>
      <c r="B50" s="64" t="s">
        <v>228</v>
      </c>
      <c r="C50" s="65">
        <v>45192</v>
      </c>
      <c r="D50" s="66">
        <v>101224.55</v>
      </c>
      <c r="E50" s="66"/>
      <c r="F50" s="66">
        <v>632.65</v>
      </c>
      <c r="G50" s="66">
        <f t="shared" si="1"/>
        <v>632.65</v>
      </c>
      <c r="H50" s="66">
        <f t="shared" si="11"/>
        <v>100591.90000000001</v>
      </c>
      <c r="I50" s="63" t="s">
        <v>182</v>
      </c>
      <c r="J50" s="63">
        <v>40</v>
      </c>
      <c r="K50" s="124"/>
      <c r="L50" s="63">
        <v>62.5</v>
      </c>
      <c r="M50" s="67">
        <f t="shared" si="10"/>
        <v>1619.5928000000001</v>
      </c>
      <c r="N50" s="67">
        <f t="shared" si="5"/>
        <v>986.94280000000015</v>
      </c>
      <c r="O50" s="61"/>
      <c r="P50" s="61"/>
      <c r="Q50" s="68">
        <f t="shared" si="6"/>
        <v>1.3</v>
      </c>
      <c r="R50" s="69">
        <f t="shared" si="3"/>
        <v>38.700000000000003</v>
      </c>
      <c r="S50" s="69">
        <f t="shared" si="4"/>
        <v>61.2</v>
      </c>
    </row>
    <row r="51" spans="1:19" ht="15" customHeight="1" x14ac:dyDescent="0.35">
      <c r="A51" s="80">
        <v>262</v>
      </c>
      <c r="B51" s="81" t="s">
        <v>229</v>
      </c>
      <c r="C51" s="82">
        <v>45192</v>
      </c>
      <c r="D51" s="83">
        <v>313048.75</v>
      </c>
      <c r="E51" s="83"/>
      <c r="F51" s="66">
        <v>1956.55</v>
      </c>
      <c r="G51" s="66">
        <f t="shared" si="1"/>
        <v>1956.55</v>
      </c>
      <c r="H51" s="66">
        <f t="shared" si="11"/>
        <v>311092.2</v>
      </c>
      <c r="I51" s="63" t="s">
        <v>182</v>
      </c>
      <c r="J51" s="77">
        <v>40</v>
      </c>
      <c r="K51" s="124"/>
      <c r="L51" s="63">
        <v>62.5</v>
      </c>
      <c r="M51" s="67">
        <f t="shared" si="10"/>
        <v>5008.78</v>
      </c>
      <c r="N51" s="67">
        <f t="shared" si="5"/>
        <v>3052.2299999999996</v>
      </c>
      <c r="O51" s="61"/>
      <c r="P51" s="61"/>
      <c r="Q51" s="68">
        <f t="shared" si="6"/>
        <v>1.3</v>
      </c>
      <c r="R51" s="69">
        <f t="shared" si="3"/>
        <v>38.700000000000003</v>
      </c>
      <c r="S51" s="69">
        <f t="shared" si="4"/>
        <v>61.2</v>
      </c>
    </row>
    <row r="52" spans="1:19" ht="15" customHeight="1" x14ac:dyDescent="0.35">
      <c r="A52" s="63">
        <v>263</v>
      </c>
      <c r="B52" s="74" t="s">
        <v>230</v>
      </c>
      <c r="C52" s="65">
        <v>45291</v>
      </c>
      <c r="D52" s="76">
        <v>10000</v>
      </c>
      <c r="E52" s="76"/>
      <c r="F52" s="66">
        <v>0</v>
      </c>
      <c r="G52" s="66">
        <f t="shared" si="1"/>
        <v>0</v>
      </c>
      <c r="H52" s="66">
        <f t="shared" si="11"/>
        <v>10000</v>
      </c>
      <c r="I52" s="63" t="s">
        <v>182</v>
      </c>
      <c r="J52" s="77">
        <v>40</v>
      </c>
      <c r="K52" s="124"/>
      <c r="L52" s="63">
        <v>62.5</v>
      </c>
      <c r="M52" s="67">
        <f t="shared" si="10"/>
        <v>160</v>
      </c>
      <c r="N52" s="67">
        <f t="shared" si="5"/>
        <v>160</v>
      </c>
      <c r="O52" s="61"/>
      <c r="P52" s="61"/>
      <c r="Q52" s="68">
        <f t="shared" si="6"/>
        <v>1</v>
      </c>
      <c r="R52" s="69">
        <f t="shared" si="3"/>
        <v>39</v>
      </c>
      <c r="S52" s="69">
        <f t="shared" si="4"/>
        <v>61.5</v>
      </c>
    </row>
    <row r="53" spans="1:19" ht="15" customHeight="1" x14ac:dyDescent="0.35">
      <c r="A53" s="63">
        <v>272</v>
      </c>
      <c r="B53" s="74" t="s">
        <v>231</v>
      </c>
      <c r="C53" s="65">
        <v>45057</v>
      </c>
      <c r="D53" s="76">
        <v>12560</v>
      </c>
      <c r="E53" s="76"/>
      <c r="F53" s="66">
        <f t="shared" si="9"/>
        <v>1256</v>
      </c>
      <c r="G53" s="66">
        <f t="shared" si="1"/>
        <v>1256</v>
      </c>
      <c r="H53" s="66">
        <f t="shared" si="11"/>
        <v>11304</v>
      </c>
      <c r="I53" s="63" t="s">
        <v>182</v>
      </c>
      <c r="J53" s="77">
        <v>10</v>
      </c>
      <c r="K53" s="124"/>
      <c r="L53" s="63">
        <v>10</v>
      </c>
      <c r="M53" s="67">
        <f t="shared" si="10"/>
        <v>1256</v>
      </c>
      <c r="N53" s="67">
        <f t="shared" si="5"/>
        <v>0</v>
      </c>
      <c r="O53" s="61"/>
      <c r="P53" s="61"/>
      <c r="Q53" s="68">
        <f t="shared" si="6"/>
        <v>1.6</v>
      </c>
      <c r="R53" s="69">
        <f t="shared" si="3"/>
        <v>8.4</v>
      </c>
      <c r="S53" s="69">
        <f t="shared" si="4"/>
        <v>8.4</v>
      </c>
    </row>
    <row r="54" spans="1:19" ht="15" customHeight="1" x14ac:dyDescent="0.35">
      <c r="A54" s="63">
        <v>274</v>
      </c>
      <c r="B54" s="74" t="s">
        <v>232</v>
      </c>
      <c r="C54" s="65">
        <v>45285</v>
      </c>
      <c r="D54" s="67">
        <v>35000</v>
      </c>
      <c r="E54" s="67"/>
      <c r="F54" s="66">
        <f t="shared" si="9"/>
        <v>875</v>
      </c>
      <c r="G54" s="66">
        <f t="shared" si="1"/>
        <v>875</v>
      </c>
      <c r="H54" s="66">
        <f t="shared" si="11"/>
        <v>34125</v>
      </c>
      <c r="I54" s="72" t="s">
        <v>182</v>
      </c>
      <c r="J54" s="73">
        <v>40</v>
      </c>
      <c r="K54" s="124"/>
      <c r="L54" s="63">
        <v>62.5</v>
      </c>
      <c r="M54" s="67">
        <f t="shared" si="10"/>
        <v>560</v>
      </c>
      <c r="N54" s="67">
        <f t="shared" si="5"/>
        <v>-315</v>
      </c>
      <c r="O54" s="61"/>
      <c r="P54" s="61"/>
      <c r="Q54" s="68">
        <f t="shared" si="6"/>
        <v>1</v>
      </c>
      <c r="R54" s="69">
        <f t="shared" si="3"/>
        <v>39</v>
      </c>
      <c r="S54" s="69">
        <f t="shared" si="4"/>
        <v>61.5</v>
      </c>
    </row>
    <row r="55" spans="1:19" ht="15" customHeight="1" x14ac:dyDescent="0.35">
      <c r="A55" s="80"/>
      <c r="B55" s="81"/>
      <c r="C55" s="82"/>
      <c r="D55" s="83"/>
      <c r="E55" s="83"/>
      <c r="F55" s="66">
        <f t="shared" si="9"/>
        <v>0</v>
      </c>
      <c r="G55" s="66">
        <f t="shared" si="1"/>
        <v>0</v>
      </c>
      <c r="H55" s="66">
        <f t="shared" ref="H55:H113" si="12">D55-G55</f>
        <v>0</v>
      </c>
      <c r="I55" s="63" t="s">
        <v>182</v>
      </c>
      <c r="J55" s="77">
        <v>40</v>
      </c>
      <c r="K55" s="124"/>
      <c r="L55" s="63">
        <v>62.5</v>
      </c>
      <c r="M55" s="67">
        <f t="shared" si="10"/>
        <v>0</v>
      </c>
      <c r="N55" s="67">
        <f t="shared" si="5"/>
        <v>0</v>
      </c>
      <c r="O55" s="61"/>
      <c r="P55" s="61"/>
      <c r="Q55" s="68">
        <f t="shared" si="6"/>
        <v>125.1</v>
      </c>
      <c r="R55" s="69">
        <f t="shared" si="3"/>
        <v>-85.1</v>
      </c>
      <c r="S55" s="69">
        <f t="shared" si="4"/>
        <v>-62.599999999999994</v>
      </c>
    </row>
    <row r="56" spans="1:19" ht="15" customHeight="1" x14ac:dyDescent="0.35">
      <c r="A56" s="63"/>
      <c r="B56" s="64"/>
      <c r="C56" s="65"/>
      <c r="D56" s="66"/>
      <c r="E56" s="66"/>
      <c r="F56" s="66">
        <f t="shared" si="9"/>
        <v>0</v>
      </c>
      <c r="G56" s="66">
        <f t="shared" si="1"/>
        <v>0</v>
      </c>
      <c r="H56" s="66">
        <f t="shared" si="12"/>
        <v>0</v>
      </c>
      <c r="I56" s="72" t="s">
        <v>182</v>
      </c>
      <c r="J56" s="73">
        <v>40</v>
      </c>
      <c r="K56" s="124"/>
      <c r="L56" s="63">
        <v>62.5</v>
      </c>
      <c r="M56" s="67">
        <f t="shared" si="10"/>
        <v>0</v>
      </c>
      <c r="N56" s="67">
        <f t="shared" si="5"/>
        <v>0</v>
      </c>
      <c r="O56" s="61"/>
      <c r="P56" s="61"/>
      <c r="Q56" s="68">
        <f t="shared" si="6"/>
        <v>125.1</v>
      </c>
      <c r="R56" s="69">
        <f t="shared" si="3"/>
        <v>-85.1</v>
      </c>
      <c r="S56" s="69">
        <f t="shared" si="4"/>
        <v>-62.599999999999994</v>
      </c>
    </row>
    <row r="57" spans="1:19" ht="15" customHeight="1" x14ac:dyDescent="0.35">
      <c r="A57" s="63"/>
      <c r="B57" s="64"/>
      <c r="C57" s="65"/>
      <c r="D57" s="66"/>
      <c r="E57" s="66"/>
      <c r="F57" s="66">
        <f t="shared" si="9"/>
        <v>0</v>
      </c>
      <c r="G57" s="66">
        <f t="shared" si="1"/>
        <v>0</v>
      </c>
      <c r="H57" s="66">
        <f t="shared" si="12"/>
        <v>0</v>
      </c>
      <c r="I57" s="72" t="s">
        <v>182</v>
      </c>
      <c r="J57" s="73">
        <v>40</v>
      </c>
      <c r="K57" s="124"/>
      <c r="L57" s="63">
        <v>62.5</v>
      </c>
      <c r="M57" s="67">
        <f t="shared" si="10"/>
        <v>0</v>
      </c>
      <c r="N57" s="67">
        <f t="shared" si="5"/>
        <v>0</v>
      </c>
      <c r="O57" s="61"/>
      <c r="P57" s="61"/>
      <c r="Q57" s="68">
        <f t="shared" si="6"/>
        <v>125.1</v>
      </c>
      <c r="R57" s="69">
        <f t="shared" si="3"/>
        <v>-85.1</v>
      </c>
      <c r="S57" s="69">
        <f t="shared" si="4"/>
        <v>-62.599999999999994</v>
      </c>
    </row>
    <row r="58" spans="1:19" ht="15" customHeight="1" x14ac:dyDescent="0.35">
      <c r="A58" s="63"/>
      <c r="B58" s="64"/>
      <c r="C58" s="65"/>
      <c r="D58" s="66"/>
      <c r="E58" s="66"/>
      <c r="F58" s="66">
        <f t="shared" si="9"/>
        <v>0</v>
      </c>
      <c r="G58" s="66">
        <f t="shared" si="1"/>
        <v>0</v>
      </c>
      <c r="H58" s="66">
        <f t="shared" si="12"/>
        <v>0</v>
      </c>
      <c r="I58" s="63" t="s">
        <v>182</v>
      </c>
      <c r="J58" s="63">
        <v>40</v>
      </c>
      <c r="K58" s="124"/>
      <c r="L58" s="63">
        <v>62.5</v>
      </c>
      <c r="M58" s="67">
        <f t="shared" si="10"/>
        <v>0</v>
      </c>
      <c r="N58" s="67">
        <f t="shared" si="5"/>
        <v>0</v>
      </c>
      <c r="O58" s="61"/>
      <c r="P58" s="61"/>
      <c r="Q58" s="68">
        <f t="shared" si="6"/>
        <v>125.1</v>
      </c>
      <c r="R58" s="69">
        <f t="shared" si="3"/>
        <v>-85.1</v>
      </c>
      <c r="S58" s="69">
        <f t="shared" si="4"/>
        <v>-62.599999999999994</v>
      </c>
    </row>
    <row r="59" spans="1:19" ht="15" customHeight="1" x14ac:dyDescent="0.35">
      <c r="A59" s="63"/>
      <c r="B59" s="64"/>
      <c r="C59" s="65"/>
      <c r="D59" s="66"/>
      <c r="E59" s="66"/>
      <c r="F59" s="66">
        <f t="shared" si="9"/>
        <v>0</v>
      </c>
      <c r="G59" s="66">
        <f t="shared" si="1"/>
        <v>0</v>
      </c>
      <c r="H59" s="66">
        <f t="shared" si="12"/>
        <v>0</v>
      </c>
      <c r="I59" s="63" t="s">
        <v>182</v>
      </c>
      <c r="J59" s="63">
        <v>10</v>
      </c>
      <c r="K59" s="124"/>
      <c r="L59" s="63">
        <v>10</v>
      </c>
      <c r="M59" s="67">
        <f t="shared" si="10"/>
        <v>0</v>
      </c>
      <c r="N59" s="67">
        <f t="shared" si="5"/>
        <v>0</v>
      </c>
      <c r="O59" s="61"/>
      <c r="P59" s="61"/>
      <c r="Q59" s="68">
        <f t="shared" si="6"/>
        <v>125.1</v>
      </c>
      <c r="R59" s="69">
        <f t="shared" si="3"/>
        <v>-115.1</v>
      </c>
      <c r="S59" s="69">
        <f t="shared" si="4"/>
        <v>-115.1</v>
      </c>
    </row>
    <row r="60" spans="1:19" ht="15" customHeight="1" x14ac:dyDescent="0.35">
      <c r="A60" s="63"/>
      <c r="B60" s="64"/>
      <c r="C60" s="65"/>
      <c r="D60" s="66"/>
      <c r="E60" s="66"/>
      <c r="F60" s="66">
        <f t="shared" si="9"/>
        <v>0</v>
      </c>
      <c r="G60" s="66">
        <f t="shared" si="1"/>
        <v>0</v>
      </c>
      <c r="H60" s="66">
        <f t="shared" si="12"/>
        <v>0</v>
      </c>
      <c r="I60" s="63" t="s">
        <v>182</v>
      </c>
      <c r="J60" s="63">
        <v>5</v>
      </c>
      <c r="K60" s="124"/>
      <c r="L60" s="63">
        <v>7</v>
      </c>
      <c r="M60" s="67">
        <f t="shared" si="10"/>
        <v>0</v>
      </c>
      <c r="N60" s="67">
        <f t="shared" si="5"/>
        <v>0</v>
      </c>
      <c r="O60" s="61"/>
      <c r="P60" s="61"/>
      <c r="Q60" s="68">
        <f t="shared" si="6"/>
        <v>125.1</v>
      </c>
      <c r="R60" s="69">
        <f t="shared" si="3"/>
        <v>-120.1</v>
      </c>
      <c r="S60" s="69">
        <f t="shared" si="4"/>
        <v>-118.1</v>
      </c>
    </row>
    <row r="61" spans="1:19" ht="15" customHeight="1" x14ac:dyDescent="0.35">
      <c r="A61" s="63"/>
      <c r="B61" s="74"/>
      <c r="C61" s="71"/>
      <c r="D61" s="76"/>
      <c r="E61" s="76"/>
      <c r="F61" s="66">
        <f t="shared" si="9"/>
        <v>0</v>
      </c>
      <c r="G61" s="66">
        <f t="shared" si="1"/>
        <v>0</v>
      </c>
      <c r="H61" s="66">
        <f t="shared" si="12"/>
        <v>0</v>
      </c>
      <c r="I61" s="63" t="s">
        <v>182</v>
      </c>
      <c r="J61" s="77">
        <v>40</v>
      </c>
      <c r="K61" s="124"/>
      <c r="L61" s="63">
        <v>62.5</v>
      </c>
      <c r="M61" s="67">
        <f t="shared" si="10"/>
        <v>0</v>
      </c>
      <c r="N61" s="67">
        <f t="shared" si="5"/>
        <v>0</v>
      </c>
      <c r="O61" s="61"/>
      <c r="P61" s="61"/>
      <c r="Q61" s="68">
        <f t="shared" si="6"/>
        <v>125.1</v>
      </c>
      <c r="R61" s="69">
        <f t="shared" si="3"/>
        <v>-85.1</v>
      </c>
      <c r="S61" s="69">
        <f t="shared" si="4"/>
        <v>-62.599999999999994</v>
      </c>
    </row>
    <row r="62" spans="1:19" ht="15" customHeight="1" x14ac:dyDescent="0.35">
      <c r="A62" s="63"/>
      <c r="B62" s="64"/>
      <c r="C62" s="65"/>
      <c r="D62" s="66"/>
      <c r="E62" s="66"/>
      <c r="F62" s="66">
        <f t="shared" si="9"/>
        <v>0</v>
      </c>
      <c r="G62" s="66">
        <f t="shared" si="1"/>
        <v>0</v>
      </c>
      <c r="H62" s="66">
        <f t="shared" si="12"/>
        <v>0</v>
      </c>
      <c r="I62" s="72" t="s">
        <v>182</v>
      </c>
      <c r="J62" s="73">
        <v>40</v>
      </c>
      <c r="K62" s="124"/>
      <c r="L62" s="63">
        <v>62.5</v>
      </c>
      <c r="M62" s="67">
        <f t="shared" si="10"/>
        <v>0</v>
      </c>
      <c r="N62" s="67">
        <f t="shared" si="5"/>
        <v>0</v>
      </c>
      <c r="O62" s="61"/>
      <c r="P62" s="61"/>
      <c r="Q62" s="68">
        <f t="shared" si="6"/>
        <v>125.1</v>
      </c>
      <c r="R62" s="69">
        <f t="shared" si="3"/>
        <v>-85.1</v>
      </c>
      <c r="S62" s="69">
        <f t="shared" si="4"/>
        <v>-62.599999999999994</v>
      </c>
    </row>
    <row r="63" spans="1:19" ht="15" customHeight="1" x14ac:dyDescent="0.35">
      <c r="A63" s="63"/>
      <c r="B63" s="64"/>
      <c r="C63" s="65"/>
      <c r="D63" s="66"/>
      <c r="E63" s="66"/>
      <c r="F63" s="66">
        <f t="shared" si="9"/>
        <v>0</v>
      </c>
      <c r="G63" s="66">
        <f t="shared" si="1"/>
        <v>0</v>
      </c>
      <c r="H63" s="66">
        <f t="shared" si="12"/>
        <v>0</v>
      </c>
      <c r="I63" s="72" t="s">
        <v>182</v>
      </c>
      <c r="J63" s="73">
        <v>40</v>
      </c>
      <c r="K63" s="124"/>
      <c r="L63" s="63">
        <v>62.5</v>
      </c>
      <c r="M63" s="67">
        <f t="shared" si="10"/>
        <v>0</v>
      </c>
      <c r="N63" s="67">
        <f t="shared" si="5"/>
        <v>0</v>
      </c>
      <c r="O63" s="61"/>
      <c r="P63" s="61"/>
      <c r="Q63" s="68">
        <f t="shared" si="6"/>
        <v>125.1</v>
      </c>
      <c r="R63" s="69">
        <f t="shared" si="3"/>
        <v>-85.1</v>
      </c>
      <c r="S63" s="69">
        <f t="shared" si="4"/>
        <v>-62.599999999999994</v>
      </c>
    </row>
    <row r="64" spans="1:19" ht="15" customHeight="1" x14ac:dyDescent="0.35">
      <c r="A64" s="63"/>
      <c r="B64" s="64"/>
      <c r="C64" s="65"/>
      <c r="D64" s="66"/>
      <c r="E64" s="66"/>
      <c r="F64" s="66">
        <f t="shared" si="9"/>
        <v>0</v>
      </c>
      <c r="G64" s="66">
        <f t="shared" si="1"/>
        <v>0</v>
      </c>
      <c r="H64" s="66">
        <f t="shared" si="12"/>
        <v>0</v>
      </c>
      <c r="I64" s="63" t="s">
        <v>182</v>
      </c>
      <c r="J64" s="63">
        <v>40</v>
      </c>
      <c r="K64" s="124"/>
      <c r="L64" s="63">
        <v>62.5</v>
      </c>
      <c r="M64" s="67">
        <f t="shared" si="10"/>
        <v>0</v>
      </c>
      <c r="N64" s="67">
        <f t="shared" si="5"/>
        <v>0</v>
      </c>
      <c r="O64" s="61"/>
      <c r="P64" s="61"/>
      <c r="Q64" s="68">
        <f t="shared" si="6"/>
        <v>125.1</v>
      </c>
      <c r="R64" s="69">
        <f t="shared" si="3"/>
        <v>-85.1</v>
      </c>
      <c r="S64" s="69">
        <f t="shared" si="4"/>
        <v>-62.599999999999994</v>
      </c>
    </row>
    <row r="65" spans="1:19" ht="15" customHeight="1" x14ac:dyDescent="0.35">
      <c r="A65" s="63"/>
      <c r="B65" s="74"/>
      <c r="C65" s="65"/>
      <c r="D65" s="76"/>
      <c r="E65" s="76"/>
      <c r="F65" s="66">
        <f t="shared" si="9"/>
        <v>0</v>
      </c>
      <c r="G65" s="66">
        <f t="shared" si="1"/>
        <v>0</v>
      </c>
      <c r="H65" s="66">
        <f t="shared" si="12"/>
        <v>0</v>
      </c>
      <c r="I65" s="63" t="s">
        <v>182</v>
      </c>
      <c r="J65" s="77">
        <v>40</v>
      </c>
      <c r="K65" s="124"/>
      <c r="L65" s="63">
        <v>62.5</v>
      </c>
      <c r="M65" s="67">
        <f t="shared" si="10"/>
        <v>0</v>
      </c>
      <c r="N65" s="67">
        <f t="shared" si="5"/>
        <v>0</v>
      </c>
      <c r="O65" s="61"/>
      <c r="P65" s="61"/>
      <c r="Q65" s="68">
        <f t="shared" si="6"/>
        <v>125.1</v>
      </c>
      <c r="R65" s="69">
        <f t="shared" si="3"/>
        <v>-85.1</v>
      </c>
      <c r="S65" s="69">
        <f t="shared" si="4"/>
        <v>-62.599999999999994</v>
      </c>
    </row>
    <row r="66" spans="1:19" ht="15" customHeight="1" x14ac:dyDescent="0.35">
      <c r="A66" s="63"/>
      <c r="B66" s="64"/>
      <c r="C66" s="65"/>
      <c r="D66" s="66"/>
      <c r="E66" s="66"/>
      <c r="F66" s="66">
        <f t="shared" si="9"/>
        <v>0</v>
      </c>
      <c r="G66" s="66">
        <f t="shared" si="1"/>
        <v>0</v>
      </c>
      <c r="H66" s="66">
        <f t="shared" si="12"/>
        <v>0</v>
      </c>
      <c r="I66" s="63" t="s">
        <v>182</v>
      </c>
      <c r="J66" s="63">
        <v>5</v>
      </c>
      <c r="K66" s="124"/>
      <c r="L66" s="63">
        <v>7</v>
      </c>
      <c r="M66" s="67">
        <f t="shared" si="10"/>
        <v>0</v>
      </c>
      <c r="N66" s="67">
        <f t="shared" si="5"/>
        <v>0</v>
      </c>
      <c r="O66" s="61"/>
      <c r="P66" s="61"/>
      <c r="Q66" s="68">
        <f t="shared" si="6"/>
        <v>125.1</v>
      </c>
      <c r="R66" s="69">
        <f t="shared" si="3"/>
        <v>-120.1</v>
      </c>
      <c r="S66" s="69">
        <f t="shared" si="4"/>
        <v>-118.1</v>
      </c>
    </row>
    <row r="67" spans="1:19" ht="15" customHeight="1" x14ac:dyDescent="0.35">
      <c r="A67" s="63"/>
      <c r="B67" s="74"/>
      <c r="C67" s="86"/>
      <c r="D67" s="76"/>
      <c r="E67" s="76"/>
      <c r="F67" s="66">
        <f t="shared" si="9"/>
        <v>0</v>
      </c>
      <c r="G67" s="66">
        <f t="shared" si="1"/>
        <v>0</v>
      </c>
      <c r="H67" s="66">
        <f t="shared" si="12"/>
        <v>0</v>
      </c>
      <c r="I67" s="63" t="s">
        <v>182</v>
      </c>
      <c r="J67" s="77">
        <v>40</v>
      </c>
      <c r="K67" s="124"/>
      <c r="L67" s="63">
        <v>62.5</v>
      </c>
      <c r="M67" s="67">
        <f t="shared" si="10"/>
        <v>0</v>
      </c>
      <c r="N67" s="67">
        <f t="shared" si="5"/>
        <v>0</v>
      </c>
      <c r="O67" s="61"/>
      <c r="P67" s="61"/>
      <c r="Q67" s="68">
        <f t="shared" si="6"/>
        <v>125.1</v>
      </c>
      <c r="R67" s="69">
        <f t="shared" si="3"/>
        <v>-85.1</v>
      </c>
      <c r="S67" s="69">
        <f t="shared" si="4"/>
        <v>-62.599999999999994</v>
      </c>
    </row>
    <row r="68" spans="1:19" ht="15" customHeight="1" x14ac:dyDescent="0.35">
      <c r="A68" s="63"/>
      <c r="B68" s="74"/>
      <c r="C68" s="71"/>
      <c r="D68" s="76"/>
      <c r="E68" s="76"/>
      <c r="F68" s="66">
        <f t="shared" si="9"/>
        <v>0</v>
      </c>
      <c r="G68" s="66">
        <f t="shared" si="1"/>
        <v>0</v>
      </c>
      <c r="H68" s="66">
        <f t="shared" si="12"/>
        <v>0</v>
      </c>
      <c r="I68" s="63" t="s">
        <v>182</v>
      </c>
      <c r="J68" s="77">
        <v>40</v>
      </c>
      <c r="K68" s="124"/>
      <c r="L68" s="63">
        <v>62.5</v>
      </c>
      <c r="M68" s="67">
        <f t="shared" si="10"/>
        <v>0</v>
      </c>
      <c r="N68" s="67">
        <f t="shared" si="5"/>
        <v>0</v>
      </c>
      <c r="O68" s="61"/>
      <c r="P68" s="61"/>
      <c r="Q68" s="68">
        <f t="shared" si="6"/>
        <v>125.1</v>
      </c>
      <c r="R68" s="69">
        <f t="shared" si="3"/>
        <v>-85.1</v>
      </c>
      <c r="S68" s="69">
        <f t="shared" si="4"/>
        <v>-62.599999999999994</v>
      </c>
    </row>
    <row r="69" spans="1:19" ht="15" customHeight="1" x14ac:dyDescent="0.35">
      <c r="A69" s="63"/>
      <c r="B69" s="64"/>
      <c r="C69" s="65"/>
      <c r="D69" s="66"/>
      <c r="E69" s="66"/>
      <c r="F69" s="66">
        <f t="shared" si="9"/>
        <v>0</v>
      </c>
      <c r="G69" s="66">
        <f t="shared" ref="G69:G113" si="13">E69+F69</f>
        <v>0</v>
      </c>
      <c r="H69" s="66">
        <f t="shared" si="12"/>
        <v>0</v>
      </c>
      <c r="I69" s="72" t="s">
        <v>182</v>
      </c>
      <c r="J69" s="73">
        <v>40</v>
      </c>
      <c r="K69" s="124"/>
      <c r="L69" s="63">
        <v>62.5</v>
      </c>
      <c r="M69" s="67">
        <f t="shared" si="10"/>
        <v>0</v>
      </c>
      <c r="N69" s="67">
        <f t="shared" si="5"/>
        <v>0</v>
      </c>
      <c r="O69" s="61"/>
      <c r="P69" s="61"/>
      <c r="Q69" s="68">
        <f t="shared" ref="Q69:Q91" si="14">ROUND(($Q$1-C69)/365,1)</f>
        <v>125.1</v>
      </c>
      <c r="R69" s="69">
        <f t="shared" ref="R69:R86" si="15">J69-Q69</f>
        <v>-85.1</v>
      </c>
      <c r="S69" s="69">
        <f t="shared" ref="S69:S91" si="16">L69-Q69</f>
        <v>-62.599999999999994</v>
      </c>
    </row>
    <row r="70" spans="1:19" ht="15" customHeight="1" x14ac:dyDescent="0.35">
      <c r="A70" s="63"/>
      <c r="B70" s="64"/>
      <c r="C70" s="65"/>
      <c r="D70" s="66"/>
      <c r="E70" s="66"/>
      <c r="F70" s="66">
        <f t="shared" si="9"/>
        <v>0</v>
      </c>
      <c r="G70" s="66">
        <f t="shared" si="13"/>
        <v>0</v>
      </c>
      <c r="H70" s="66">
        <f t="shared" si="12"/>
        <v>0</v>
      </c>
      <c r="I70" s="63" t="s">
        <v>182</v>
      </c>
      <c r="J70" s="63">
        <v>40</v>
      </c>
      <c r="K70" s="124"/>
      <c r="L70" s="63">
        <v>62.5</v>
      </c>
      <c r="M70" s="67">
        <f t="shared" si="10"/>
        <v>0</v>
      </c>
      <c r="N70" s="67">
        <f t="shared" ref="N70:N113" si="17">M70-F70</f>
        <v>0</v>
      </c>
      <c r="O70" s="61"/>
      <c r="P70" s="61"/>
      <c r="Q70" s="68">
        <f t="shared" si="14"/>
        <v>125.1</v>
      </c>
      <c r="R70" s="69">
        <f t="shared" si="15"/>
        <v>-85.1</v>
      </c>
      <c r="S70" s="69">
        <f t="shared" si="16"/>
        <v>-62.599999999999994</v>
      </c>
    </row>
    <row r="71" spans="1:19" ht="15" customHeight="1" x14ac:dyDescent="0.35">
      <c r="A71" s="63"/>
      <c r="B71" s="74"/>
      <c r="C71" s="71"/>
      <c r="D71" s="76"/>
      <c r="E71" s="76"/>
      <c r="F71" s="66">
        <f t="shared" si="9"/>
        <v>0</v>
      </c>
      <c r="G71" s="66">
        <f t="shared" si="13"/>
        <v>0</v>
      </c>
      <c r="H71" s="66">
        <f t="shared" si="12"/>
        <v>0</v>
      </c>
      <c r="I71" s="63" t="s">
        <v>182</v>
      </c>
      <c r="J71" s="77">
        <v>40</v>
      </c>
      <c r="K71" s="124"/>
      <c r="L71" s="63">
        <v>62.5</v>
      </c>
      <c r="M71" s="67">
        <f t="shared" si="10"/>
        <v>0</v>
      </c>
      <c r="N71" s="67">
        <f t="shared" si="17"/>
        <v>0</v>
      </c>
      <c r="O71" s="61"/>
      <c r="P71" s="61"/>
      <c r="Q71" s="68">
        <f t="shared" si="14"/>
        <v>125.1</v>
      </c>
      <c r="R71" s="69">
        <f t="shared" si="15"/>
        <v>-85.1</v>
      </c>
      <c r="S71" s="69">
        <f t="shared" si="16"/>
        <v>-62.599999999999994</v>
      </c>
    </row>
    <row r="72" spans="1:19" ht="15" customHeight="1" x14ac:dyDescent="0.35">
      <c r="A72" s="63"/>
      <c r="B72" s="74"/>
      <c r="C72" s="65"/>
      <c r="D72" s="76"/>
      <c r="E72" s="76"/>
      <c r="F72" s="66">
        <f t="shared" si="9"/>
        <v>0</v>
      </c>
      <c r="G72" s="66">
        <f t="shared" si="13"/>
        <v>0</v>
      </c>
      <c r="H72" s="66">
        <f t="shared" si="12"/>
        <v>0</v>
      </c>
      <c r="I72" s="63" t="s">
        <v>182</v>
      </c>
      <c r="J72" s="77">
        <v>40</v>
      </c>
      <c r="K72" s="124"/>
      <c r="L72" s="63">
        <v>62.5</v>
      </c>
      <c r="M72" s="67">
        <f t="shared" si="10"/>
        <v>0</v>
      </c>
      <c r="N72" s="67">
        <f t="shared" si="17"/>
        <v>0</v>
      </c>
      <c r="O72" s="61"/>
      <c r="P72" s="61"/>
      <c r="Q72" s="68">
        <f t="shared" si="14"/>
        <v>125.1</v>
      </c>
      <c r="R72" s="69">
        <f t="shared" si="15"/>
        <v>-85.1</v>
      </c>
      <c r="S72" s="69">
        <f t="shared" si="16"/>
        <v>-62.599999999999994</v>
      </c>
    </row>
    <row r="73" spans="1:19" ht="15" customHeight="1" x14ac:dyDescent="0.35">
      <c r="A73" s="63"/>
      <c r="B73" s="64"/>
      <c r="C73" s="65"/>
      <c r="D73" s="66"/>
      <c r="E73" s="66"/>
      <c r="F73" s="66">
        <f t="shared" si="9"/>
        <v>0</v>
      </c>
      <c r="G73" s="66">
        <f t="shared" si="13"/>
        <v>0</v>
      </c>
      <c r="H73" s="66">
        <f t="shared" si="12"/>
        <v>0</v>
      </c>
      <c r="I73" s="72" t="s">
        <v>182</v>
      </c>
      <c r="J73" s="73">
        <v>40</v>
      </c>
      <c r="K73" s="124"/>
      <c r="L73" s="63">
        <v>62.5</v>
      </c>
      <c r="M73" s="67">
        <f t="shared" si="10"/>
        <v>0</v>
      </c>
      <c r="N73" s="67">
        <f t="shared" si="17"/>
        <v>0</v>
      </c>
      <c r="O73" s="61"/>
      <c r="P73" s="61"/>
      <c r="Q73" s="68">
        <f t="shared" si="14"/>
        <v>125.1</v>
      </c>
      <c r="R73" s="69">
        <f t="shared" si="15"/>
        <v>-85.1</v>
      </c>
      <c r="S73" s="69">
        <f t="shared" si="16"/>
        <v>-62.599999999999994</v>
      </c>
    </row>
    <row r="74" spans="1:19" ht="15" customHeight="1" x14ac:dyDescent="0.35">
      <c r="A74" s="63"/>
      <c r="B74" s="64"/>
      <c r="C74" s="65"/>
      <c r="D74" s="66"/>
      <c r="E74" s="66"/>
      <c r="F74" s="66">
        <f t="shared" si="9"/>
        <v>0</v>
      </c>
      <c r="G74" s="66">
        <f t="shared" si="13"/>
        <v>0</v>
      </c>
      <c r="H74" s="66">
        <f t="shared" si="12"/>
        <v>0</v>
      </c>
      <c r="I74" s="63" t="s">
        <v>182</v>
      </c>
      <c r="J74" s="63">
        <v>40</v>
      </c>
      <c r="K74" s="124"/>
      <c r="L74" s="63">
        <v>62.5</v>
      </c>
      <c r="M74" s="67">
        <f t="shared" si="10"/>
        <v>0</v>
      </c>
      <c r="N74" s="67">
        <f t="shared" si="17"/>
        <v>0</v>
      </c>
      <c r="O74" s="61"/>
      <c r="P74" s="61"/>
      <c r="Q74" s="68">
        <f t="shared" si="14"/>
        <v>125.1</v>
      </c>
      <c r="R74" s="69">
        <f t="shared" si="15"/>
        <v>-85.1</v>
      </c>
      <c r="S74" s="69">
        <f t="shared" si="16"/>
        <v>-62.599999999999994</v>
      </c>
    </row>
    <row r="75" spans="1:19" ht="15" customHeight="1" x14ac:dyDescent="0.35">
      <c r="A75" s="63"/>
      <c r="B75" s="64"/>
      <c r="C75" s="65"/>
      <c r="D75" s="66"/>
      <c r="E75" s="66"/>
      <c r="F75" s="66">
        <f t="shared" si="9"/>
        <v>0</v>
      </c>
      <c r="G75" s="66">
        <f t="shared" si="13"/>
        <v>0</v>
      </c>
      <c r="H75" s="66">
        <f t="shared" si="12"/>
        <v>0</v>
      </c>
      <c r="I75" s="63" t="s">
        <v>182</v>
      </c>
      <c r="J75" s="63">
        <v>7</v>
      </c>
      <c r="K75" s="124"/>
      <c r="L75" s="63">
        <v>10</v>
      </c>
      <c r="M75" s="67">
        <f t="shared" si="10"/>
        <v>0</v>
      </c>
      <c r="N75" s="67">
        <f t="shared" si="17"/>
        <v>0</v>
      </c>
      <c r="O75" s="61"/>
      <c r="P75" s="61"/>
      <c r="Q75" s="68">
        <f t="shared" si="14"/>
        <v>125.1</v>
      </c>
      <c r="R75" s="69">
        <f t="shared" si="15"/>
        <v>-118.1</v>
      </c>
      <c r="S75" s="69">
        <f t="shared" si="16"/>
        <v>-115.1</v>
      </c>
    </row>
    <row r="76" spans="1:19" ht="15" customHeight="1" x14ac:dyDescent="0.35">
      <c r="A76" s="63"/>
      <c r="B76" s="64"/>
      <c r="C76" s="65"/>
      <c r="D76" s="66"/>
      <c r="E76" s="66"/>
      <c r="F76" s="66">
        <f t="shared" si="9"/>
        <v>0</v>
      </c>
      <c r="G76" s="66">
        <f t="shared" si="13"/>
        <v>0</v>
      </c>
      <c r="H76" s="66">
        <f t="shared" si="12"/>
        <v>0</v>
      </c>
      <c r="I76" s="63" t="s">
        <v>182</v>
      </c>
      <c r="J76" s="63">
        <v>7</v>
      </c>
      <c r="K76" s="124"/>
      <c r="L76" s="63">
        <v>12.5</v>
      </c>
      <c r="M76" s="67">
        <f t="shared" si="10"/>
        <v>0</v>
      </c>
      <c r="N76" s="67">
        <f t="shared" si="17"/>
        <v>0</v>
      </c>
      <c r="O76" s="61"/>
      <c r="P76" s="61"/>
      <c r="Q76" s="68">
        <f t="shared" si="14"/>
        <v>125.1</v>
      </c>
      <c r="R76" s="69">
        <f t="shared" si="15"/>
        <v>-118.1</v>
      </c>
      <c r="S76" s="69">
        <f t="shared" si="16"/>
        <v>-112.6</v>
      </c>
    </row>
    <row r="77" spans="1:19" ht="15" customHeight="1" x14ac:dyDescent="0.35">
      <c r="A77" s="63"/>
      <c r="B77" s="70"/>
      <c r="C77" s="71"/>
      <c r="D77" s="66"/>
      <c r="E77" s="66"/>
      <c r="F77" s="66">
        <f t="shared" si="9"/>
        <v>0</v>
      </c>
      <c r="G77" s="66">
        <f t="shared" si="13"/>
        <v>0</v>
      </c>
      <c r="H77" s="66">
        <f t="shared" si="12"/>
        <v>0</v>
      </c>
      <c r="I77" s="72" t="s">
        <v>182</v>
      </c>
      <c r="J77" s="73">
        <v>40</v>
      </c>
      <c r="K77" s="124"/>
      <c r="L77" s="63">
        <v>40</v>
      </c>
      <c r="M77" s="67">
        <f t="shared" si="10"/>
        <v>0</v>
      </c>
      <c r="N77" s="67">
        <f t="shared" si="17"/>
        <v>0</v>
      </c>
      <c r="O77" s="61"/>
      <c r="P77" s="61"/>
      <c r="Q77" s="68">
        <f t="shared" si="14"/>
        <v>125.1</v>
      </c>
      <c r="R77" s="69">
        <f t="shared" si="15"/>
        <v>-85.1</v>
      </c>
      <c r="S77" s="69">
        <f t="shared" si="16"/>
        <v>-85.1</v>
      </c>
    </row>
    <row r="78" spans="1:19" ht="15" customHeight="1" x14ac:dyDescent="0.35">
      <c r="A78" s="63"/>
      <c r="B78" s="74"/>
      <c r="C78" s="71"/>
      <c r="D78" s="67"/>
      <c r="E78" s="67"/>
      <c r="F78" s="66"/>
      <c r="G78" s="66">
        <f t="shared" si="13"/>
        <v>0</v>
      </c>
      <c r="H78" s="66">
        <f t="shared" si="12"/>
        <v>0</v>
      </c>
      <c r="I78" s="63" t="s">
        <v>182</v>
      </c>
      <c r="J78" s="77">
        <v>40</v>
      </c>
      <c r="K78" s="124"/>
      <c r="L78" s="63">
        <v>62.5</v>
      </c>
      <c r="M78" s="67">
        <f t="shared" si="10"/>
        <v>0</v>
      </c>
      <c r="N78" s="67">
        <f t="shared" si="17"/>
        <v>0</v>
      </c>
      <c r="O78" s="61"/>
      <c r="P78" s="61"/>
      <c r="Q78" s="68">
        <f t="shared" si="14"/>
        <v>125.1</v>
      </c>
      <c r="R78" s="69">
        <f t="shared" si="15"/>
        <v>-85.1</v>
      </c>
      <c r="S78" s="69">
        <f t="shared" si="16"/>
        <v>-62.599999999999994</v>
      </c>
    </row>
    <row r="79" spans="1:19" ht="15" customHeight="1" x14ac:dyDescent="0.35">
      <c r="A79" s="63"/>
      <c r="B79" s="74"/>
      <c r="C79" s="86"/>
      <c r="D79" s="76"/>
      <c r="E79" s="76"/>
      <c r="F79" s="66"/>
      <c r="G79" s="66">
        <f t="shared" si="13"/>
        <v>0</v>
      </c>
      <c r="H79" s="66">
        <f t="shared" si="12"/>
        <v>0</v>
      </c>
      <c r="I79" s="63" t="s">
        <v>182</v>
      </c>
      <c r="J79" s="77">
        <v>40</v>
      </c>
      <c r="K79" s="124"/>
      <c r="L79" s="63">
        <v>62.5</v>
      </c>
      <c r="M79" s="67">
        <f t="shared" si="10"/>
        <v>0</v>
      </c>
      <c r="N79" s="67">
        <f t="shared" si="17"/>
        <v>0</v>
      </c>
      <c r="O79" s="61"/>
      <c r="P79" s="61"/>
      <c r="Q79" s="68">
        <f t="shared" si="14"/>
        <v>125.1</v>
      </c>
      <c r="R79" s="69">
        <f t="shared" si="15"/>
        <v>-85.1</v>
      </c>
      <c r="S79" s="69">
        <f t="shared" si="16"/>
        <v>-62.599999999999994</v>
      </c>
    </row>
    <row r="80" spans="1:19" ht="15" customHeight="1" x14ac:dyDescent="0.35">
      <c r="A80" s="63"/>
      <c r="B80" s="64"/>
      <c r="C80" s="65"/>
      <c r="D80" s="66"/>
      <c r="E80" s="66"/>
      <c r="F80" s="66"/>
      <c r="G80" s="66">
        <f t="shared" si="13"/>
        <v>0</v>
      </c>
      <c r="H80" s="66">
        <f t="shared" si="12"/>
        <v>0</v>
      </c>
      <c r="I80" s="72" t="s">
        <v>182</v>
      </c>
      <c r="J80" s="73">
        <v>40</v>
      </c>
      <c r="K80" s="124"/>
      <c r="L80" s="63">
        <v>62.5</v>
      </c>
      <c r="M80" s="67">
        <f t="shared" si="10"/>
        <v>0</v>
      </c>
      <c r="N80" s="67">
        <f t="shared" si="17"/>
        <v>0</v>
      </c>
      <c r="O80" s="61"/>
      <c r="P80" s="61"/>
      <c r="Q80" s="68">
        <f t="shared" si="14"/>
        <v>125.1</v>
      </c>
      <c r="R80" s="69">
        <f t="shared" si="15"/>
        <v>-85.1</v>
      </c>
      <c r="S80" s="69">
        <f t="shared" si="16"/>
        <v>-62.599999999999994</v>
      </c>
    </row>
    <row r="81" spans="1:19" ht="15" customHeight="1" x14ac:dyDescent="0.35">
      <c r="A81" s="63"/>
      <c r="B81" s="74"/>
      <c r="C81" s="65"/>
      <c r="D81" s="76"/>
      <c r="E81" s="76"/>
      <c r="F81" s="66"/>
      <c r="G81" s="66">
        <f t="shared" si="13"/>
        <v>0</v>
      </c>
      <c r="H81" s="66">
        <f t="shared" si="12"/>
        <v>0</v>
      </c>
      <c r="I81" s="63" t="s">
        <v>182</v>
      </c>
      <c r="J81" s="77">
        <v>40</v>
      </c>
      <c r="K81" s="124"/>
      <c r="L81" s="63">
        <v>62.5</v>
      </c>
      <c r="M81" s="67">
        <f t="shared" si="10"/>
        <v>0</v>
      </c>
      <c r="N81" s="67">
        <f t="shared" si="17"/>
        <v>0</v>
      </c>
      <c r="O81" s="61"/>
      <c r="P81" s="61"/>
      <c r="Q81" s="68">
        <f t="shared" si="14"/>
        <v>125.1</v>
      </c>
      <c r="R81" s="69">
        <f t="shared" si="15"/>
        <v>-85.1</v>
      </c>
      <c r="S81" s="69">
        <f t="shared" si="16"/>
        <v>-62.599999999999994</v>
      </c>
    </row>
    <row r="82" spans="1:19" ht="15" customHeight="1" x14ac:dyDescent="0.35">
      <c r="A82" s="63"/>
      <c r="B82" s="74"/>
      <c r="C82" s="71"/>
      <c r="D82" s="76"/>
      <c r="E82" s="76"/>
      <c r="F82" s="66"/>
      <c r="G82" s="66">
        <f t="shared" si="13"/>
        <v>0</v>
      </c>
      <c r="H82" s="66">
        <f t="shared" si="12"/>
        <v>0</v>
      </c>
      <c r="I82" s="63" t="s">
        <v>182</v>
      </c>
      <c r="J82" s="77">
        <v>40</v>
      </c>
      <c r="K82" s="124"/>
      <c r="L82" s="63">
        <v>62.5</v>
      </c>
      <c r="M82" s="67">
        <f t="shared" si="10"/>
        <v>0</v>
      </c>
      <c r="N82" s="67">
        <f t="shared" si="17"/>
        <v>0</v>
      </c>
      <c r="O82" s="61"/>
      <c r="P82" s="61"/>
      <c r="Q82" s="68">
        <f t="shared" si="14"/>
        <v>125.1</v>
      </c>
      <c r="R82" s="69">
        <f t="shared" si="15"/>
        <v>-85.1</v>
      </c>
      <c r="S82" s="69">
        <f t="shared" si="16"/>
        <v>-62.599999999999994</v>
      </c>
    </row>
    <row r="83" spans="1:19" ht="15" customHeight="1" x14ac:dyDescent="0.35">
      <c r="A83" s="63"/>
      <c r="B83" s="64"/>
      <c r="C83" s="71"/>
      <c r="D83" s="66"/>
      <c r="E83" s="66"/>
      <c r="F83" s="66"/>
      <c r="G83" s="66">
        <f t="shared" si="13"/>
        <v>0</v>
      </c>
      <c r="H83" s="66">
        <f t="shared" si="12"/>
        <v>0</v>
      </c>
      <c r="I83" s="84" t="s">
        <v>182</v>
      </c>
      <c r="J83" s="85">
        <v>40</v>
      </c>
      <c r="K83" s="124"/>
      <c r="L83" s="63">
        <v>62.5</v>
      </c>
      <c r="M83" s="67">
        <f t="shared" si="10"/>
        <v>0</v>
      </c>
      <c r="N83" s="67">
        <f t="shared" si="17"/>
        <v>0</v>
      </c>
      <c r="O83" s="61"/>
      <c r="P83" s="61"/>
      <c r="Q83" s="68">
        <f t="shared" si="14"/>
        <v>125.1</v>
      </c>
      <c r="R83" s="69">
        <f t="shared" si="15"/>
        <v>-85.1</v>
      </c>
      <c r="S83" s="69">
        <f t="shared" si="16"/>
        <v>-62.599999999999994</v>
      </c>
    </row>
    <row r="84" spans="1:19" ht="15" customHeight="1" x14ac:dyDescent="0.35">
      <c r="A84" s="63"/>
      <c r="B84" s="74"/>
      <c r="C84" s="65"/>
      <c r="D84" s="76"/>
      <c r="E84" s="76"/>
      <c r="F84" s="66"/>
      <c r="G84" s="66">
        <f t="shared" si="13"/>
        <v>0</v>
      </c>
      <c r="H84" s="66">
        <f t="shared" si="12"/>
        <v>0</v>
      </c>
      <c r="I84" s="63" t="s">
        <v>182</v>
      </c>
      <c r="J84" s="77">
        <v>40</v>
      </c>
      <c r="K84" s="124"/>
      <c r="L84" s="63">
        <v>62.5</v>
      </c>
      <c r="M84" s="67">
        <f t="shared" si="10"/>
        <v>0</v>
      </c>
      <c r="N84" s="67">
        <f t="shared" si="17"/>
        <v>0</v>
      </c>
      <c r="O84" s="61"/>
      <c r="P84" s="61"/>
      <c r="Q84" s="68">
        <f t="shared" si="14"/>
        <v>125.1</v>
      </c>
      <c r="R84" s="69">
        <f t="shared" si="15"/>
        <v>-85.1</v>
      </c>
      <c r="S84" s="69">
        <f t="shared" si="16"/>
        <v>-62.599999999999994</v>
      </c>
    </row>
    <row r="85" spans="1:19" ht="15" customHeight="1" x14ac:dyDescent="0.35">
      <c r="A85" s="63"/>
      <c r="B85" s="74"/>
      <c r="C85" s="65"/>
      <c r="D85" s="76"/>
      <c r="E85" s="76"/>
      <c r="F85" s="66"/>
      <c r="G85" s="66">
        <f t="shared" si="13"/>
        <v>0</v>
      </c>
      <c r="H85" s="66">
        <f t="shared" si="12"/>
        <v>0</v>
      </c>
      <c r="I85" s="63" t="s">
        <v>182</v>
      </c>
      <c r="J85" s="77">
        <v>40</v>
      </c>
      <c r="K85" s="124"/>
      <c r="L85" s="63">
        <v>62.5</v>
      </c>
      <c r="M85" s="67">
        <f t="shared" si="10"/>
        <v>0</v>
      </c>
      <c r="N85" s="67">
        <f t="shared" si="17"/>
        <v>0</v>
      </c>
      <c r="O85" s="61"/>
      <c r="P85" s="61"/>
      <c r="Q85" s="68">
        <f t="shared" si="14"/>
        <v>125.1</v>
      </c>
      <c r="R85" s="69">
        <f t="shared" si="15"/>
        <v>-85.1</v>
      </c>
      <c r="S85" s="69">
        <f t="shared" si="16"/>
        <v>-62.599999999999994</v>
      </c>
    </row>
    <row r="86" spans="1:19" ht="15" customHeight="1" x14ac:dyDescent="0.35">
      <c r="A86" s="63"/>
      <c r="B86" s="64"/>
      <c r="C86" s="65"/>
      <c r="D86" s="66"/>
      <c r="E86" s="66"/>
      <c r="F86" s="66"/>
      <c r="G86" s="66">
        <f t="shared" si="13"/>
        <v>0</v>
      </c>
      <c r="H86" s="66">
        <f t="shared" si="12"/>
        <v>0</v>
      </c>
      <c r="I86" s="72" t="s">
        <v>182</v>
      </c>
      <c r="J86" s="73">
        <v>40</v>
      </c>
      <c r="K86" s="124"/>
      <c r="L86" s="63">
        <v>62.5</v>
      </c>
      <c r="M86" s="67">
        <f t="shared" si="10"/>
        <v>0</v>
      </c>
      <c r="N86" s="67">
        <f t="shared" si="17"/>
        <v>0</v>
      </c>
      <c r="O86" s="61"/>
      <c r="P86" s="61"/>
      <c r="Q86" s="68">
        <f t="shared" si="14"/>
        <v>125.1</v>
      </c>
      <c r="R86" s="69">
        <f t="shared" si="15"/>
        <v>-85.1</v>
      </c>
      <c r="S86" s="69">
        <f t="shared" si="16"/>
        <v>-62.599999999999994</v>
      </c>
    </row>
    <row r="87" spans="1:19" ht="15" customHeight="1" x14ac:dyDescent="0.35">
      <c r="A87" s="63"/>
      <c r="B87" s="64"/>
      <c r="C87" s="65"/>
      <c r="D87" s="66"/>
      <c r="E87" s="66"/>
      <c r="F87" s="66"/>
      <c r="G87" s="66">
        <f t="shared" si="13"/>
        <v>0</v>
      </c>
      <c r="H87" s="66">
        <f t="shared" si="12"/>
        <v>0</v>
      </c>
      <c r="I87" s="63" t="s">
        <v>182</v>
      </c>
      <c r="J87" s="63">
        <v>40</v>
      </c>
      <c r="K87" s="124"/>
      <c r="L87" s="63">
        <v>62.5</v>
      </c>
      <c r="M87" s="67">
        <f t="shared" si="10"/>
        <v>0</v>
      </c>
      <c r="N87" s="67">
        <f t="shared" si="17"/>
        <v>0</v>
      </c>
      <c r="O87" s="61"/>
      <c r="P87" s="61"/>
      <c r="Q87" s="68">
        <f>ROUND(($Q$1-C87)/365,1)</f>
        <v>125.1</v>
      </c>
      <c r="R87" s="69">
        <f>J87-Q87</f>
        <v>-85.1</v>
      </c>
      <c r="S87" s="69">
        <f t="shared" si="16"/>
        <v>-62.599999999999994</v>
      </c>
    </row>
    <row r="88" spans="1:19" ht="15" customHeight="1" x14ac:dyDescent="0.35">
      <c r="A88" s="87"/>
      <c r="B88" s="88"/>
      <c r="C88" s="89"/>
      <c r="D88" s="90"/>
      <c r="E88" s="90"/>
      <c r="F88" s="90"/>
      <c r="G88" s="90">
        <f t="shared" si="13"/>
        <v>0</v>
      </c>
      <c r="H88" s="90">
        <f t="shared" si="12"/>
        <v>0</v>
      </c>
      <c r="I88" s="91" t="s">
        <v>182</v>
      </c>
      <c r="J88" s="87">
        <v>40</v>
      </c>
      <c r="K88" s="92"/>
      <c r="L88" s="93">
        <v>62.5</v>
      </c>
      <c r="M88" s="94">
        <f t="shared" si="10"/>
        <v>0</v>
      </c>
      <c r="N88" s="94">
        <f t="shared" si="17"/>
        <v>0</v>
      </c>
      <c r="O88" s="61"/>
      <c r="P88" s="61"/>
      <c r="Q88" s="68">
        <f t="shared" si="14"/>
        <v>125.1</v>
      </c>
      <c r="R88" s="69"/>
      <c r="S88" s="69">
        <f t="shared" si="16"/>
        <v>-62.599999999999994</v>
      </c>
    </row>
    <row r="89" spans="1:19" ht="15" customHeight="1" x14ac:dyDescent="0.35">
      <c r="A89" s="87"/>
      <c r="B89" s="88"/>
      <c r="C89" s="89"/>
      <c r="D89" s="90"/>
      <c r="E89" s="90"/>
      <c r="F89" s="90"/>
      <c r="G89" s="90">
        <f t="shared" si="13"/>
        <v>0</v>
      </c>
      <c r="H89" s="90">
        <f t="shared" si="12"/>
        <v>0</v>
      </c>
      <c r="I89" s="91" t="s">
        <v>182</v>
      </c>
      <c r="J89" s="87">
        <v>40</v>
      </c>
      <c r="K89" s="92"/>
      <c r="L89" s="93">
        <v>62.5</v>
      </c>
      <c r="M89" s="94">
        <f t="shared" si="10"/>
        <v>0</v>
      </c>
      <c r="N89" s="94">
        <f t="shared" si="17"/>
        <v>0</v>
      </c>
      <c r="O89" s="61"/>
      <c r="P89" s="61"/>
      <c r="Q89" s="68">
        <f t="shared" si="14"/>
        <v>125.1</v>
      </c>
      <c r="R89" s="69"/>
      <c r="S89" s="69">
        <f t="shared" si="16"/>
        <v>-62.599999999999994</v>
      </c>
    </row>
    <row r="90" spans="1:19" ht="15" customHeight="1" x14ac:dyDescent="0.35">
      <c r="A90" s="87"/>
      <c r="B90" s="88"/>
      <c r="C90" s="89"/>
      <c r="D90" s="90"/>
      <c r="E90" s="90"/>
      <c r="F90" s="90"/>
      <c r="G90" s="90">
        <f t="shared" si="13"/>
        <v>0</v>
      </c>
      <c r="H90" s="90">
        <f t="shared" si="12"/>
        <v>0</v>
      </c>
      <c r="I90" s="91" t="s">
        <v>182</v>
      </c>
      <c r="J90" s="87">
        <v>40</v>
      </c>
      <c r="K90" s="92"/>
      <c r="L90" s="93">
        <v>62.5</v>
      </c>
      <c r="M90" s="94">
        <f t="shared" si="10"/>
        <v>0</v>
      </c>
      <c r="N90" s="94">
        <f t="shared" si="17"/>
        <v>0</v>
      </c>
      <c r="O90" s="61"/>
      <c r="P90" s="61"/>
      <c r="Q90" s="68">
        <f t="shared" si="14"/>
        <v>125.1</v>
      </c>
      <c r="R90" s="69"/>
      <c r="S90" s="69">
        <f t="shared" si="16"/>
        <v>-62.599999999999994</v>
      </c>
    </row>
    <row r="91" spans="1:19" ht="15" customHeight="1" x14ac:dyDescent="0.35">
      <c r="A91" s="87"/>
      <c r="B91" s="88"/>
      <c r="C91" s="89"/>
      <c r="D91" s="90"/>
      <c r="E91" s="90"/>
      <c r="F91" s="90"/>
      <c r="G91" s="90">
        <f t="shared" si="13"/>
        <v>0</v>
      </c>
      <c r="H91" s="90">
        <f t="shared" si="12"/>
        <v>0</v>
      </c>
      <c r="I91" s="91" t="s">
        <v>182</v>
      </c>
      <c r="J91" s="87">
        <v>40</v>
      </c>
      <c r="K91" s="92"/>
      <c r="L91" s="93">
        <v>62.5</v>
      </c>
      <c r="M91" s="94">
        <f t="shared" si="10"/>
        <v>0</v>
      </c>
      <c r="N91" s="94">
        <f t="shared" si="17"/>
        <v>0</v>
      </c>
      <c r="O91" s="61"/>
      <c r="P91" s="61"/>
      <c r="Q91" s="68">
        <f t="shared" si="14"/>
        <v>125.1</v>
      </c>
      <c r="R91" s="69"/>
      <c r="S91" s="69">
        <f t="shared" si="16"/>
        <v>-62.599999999999994</v>
      </c>
    </row>
    <row r="92" spans="1:19" ht="15" customHeight="1" x14ac:dyDescent="0.35">
      <c r="A92" s="95"/>
      <c r="B92" s="96"/>
      <c r="C92" s="89"/>
      <c r="D92" s="90"/>
      <c r="E92" s="90"/>
      <c r="F92" s="90"/>
      <c r="G92" s="90">
        <f t="shared" si="13"/>
        <v>0</v>
      </c>
      <c r="H92" s="90">
        <f t="shared" si="12"/>
        <v>0</v>
      </c>
      <c r="I92" s="91" t="s">
        <v>182</v>
      </c>
      <c r="J92" s="87">
        <v>40</v>
      </c>
      <c r="K92" s="92"/>
      <c r="L92" s="93">
        <v>62.5</v>
      </c>
      <c r="M92" s="94">
        <f t="shared" si="10"/>
        <v>0</v>
      </c>
      <c r="N92" s="94">
        <f t="shared" si="17"/>
        <v>0</v>
      </c>
      <c r="O92" s="61"/>
      <c r="P92" s="61"/>
      <c r="Q92" s="68"/>
      <c r="R92" s="69"/>
      <c r="S92" s="69"/>
    </row>
    <row r="93" spans="1:19" ht="15" customHeight="1" x14ac:dyDescent="0.35">
      <c r="A93" s="87"/>
      <c r="B93" s="88"/>
      <c r="C93" s="89"/>
      <c r="D93" s="90"/>
      <c r="E93" s="90"/>
      <c r="F93" s="90"/>
      <c r="G93" s="90">
        <f t="shared" si="13"/>
        <v>0</v>
      </c>
      <c r="H93" s="90">
        <f t="shared" si="12"/>
        <v>0</v>
      </c>
      <c r="I93" s="91" t="s">
        <v>182</v>
      </c>
      <c r="J93" s="87">
        <v>7</v>
      </c>
      <c r="K93" s="92"/>
      <c r="L93" s="93">
        <v>7</v>
      </c>
      <c r="M93" s="94">
        <f t="shared" si="10"/>
        <v>0</v>
      </c>
      <c r="N93" s="94">
        <f t="shared" si="17"/>
        <v>0</v>
      </c>
      <c r="O93" s="61"/>
      <c r="P93" s="61"/>
      <c r="Q93" s="68"/>
      <c r="R93" s="69"/>
      <c r="S93" s="69"/>
    </row>
    <row r="94" spans="1:19" ht="15" customHeight="1" x14ac:dyDescent="0.35">
      <c r="A94" s="87"/>
      <c r="B94" s="88"/>
      <c r="C94" s="89"/>
      <c r="D94" s="90"/>
      <c r="E94" s="90"/>
      <c r="F94" s="90"/>
      <c r="G94" s="90">
        <f t="shared" si="13"/>
        <v>0</v>
      </c>
      <c r="H94" s="90">
        <f t="shared" si="12"/>
        <v>0</v>
      </c>
      <c r="I94" s="91" t="s">
        <v>182</v>
      </c>
      <c r="J94" s="87">
        <v>7</v>
      </c>
      <c r="K94" s="92"/>
      <c r="L94" s="93">
        <v>7</v>
      </c>
      <c r="M94" s="94">
        <f t="shared" si="10"/>
        <v>0</v>
      </c>
      <c r="N94" s="94">
        <f t="shared" si="17"/>
        <v>0</v>
      </c>
      <c r="O94" s="61"/>
      <c r="P94" s="61"/>
      <c r="Q94" s="68"/>
      <c r="R94" s="69"/>
      <c r="S94" s="69"/>
    </row>
    <row r="95" spans="1:19" ht="15" customHeight="1" x14ac:dyDescent="0.35">
      <c r="A95" s="87"/>
      <c r="B95" s="88"/>
      <c r="C95" s="89"/>
      <c r="D95" s="90"/>
      <c r="E95" s="90"/>
      <c r="F95" s="90"/>
      <c r="G95" s="90">
        <f t="shared" si="13"/>
        <v>0</v>
      </c>
      <c r="H95" s="90">
        <f t="shared" si="12"/>
        <v>0</v>
      </c>
      <c r="I95" s="91" t="s">
        <v>182</v>
      </c>
      <c r="J95" s="87">
        <v>5</v>
      </c>
      <c r="K95" s="92"/>
      <c r="L95" s="93">
        <v>5</v>
      </c>
      <c r="M95" s="94">
        <f t="shared" si="10"/>
        <v>0</v>
      </c>
      <c r="N95" s="94">
        <f t="shared" si="17"/>
        <v>0</v>
      </c>
      <c r="O95" s="61"/>
      <c r="P95" s="61"/>
      <c r="Q95" s="68"/>
      <c r="R95" s="69"/>
      <c r="S95" s="69"/>
    </row>
    <row r="96" spans="1:19" ht="15" customHeight="1" x14ac:dyDescent="0.35">
      <c r="A96" s="87"/>
      <c r="B96" s="88"/>
      <c r="C96" s="89"/>
      <c r="D96" s="90"/>
      <c r="E96" s="90"/>
      <c r="F96" s="90"/>
      <c r="G96" s="90">
        <f t="shared" si="13"/>
        <v>0</v>
      </c>
      <c r="H96" s="90">
        <f t="shared" si="12"/>
        <v>0</v>
      </c>
      <c r="I96" s="91" t="s">
        <v>182</v>
      </c>
      <c r="J96" s="87">
        <v>40</v>
      </c>
      <c r="K96" s="92"/>
      <c r="L96" s="93">
        <v>62.5</v>
      </c>
      <c r="M96" s="94">
        <f t="shared" si="10"/>
        <v>0</v>
      </c>
      <c r="N96" s="94">
        <f t="shared" si="17"/>
        <v>0</v>
      </c>
      <c r="O96" s="61"/>
      <c r="P96" s="61"/>
      <c r="Q96" s="68"/>
      <c r="R96" s="69"/>
      <c r="S96" s="69"/>
    </row>
    <row r="97" spans="1:19" ht="15" customHeight="1" x14ac:dyDescent="0.35">
      <c r="A97" s="87"/>
      <c r="B97" s="88"/>
      <c r="C97" s="89"/>
      <c r="D97" s="90"/>
      <c r="E97" s="90"/>
      <c r="F97" s="90"/>
      <c r="G97" s="90">
        <f t="shared" si="13"/>
        <v>0</v>
      </c>
      <c r="H97" s="90">
        <f t="shared" si="12"/>
        <v>0</v>
      </c>
      <c r="I97" s="91" t="s">
        <v>182</v>
      </c>
      <c r="J97" s="87">
        <v>40</v>
      </c>
      <c r="K97" s="92"/>
      <c r="L97" s="93">
        <v>62.5</v>
      </c>
      <c r="M97" s="94">
        <f t="shared" si="10"/>
        <v>0</v>
      </c>
      <c r="N97" s="94">
        <f t="shared" si="17"/>
        <v>0</v>
      </c>
      <c r="O97" s="61"/>
      <c r="P97" s="61"/>
      <c r="Q97" s="68"/>
      <c r="R97" s="69"/>
      <c r="S97" s="69"/>
    </row>
    <row r="98" spans="1:19" ht="15" customHeight="1" x14ac:dyDescent="0.35">
      <c r="A98" s="87"/>
      <c r="B98" s="88"/>
      <c r="C98" s="89"/>
      <c r="D98" s="90"/>
      <c r="E98" s="90"/>
      <c r="F98" s="90"/>
      <c r="G98" s="90">
        <f t="shared" si="13"/>
        <v>0</v>
      </c>
      <c r="H98" s="90">
        <f t="shared" si="12"/>
        <v>0</v>
      </c>
      <c r="I98" s="91" t="s">
        <v>182</v>
      </c>
      <c r="J98" s="87">
        <v>40</v>
      </c>
      <c r="K98" s="92"/>
      <c r="L98" s="93">
        <v>62.5</v>
      </c>
      <c r="M98" s="94">
        <f t="shared" si="10"/>
        <v>0</v>
      </c>
      <c r="N98" s="94">
        <f t="shared" si="17"/>
        <v>0</v>
      </c>
      <c r="O98" s="61"/>
      <c r="P98" s="61"/>
      <c r="Q98" s="68"/>
      <c r="R98" s="69"/>
      <c r="S98" s="69"/>
    </row>
    <row r="99" spans="1:19" ht="15" customHeight="1" x14ac:dyDescent="0.35">
      <c r="A99" s="87"/>
      <c r="B99" s="88"/>
      <c r="C99" s="89"/>
      <c r="D99" s="90"/>
      <c r="E99" s="90"/>
      <c r="F99" s="90"/>
      <c r="G99" s="90">
        <f t="shared" si="13"/>
        <v>0</v>
      </c>
      <c r="H99" s="90">
        <f t="shared" si="12"/>
        <v>0</v>
      </c>
      <c r="I99" s="91" t="s">
        <v>182</v>
      </c>
      <c r="J99" s="87">
        <v>40</v>
      </c>
      <c r="K99" s="92"/>
      <c r="L99" s="93">
        <v>62.5</v>
      </c>
      <c r="M99" s="94">
        <f t="shared" si="10"/>
        <v>0</v>
      </c>
      <c r="N99" s="94">
        <f t="shared" si="17"/>
        <v>0</v>
      </c>
      <c r="O99" s="61"/>
      <c r="P99" s="61"/>
      <c r="Q99" s="68"/>
      <c r="R99" s="69"/>
      <c r="S99" s="69"/>
    </row>
    <row r="100" spans="1:19" ht="15" customHeight="1" x14ac:dyDescent="0.35">
      <c r="A100" s="87"/>
      <c r="B100" s="88"/>
      <c r="C100" s="89"/>
      <c r="D100" s="90"/>
      <c r="E100" s="90"/>
      <c r="F100" s="90"/>
      <c r="G100" s="90">
        <f t="shared" si="13"/>
        <v>0</v>
      </c>
      <c r="H100" s="90">
        <f t="shared" si="12"/>
        <v>0</v>
      </c>
      <c r="I100" s="91" t="s">
        <v>182</v>
      </c>
      <c r="J100" s="87">
        <v>40</v>
      </c>
      <c r="K100" s="92"/>
      <c r="L100" s="93">
        <v>62.5</v>
      </c>
      <c r="M100" s="94">
        <f t="shared" si="10"/>
        <v>0</v>
      </c>
      <c r="N100" s="94">
        <f t="shared" si="17"/>
        <v>0</v>
      </c>
      <c r="O100" s="61"/>
      <c r="P100" s="61"/>
      <c r="Q100" s="68"/>
      <c r="R100" s="69"/>
      <c r="S100" s="69"/>
    </row>
    <row r="101" spans="1:19" ht="15" customHeight="1" x14ac:dyDescent="0.35">
      <c r="A101" s="87"/>
      <c r="B101" s="88"/>
      <c r="C101" s="89"/>
      <c r="D101" s="90"/>
      <c r="E101" s="90"/>
      <c r="F101" s="90"/>
      <c r="G101" s="90">
        <f t="shared" si="13"/>
        <v>0</v>
      </c>
      <c r="H101" s="90">
        <f t="shared" si="12"/>
        <v>0</v>
      </c>
      <c r="I101" s="91" t="s">
        <v>182</v>
      </c>
      <c r="J101" s="87">
        <v>40</v>
      </c>
      <c r="K101" s="92"/>
      <c r="L101" s="93">
        <v>62.5</v>
      </c>
      <c r="M101" s="94">
        <f t="shared" si="10"/>
        <v>0</v>
      </c>
      <c r="N101" s="94">
        <f t="shared" si="17"/>
        <v>0</v>
      </c>
      <c r="O101" s="61"/>
      <c r="P101" s="61"/>
      <c r="Q101" s="68"/>
      <c r="R101" s="69"/>
      <c r="S101" s="69"/>
    </row>
    <row r="102" spans="1:19" ht="15" customHeight="1" x14ac:dyDescent="0.35">
      <c r="A102" s="87"/>
      <c r="B102" s="88"/>
      <c r="C102" s="89"/>
      <c r="D102" s="90"/>
      <c r="E102" s="90"/>
      <c r="F102" s="90"/>
      <c r="G102" s="90">
        <f t="shared" si="13"/>
        <v>0</v>
      </c>
      <c r="H102" s="90">
        <f t="shared" si="12"/>
        <v>0</v>
      </c>
      <c r="I102" s="91" t="s">
        <v>182</v>
      </c>
      <c r="J102" s="87">
        <v>5</v>
      </c>
      <c r="K102" s="92"/>
      <c r="L102" s="93">
        <v>5</v>
      </c>
      <c r="M102" s="94">
        <f t="shared" si="10"/>
        <v>0</v>
      </c>
      <c r="N102" s="94">
        <f t="shared" si="17"/>
        <v>0</v>
      </c>
      <c r="O102" s="61"/>
      <c r="P102" s="61"/>
      <c r="Q102" s="68"/>
      <c r="R102" s="69"/>
      <c r="S102" s="69"/>
    </row>
    <row r="103" spans="1:19" ht="15" customHeight="1" x14ac:dyDescent="0.35">
      <c r="A103" s="87"/>
      <c r="B103" s="88"/>
      <c r="C103" s="89"/>
      <c r="D103" s="90"/>
      <c r="E103" s="90"/>
      <c r="F103" s="90"/>
      <c r="G103" s="90">
        <f t="shared" si="13"/>
        <v>0</v>
      </c>
      <c r="H103" s="90">
        <f t="shared" si="12"/>
        <v>0</v>
      </c>
      <c r="I103" s="91" t="s">
        <v>182</v>
      </c>
      <c r="J103" s="87">
        <v>7</v>
      </c>
      <c r="K103" s="92"/>
      <c r="L103" s="93">
        <v>7</v>
      </c>
      <c r="M103" s="94">
        <f t="shared" si="10"/>
        <v>0</v>
      </c>
      <c r="N103" s="94">
        <f t="shared" si="17"/>
        <v>0</v>
      </c>
      <c r="O103" s="61"/>
      <c r="P103" s="61"/>
      <c r="Q103" s="68"/>
      <c r="R103" s="69"/>
      <c r="S103" s="69"/>
    </row>
    <row r="104" spans="1:19" ht="15" customHeight="1" x14ac:dyDescent="0.35">
      <c r="A104" s="87"/>
      <c r="B104" s="88"/>
      <c r="C104" s="89"/>
      <c r="D104" s="90"/>
      <c r="E104" s="90"/>
      <c r="F104" s="90"/>
      <c r="G104" s="90">
        <f t="shared" si="13"/>
        <v>0</v>
      </c>
      <c r="H104" s="90">
        <f t="shared" si="12"/>
        <v>0</v>
      </c>
      <c r="I104" s="91" t="s">
        <v>182</v>
      </c>
      <c r="J104" s="87">
        <v>30</v>
      </c>
      <c r="K104" s="92"/>
      <c r="L104" s="93">
        <v>30</v>
      </c>
      <c r="M104" s="94">
        <f t="shared" si="10"/>
        <v>0</v>
      </c>
      <c r="N104" s="94">
        <f t="shared" si="17"/>
        <v>0</v>
      </c>
      <c r="O104" s="61"/>
      <c r="P104" s="61"/>
      <c r="Q104" s="68"/>
      <c r="R104" s="69"/>
      <c r="S104" s="69"/>
    </row>
    <row r="105" spans="1:19" ht="15" customHeight="1" x14ac:dyDescent="0.35">
      <c r="A105" s="87"/>
      <c r="B105" s="88"/>
      <c r="C105" s="89"/>
      <c r="D105" s="90"/>
      <c r="E105" s="90"/>
      <c r="F105" s="90"/>
      <c r="G105" s="90">
        <f t="shared" si="13"/>
        <v>0</v>
      </c>
      <c r="H105" s="90">
        <f t="shared" si="12"/>
        <v>0</v>
      </c>
      <c r="I105" s="91" t="s">
        <v>182</v>
      </c>
      <c r="J105" s="87">
        <v>40</v>
      </c>
      <c r="K105" s="92"/>
      <c r="L105" s="93">
        <v>62.5</v>
      </c>
      <c r="M105" s="94">
        <f t="shared" si="10"/>
        <v>0</v>
      </c>
      <c r="N105" s="94">
        <f t="shared" si="17"/>
        <v>0</v>
      </c>
      <c r="O105" s="61"/>
      <c r="P105" s="61"/>
      <c r="Q105" s="68"/>
      <c r="R105" s="69"/>
      <c r="S105" s="69"/>
    </row>
    <row r="106" spans="1:19" ht="15" customHeight="1" x14ac:dyDescent="0.35">
      <c r="A106" s="87"/>
      <c r="B106" s="88"/>
      <c r="C106" s="89"/>
      <c r="D106" s="90"/>
      <c r="E106" s="90"/>
      <c r="F106" s="90"/>
      <c r="G106" s="90">
        <f t="shared" si="13"/>
        <v>0</v>
      </c>
      <c r="H106" s="90">
        <f t="shared" si="12"/>
        <v>0</v>
      </c>
      <c r="I106" s="91" t="s">
        <v>182</v>
      </c>
      <c r="J106" s="87">
        <v>15</v>
      </c>
      <c r="K106" s="92"/>
      <c r="L106" s="93">
        <v>15</v>
      </c>
      <c r="M106" s="94">
        <f t="shared" si="10"/>
        <v>0</v>
      </c>
      <c r="N106" s="94">
        <f t="shared" si="17"/>
        <v>0</v>
      </c>
      <c r="O106" s="61"/>
      <c r="P106" s="61"/>
      <c r="Q106" s="68"/>
      <c r="R106" s="69"/>
      <c r="S106" s="69"/>
    </row>
    <row r="107" spans="1:19" ht="15" customHeight="1" x14ac:dyDescent="0.35">
      <c r="A107" s="87"/>
      <c r="B107" s="88"/>
      <c r="C107" s="89"/>
      <c r="D107" s="90"/>
      <c r="E107" s="90"/>
      <c r="F107" s="90"/>
      <c r="G107" s="90">
        <f t="shared" si="13"/>
        <v>0</v>
      </c>
      <c r="H107" s="90">
        <f t="shared" si="12"/>
        <v>0</v>
      </c>
      <c r="I107" s="91" t="s">
        <v>182</v>
      </c>
      <c r="J107" s="87">
        <v>30</v>
      </c>
      <c r="K107" s="92"/>
      <c r="L107" s="93">
        <v>30</v>
      </c>
      <c r="M107" s="94">
        <f t="shared" si="10"/>
        <v>0</v>
      </c>
      <c r="N107" s="94">
        <f t="shared" si="17"/>
        <v>0</v>
      </c>
      <c r="O107" s="61"/>
      <c r="P107" s="61"/>
      <c r="Q107" s="68"/>
      <c r="R107" s="69"/>
      <c r="S107" s="69"/>
    </row>
    <row r="108" spans="1:19" ht="15" customHeight="1" x14ac:dyDescent="0.35">
      <c r="A108" s="87"/>
      <c r="B108" s="88"/>
      <c r="C108" s="89"/>
      <c r="D108" s="90"/>
      <c r="E108" s="90"/>
      <c r="F108" s="90"/>
      <c r="G108" s="90">
        <f t="shared" si="13"/>
        <v>0</v>
      </c>
      <c r="H108" s="90">
        <f t="shared" si="12"/>
        <v>0</v>
      </c>
      <c r="I108" s="91" t="s">
        <v>182</v>
      </c>
      <c r="J108" s="87">
        <v>7</v>
      </c>
      <c r="K108" s="92"/>
      <c r="L108" s="93">
        <v>7</v>
      </c>
      <c r="M108" s="94">
        <f t="shared" si="10"/>
        <v>0</v>
      </c>
      <c r="N108" s="94">
        <f t="shared" si="17"/>
        <v>0</v>
      </c>
      <c r="O108" s="61"/>
      <c r="P108" s="61"/>
      <c r="Q108" s="68"/>
      <c r="R108" s="69"/>
      <c r="S108" s="69"/>
    </row>
    <row r="109" spans="1:19" ht="15" customHeight="1" x14ac:dyDescent="0.35">
      <c r="A109" s="87"/>
      <c r="B109" s="88"/>
      <c r="C109" s="89"/>
      <c r="D109" s="90"/>
      <c r="E109" s="90"/>
      <c r="F109" s="90"/>
      <c r="G109" s="90">
        <f t="shared" si="13"/>
        <v>0</v>
      </c>
      <c r="H109" s="90">
        <f t="shared" si="12"/>
        <v>0</v>
      </c>
      <c r="I109" s="91" t="s">
        <v>182</v>
      </c>
      <c r="J109" s="87">
        <v>40</v>
      </c>
      <c r="K109" s="92"/>
      <c r="L109" s="93">
        <v>62.5</v>
      </c>
      <c r="M109" s="94">
        <f t="shared" si="10"/>
        <v>0</v>
      </c>
      <c r="N109" s="94">
        <f t="shared" si="17"/>
        <v>0</v>
      </c>
      <c r="O109" s="61"/>
      <c r="P109" s="61"/>
      <c r="Q109" s="68"/>
      <c r="R109" s="69"/>
      <c r="S109" s="69"/>
    </row>
    <row r="110" spans="1:19" ht="15" customHeight="1" x14ac:dyDescent="0.35">
      <c r="A110" s="87"/>
      <c r="B110" s="88"/>
      <c r="C110" s="89"/>
      <c r="D110" s="90"/>
      <c r="E110" s="90"/>
      <c r="F110" s="90"/>
      <c r="G110" s="90">
        <f t="shared" si="13"/>
        <v>0</v>
      </c>
      <c r="H110" s="90">
        <f t="shared" si="12"/>
        <v>0</v>
      </c>
      <c r="I110" s="91" t="s">
        <v>182</v>
      </c>
      <c r="J110" s="87">
        <v>5</v>
      </c>
      <c r="K110" s="92"/>
      <c r="L110" s="93">
        <v>5</v>
      </c>
      <c r="M110" s="94">
        <f t="shared" si="10"/>
        <v>0</v>
      </c>
      <c r="N110" s="94">
        <f t="shared" si="17"/>
        <v>0</v>
      </c>
      <c r="O110" s="61"/>
      <c r="P110" s="61"/>
      <c r="Q110" s="68"/>
      <c r="R110" s="69"/>
      <c r="S110" s="69"/>
    </row>
    <row r="111" spans="1:19" ht="15" customHeight="1" x14ac:dyDescent="0.35">
      <c r="A111" s="87"/>
      <c r="B111" s="88"/>
      <c r="C111" s="89"/>
      <c r="D111" s="90"/>
      <c r="E111" s="90"/>
      <c r="F111" s="90"/>
      <c r="G111" s="90">
        <f t="shared" si="13"/>
        <v>0</v>
      </c>
      <c r="H111" s="90">
        <f t="shared" si="12"/>
        <v>0</v>
      </c>
      <c r="I111" s="91" t="s">
        <v>182</v>
      </c>
      <c r="J111" s="87">
        <v>7</v>
      </c>
      <c r="K111" s="92"/>
      <c r="L111" s="93">
        <v>7</v>
      </c>
      <c r="M111" s="94">
        <f t="shared" si="10"/>
        <v>0</v>
      </c>
      <c r="N111" s="94">
        <f t="shared" si="17"/>
        <v>0</v>
      </c>
      <c r="O111" s="61"/>
      <c r="P111" s="61"/>
      <c r="Q111" s="68"/>
      <c r="R111" s="69"/>
      <c r="S111" s="69"/>
    </row>
    <row r="112" spans="1:19" ht="15" customHeight="1" x14ac:dyDescent="0.35">
      <c r="A112" s="87"/>
      <c r="B112" s="88"/>
      <c r="C112" s="89"/>
      <c r="D112" s="90"/>
      <c r="E112" s="90"/>
      <c r="F112" s="90"/>
      <c r="G112" s="90">
        <f t="shared" si="13"/>
        <v>0</v>
      </c>
      <c r="H112" s="90">
        <f t="shared" si="12"/>
        <v>0</v>
      </c>
      <c r="I112" s="91" t="s">
        <v>182</v>
      </c>
      <c r="J112" s="87">
        <v>15</v>
      </c>
      <c r="K112" s="92"/>
      <c r="L112" s="93">
        <v>15</v>
      </c>
      <c r="M112" s="94">
        <f>D112/L112</f>
        <v>0</v>
      </c>
      <c r="N112" s="94">
        <f t="shared" si="17"/>
        <v>0</v>
      </c>
      <c r="O112" s="61"/>
      <c r="P112" s="61"/>
      <c r="Q112" s="68"/>
      <c r="R112" s="69"/>
      <c r="S112" s="69"/>
    </row>
    <row r="113" spans="1:19" ht="15" customHeight="1" x14ac:dyDescent="0.35">
      <c r="A113" s="87"/>
      <c r="B113" s="88"/>
      <c r="C113" s="89"/>
      <c r="D113" s="90"/>
      <c r="E113" s="90"/>
      <c r="F113" s="90"/>
      <c r="G113" s="90">
        <f t="shared" si="13"/>
        <v>0</v>
      </c>
      <c r="H113" s="90">
        <f t="shared" si="12"/>
        <v>0</v>
      </c>
      <c r="I113" s="91" t="s">
        <v>182</v>
      </c>
      <c r="J113" s="87">
        <v>7</v>
      </c>
      <c r="K113" s="92"/>
      <c r="L113" s="93">
        <v>7</v>
      </c>
      <c r="M113" s="94">
        <f>D113/L113</f>
        <v>0</v>
      </c>
      <c r="N113" s="94">
        <f t="shared" si="17"/>
        <v>0</v>
      </c>
      <c r="O113" s="61"/>
      <c r="P113" s="61"/>
      <c r="Q113" s="68"/>
      <c r="R113" s="69"/>
      <c r="S113" s="69"/>
    </row>
    <row r="114" spans="1:19" ht="15" customHeight="1" x14ac:dyDescent="0.35">
      <c r="A114" s="87"/>
      <c r="B114" s="88"/>
      <c r="C114" s="89"/>
      <c r="D114" s="90"/>
      <c r="E114" s="90"/>
      <c r="F114" s="90"/>
      <c r="G114" s="90"/>
      <c r="H114" s="90"/>
      <c r="I114" s="91"/>
      <c r="J114" s="87"/>
      <c r="K114" s="92"/>
      <c r="L114" s="93"/>
      <c r="M114" s="94"/>
      <c r="N114" s="94"/>
      <c r="O114" s="61"/>
      <c r="P114" s="61"/>
      <c r="Q114" s="68"/>
      <c r="R114" s="69"/>
      <c r="S114" s="69"/>
    </row>
    <row r="115" spans="1:19" ht="15" customHeight="1" x14ac:dyDescent="0.35">
      <c r="A115" s="126"/>
      <c r="B115" s="127"/>
      <c r="C115" s="97" t="s">
        <v>183</v>
      </c>
      <c r="D115" s="98">
        <f>SUM(D5:D113)</f>
        <v>13079715.02</v>
      </c>
      <c r="E115" s="98">
        <f>SUM(E5:E113)</f>
        <v>7204481.3299999991</v>
      </c>
      <c r="F115" s="98">
        <f>SUM(F5:F113)</f>
        <v>320946.84114999988</v>
      </c>
      <c r="G115" s="98">
        <f>SUM(G5:G113)</f>
        <v>7525428.1711499989</v>
      </c>
      <c r="H115" s="98">
        <f>SUM(H5:H113)</f>
        <v>5552505.8306000009</v>
      </c>
      <c r="I115" s="115"/>
      <c r="J115" s="116"/>
      <c r="K115" s="99"/>
      <c r="L115" s="100"/>
      <c r="M115" s="98">
        <f>SUM(M5:M113)</f>
        <v>219033.18907999992</v>
      </c>
      <c r="N115" s="98">
        <f>SUM(N5:N113)</f>
        <v>-101913.65207</v>
      </c>
      <c r="O115" s="61"/>
      <c r="P115" s="61"/>
      <c r="Q115" s="68"/>
      <c r="R115" s="61"/>
      <c r="S115" s="61"/>
    </row>
    <row r="116" spans="1:19" ht="110.25" customHeight="1" x14ac:dyDescent="0.35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Q116" s="68"/>
    </row>
    <row r="117" spans="1:19" ht="51" customHeight="1" x14ac:dyDescent="0.65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</row>
    <row r="118" spans="1:19" ht="20.25" customHeight="1" x14ac:dyDescent="0.35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</row>
    <row r="119" spans="1:19" x14ac:dyDescent="0.35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19"/>
      <c r="L119" s="102"/>
      <c r="M119" s="102"/>
      <c r="N119" s="102"/>
    </row>
    <row r="120" spans="1:19" ht="15" customHeight="1" x14ac:dyDescent="0.35">
      <c r="A120" s="103"/>
      <c r="B120" s="61"/>
      <c r="C120" s="104"/>
      <c r="D120" s="105"/>
      <c r="E120" s="105"/>
      <c r="F120" s="105"/>
      <c r="G120" s="105"/>
      <c r="H120" s="105"/>
      <c r="I120" s="106"/>
      <c r="J120" s="107"/>
      <c r="K120" s="119"/>
      <c r="L120" s="103"/>
      <c r="M120" s="108"/>
      <c r="N120" s="108"/>
      <c r="O120" s="61"/>
      <c r="P120" s="61"/>
      <c r="Q120" s="68"/>
      <c r="S120" s="109"/>
    </row>
    <row r="121" spans="1:19" x14ac:dyDescent="0.35">
      <c r="A121" s="125"/>
      <c r="B121" s="125"/>
      <c r="C121" s="110"/>
      <c r="D121" s="111"/>
      <c r="E121" s="111"/>
      <c r="F121" s="111"/>
      <c r="G121" s="111"/>
      <c r="H121" s="111"/>
      <c r="I121" s="120"/>
      <c r="J121" s="120"/>
      <c r="K121" s="119"/>
      <c r="L121" s="112"/>
      <c r="M121" s="111"/>
      <c r="N121" s="111"/>
    </row>
  </sheetData>
  <mergeCells count="15">
    <mergeCell ref="K5:K87"/>
    <mergeCell ref="A121:B121"/>
    <mergeCell ref="A115:B115"/>
    <mergeCell ref="A1:N1"/>
    <mergeCell ref="A2:N2"/>
    <mergeCell ref="A3:J3"/>
    <mergeCell ref="K3:K4"/>
    <mergeCell ref="L3:N3"/>
    <mergeCell ref="I115:J115"/>
    <mergeCell ref="A116:N116"/>
    <mergeCell ref="A117:N117"/>
    <mergeCell ref="A118:J118"/>
    <mergeCell ref="K118:K121"/>
    <mergeCell ref="L118:N118"/>
    <mergeCell ref="I121:J121"/>
  </mergeCells>
  <conditionalFormatting sqref="R6:S114 S120">
    <cfRule type="cellIs" dxfId="2" priority="1" operator="between">
      <formula>0</formula>
      <formula>2</formula>
    </cfRule>
    <cfRule type="cellIs" dxfId="1" priority="2" operator="lessThan">
      <formula>0</formula>
    </cfRule>
    <cfRule type="cellIs" dxfId="0" priority="3" operator="greaterThan">
      <formula>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14CF-A607-4246-AB77-93F4B53ED5E2}">
  <dimension ref="A1:T12"/>
  <sheetViews>
    <sheetView zoomScale="80" zoomScaleNormal="80" workbookViewId="0">
      <selection activeCell="O25" sqref="O25"/>
    </sheetView>
  </sheetViews>
  <sheetFormatPr defaultRowHeight="15.5" x14ac:dyDescent="0.35"/>
  <cols>
    <col min="1" max="7" width="15.765625" customWidth="1"/>
    <col min="18" max="18" width="12" bestFit="1" customWidth="1"/>
    <col min="19" max="19" width="2.3046875" customWidth="1"/>
    <col min="20" max="20" width="12" bestFit="1" customWidth="1"/>
  </cols>
  <sheetData>
    <row r="1" spans="1:20" x14ac:dyDescent="0.35">
      <c r="A1" s="51" t="s">
        <v>141</v>
      </c>
      <c r="B1" s="51" t="s">
        <v>142</v>
      </c>
      <c r="C1" s="51" t="s">
        <v>143</v>
      </c>
      <c r="D1" s="51" t="s">
        <v>144</v>
      </c>
      <c r="E1" s="51" t="s">
        <v>145</v>
      </c>
      <c r="F1" s="51" t="s">
        <v>146</v>
      </c>
      <c r="G1" s="51" t="s">
        <v>147</v>
      </c>
      <c r="I1" s="51" t="s">
        <v>71</v>
      </c>
    </row>
    <row r="2" spans="1:20" x14ac:dyDescent="0.35">
      <c r="R2" s="4" t="s">
        <v>162</v>
      </c>
      <c r="T2" s="4" t="s">
        <v>163</v>
      </c>
    </row>
    <row r="3" spans="1:20" x14ac:dyDescent="0.35">
      <c r="A3" s="52">
        <v>2025</v>
      </c>
      <c r="B3" s="52"/>
      <c r="C3" s="52">
        <v>17</v>
      </c>
      <c r="D3" s="53">
        <v>89358</v>
      </c>
      <c r="E3" s="53">
        <v>55358</v>
      </c>
      <c r="F3" s="53">
        <v>34000</v>
      </c>
      <c r="G3" s="53">
        <v>1273000</v>
      </c>
      <c r="I3" s="12">
        <f>E3+F3</f>
        <v>89358</v>
      </c>
      <c r="L3" t="s">
        <v>157</v>
      </c>
    </row>
    <row r="4" spans="1:20" x14ac:dyDescent="0.35">
      <c r="A4" s="52">
        <v>2026</v>
      </c>
      <c r="B4" s="52"/>
      <c r="C4" s="52">
        <v>18</v>
      </c>
      <c r="D4" s="53">
        <v>88955</v>
      </c>
      <c r="E4" s="53">
        <v>53955</v>
      </c>
      <c r="F4" s="53">
        <v>35000</v>
      </c>
      <c r="G4" s="53">
        <v>1236000</v>
      </c>
      <c r="I4" s="12">
        <f t="shared" ref="I4:I8" si="0">E4+F4</f>
        <v>88955</v>
      </c>
      <c r="L4" t="s">
        <v>158</v>
      </c>
      <c r="R4" s="12">
        <f>D10</f>
        <v>89150.666666666672</v>
      </c>
      <c r="T4" s="12">
        <f>D12</f>
        <v>89327.6</v>
      </c>
    </row>
    <row r="5" spans="1:20" x14ac:dyDescent="0.35">
      <c r="A5" s="52">
        <v>2027</v>
      </c>
      <c r="B5" s="52"/>
      <c r="C5" s="52">
        <v>19</v>
      </c>
      <c r="D5" s="53">
        <v>89512</v>
      </c>
      <c r="E5" s="53">
        <v>52512</v>
      </c>
      <c r="F5" s="53">
        <v>37000</v>
      </c>
      <c r="G5" s="53">
        <v>1198000</v>
      </c>
      <c r="I5" s="12">
        <f t="shared" si="0"/>
        <v>89512</v>
      </c>
      <c r="L5" t="s">
        <v>159</v>
      </c>
      <c r="R5" s="55">
        <v>1.2</v>
      </c>
      <c r="T5" s="55">
        <v>1.2</v>
      </c>
    </row>
    <row r="6" spans="1:20" x14ac:dyDescent="0.35">
      <c r="A6" s="52">
        <v>2028</v>
      </c>
      <c r="B6" s="52"/>
      <c r="C6" s="52">
        <v>20</v>
      </c>
      <c r="D6" s="53">
        <v>88985</v>
      </c>
      <c r="E6" s="53">
        <v>50985</v>
      </c>
      <c r="F6" s="53">
        <v>38000</v>
      </c>
      <c r="G6" s="53">
        <v>1158000</v>
      </c>
      <c r="I6" s="12">
        <f t="shared" si="0"/>
        <v>88985</v>
      </c>
    </row>
    <row r="7" spans="1:20" x14ac:dyDescent="0.35">
      <c r="A7" s="52">
        <v>2029</v>
      </c>
      <c r="B7" s="52"/>
      <c r="C7" s="52">
        <v>21</v>
      </c>
      <c r="D7" s="53">
        <v>89418</v>
      </c>
      <c r="E7" s="53">
        <v>49418</v>
      </c>
      <c r="F7" s="53">
        <v>40000</v>
      </c>
      <c r="G7" s="53">
        <v>1116000</v>
      </c>
      <c r="I7" s="12">
        <f t="shared" si="0"/>
        <v>89418</v>
      </c>
      <c r="L7" t="s">
        <v>38</v>
      </c>
      <c r="R7" s="12">
        <f>R4*R5</f>
        <v>106980.8</v>
      </c>
      <c r="T7" s="12">
        <f>T5*T4</f>
        <v>107193.12000000001</v>
      </c>
    </row>
    <row r="8" spans="1:20" x14ac:dyDescent="0.35">
      <c r="A8" s="52">
        <v>2030</v>
      </c>
      <c r="B8" s="52"/>
      <c r="C8" s="52">
        <v>22</v>
      </c>
      <c r="D8" s="54">
        <v>89768</v>
      </c>
      <c r="E8" s="54">
        <v>47768</v>
      </c>
      <c r="F8" s="54">
        <v>42000</v>
      </c>
      <c r="G8" s="54">
        <v>1073000</v>
      </c>
      <c r="H8" s="5"/>
      <c r="I8" s="20">
        <f t="shared" si="0"/>
        <v>89768</v>
      </c>
      <c r="L8" t="s">
        <v>160</v>
      </c>
      <c r="R8" s="20">
        <f>-D10</f>
        <v>-89150.666666666672</v>
      </c>
      <c r="T8" s="20">
        <f>-D12</f>
        <v>-89327.6</v>
      </c>
    </row>
    <row r="9" spans="1:20" x14ac:dyDescent="0.35">
      <c r="A9" s="52"/>
      <c r="B9" s="52"/>
      <c r="C9" s="52"/>
      <c r="D9" s="52"/>
      <c r="E9" s="52"/>
      <c r="F9" s="52"/>
      <c r="G9" s="52"/>
    </row>
    <row r="10" spans="1:20" ht="16" thickBot="1" x14ac:dyDescent="0.4">
      <c r="C10" t="s">
        <v>155</v>
      </c>
      <c r="D10" s="12">
        <f>AVERAGE(D4:D6)</f>
        <v>89150.666666666672</v>
      </c>
      <c r="E10" s="12">
        <f>AVERAGE(E4:E6)</f>
        <v>52484</v>
      </c>
      <c r="F10" s="12">
        <f>AVERAGE(F4:F6)</f>
        <v>36666.666666666664</v>
      </c>
      <c r="I10" s="12">
        <f>E10+F10</f>
        <v>89150.666666666657</v>
      </c>
      <c r="L10" t="s">
        <v>161</v>
      </c>
      <c r="R10" s="21">
        <f>SUM(R7:R8)</f>
        <v>17830.133333333331</v>
      </c>
      <c r="T10" s="21">
        <f>SUM(T7:T8)</f>
        <v>17865.520000000004</v>
      </c>
    </row>
    <row r="11" spans="1:20" ht="16" thickTop="1" x14ac:dyDescent="0.35">
      <c r="I11" s="12"/>
    </row>
    <row r="12" spans="1:20" x14ac:dyDescent="0.35">
      <c r="C12" t="s">
        <v>156</v>
      </c>
      <c r="D12" s="12">
        <f>AVERAGE(D4:D8)</f>
        <v>89327.6</v>
      </c>
      <c r="E12" s="12">
        <f t="shared" ref="E12:F12" si="1">AVERAGE(E4:E8)</f>
        <v>50927.6</v>
      </c>
      <c r="F12" s="12">
        <f t="shared" si="1"/>
        <v>38400</v>
      </c>
      <c r="I12" s="12">
        <f t="shared" ref="I12" si="2">E12+F12</f>
        <v>89327.6</v>
      </c>
    </row>
  </sheetData>
  <pageMargins left="0.7" right="0.7" top="0.75" bottom="0.75" header="0.3" footer="0.3"/>
  <ignoredErrors>
    <ignoredError sqref="D10:F10 D12:F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5F78-1C47-4ABC-8247-4F10A65544ED}">
  <dimension ref="A1:N35"/>
  <sheetViews>
    <sheetView zoomScale="80" zoomScaleNormal="80" workbookViewId="0">
      <selection activeCell="Q25" sqref="Q25"/>
    </sheetView>
  </sheetViews>
  <sheetFormatPr defaultRowHeight="15.5" x14ac:dyDescent="0.35"/>
  <cols>
    <col min="1" max="1" width="13.765625" bestFit="1" customWidth="1"/>
    <col min="2" max="2" width="2.3046875" customWidth="1"/>
    <col min="3" max="3" width="15.69140625" bestFit="1" customWidth="1"/>
    <col min="4" max="4" width="2.3046875" customWidth="1"/>
    <col min="5" max="5" width="11" bestFit="1" customWidth="1"/>
    <col min="10" max="10" width="14.69140625" bestFit="1" customWidth="1"/>
    <col min="11" max="11" width="2.3046875" customWidth="1"/>
    <col min="13" max="13" width="2.3046875" customWidth="1"/>
    <col min="14" max="14" width="12" bestFit="1" customWidth="1"/>
  </cols>
  <sheetData>
    <row r="1" spans="1:14" x14ac:dyDescent="0.35">
      <c r="A1" s="128" t="s">
        <v>70</v>
      </c>
      <c r="B1" s="128"/>
      <c r="C1" s="128"/>
      <c r="D1" s="128"/>
      <c r="E1" s="128"/>
      <c r="G1" s="128" t="s">
        <v>72</v>
      </c>
      <c r="H1" s="128"/>
      <c r="I1" s="128"/>
      <c r="J1" s="128"/>
      <c r="K1" s="128"/>
      <c r="L1" s="4" t="s">
        <v>78</v>
      </c>
      <c r="M1" s="5"/>
      <c r="N1" s="5" t="s">
        <v>12</v>
      </c>
    </row>
    <row r="2" spans="1:14" x14ac:dyDescent="0.35">
      <c r="C2" s="15" t="s">
        <v>59</v>
      </c>
      <c r="E2" s="15" t="s">
        <v>61</v>
      </c>
      <c r="G2" t="s">
        <v>73</v>
      </c>
      <c r="J2" s="9">
        <f>SAO!H21</f>
        <v>1066466</v>
      </c>
      <c r="L2" s="17">
        <f>J25</f>
        <v>0.11563417223505904</v>
      </c>
      <c r="N2" s="12">
        <f>J2*L2</f>
        <v>123319.91312683446</v>
      </c>
    </row>
    <row r="3" spans="1:14" x14ac:dyDescent="0.35">
      <c r="A3" t="s">
        <v>47</v>
      </c>
      <c r="C3" s="6">
        <v>25850</v>
      </c>
      <c r="E3" s="6">
        <v>18968</v>
      </c>
      <c r="G3" t="s">
        <v>74</v>
      </c>
      <c r="J3" s="6">
        <f>SAO!H22</f>
        <v>13051</v>
      </c>
      <c r="L3" s="17">
        <f>J25</f>
        <v>0.11563417223505904</v>
      </c>
      <c r="N3" s="20">
        <f>L3*J3</f>
        <v>1509.1415818397554</v>
      </c>
    </row>
    <row r="4" spans="1:14" x14ac:dyDescent="0.35">
      <c r="A4" t="s">
        <v>48</v>
      </c>
      <c r="C4" s="6">
        <v>22896</v>
      </c>
      <c r="E4" s="6">
        <v>17328</v>
      </c>
    </row>
    <row r="5" spans="1:14" ht="16" thickBot="1" x14ac:dyDescent="0.4">
      <c r="A5" t="s">
        <v>49</v>
      </c>
      <c r="C5" s="6">
        <v>24230</v>
      </c>
      <c r="E5" s="6">
        <v>16677</v>
      </c>
      <c r="J5" t="s">
        <v>79</v>
      </c>
      <c r="N5" s="21">
        <f>SUM(N2:N4)</f>
        <v>124829.05470867422</v>
      </c>
    </row>
    <row r="6" spans="1:14" ht="16" thickTop="1" x14ac:dyDescent="0.35">
      <c r="A6" t="s">
        <v>50</v>
      </c>
      <c r="C6" s="6">
        <v>24805</v>
      </c>
      <c r="E6" s="6">
        <v>18672</v>
      </c>
    </row>
    <row r="7" spans="1:14" x14ac:dyDescent="0.35">
      <c r="A7" t="s">
        <v>51</v>
      </c>
      <c r="C7" s="6">
        <v>26943</v>
      </c>
      <c r="E7" s="6">
        <v>19973</v>
      </c>
    </row>
    <row r="8" spans="1:14" x14ac:dyDescent="0.35">
      <c r="A8" t="s">
        <v>52</v>
      </c>
      <c r="C8" s="6">
        <v>28151</v>
      </c>
      <c r="E8" s="6">
        <v>21928</v>
      </c>
    </row>
    <row r="9" spans="1:14" x14ac:dyDescent="0.35">
      <c r="A9" t="s">
        <v>53</v>
      </c>
      <c r="C9" s="6">
        <v>27991</v>
      </c>
      <c r="E9" s="6">
        <v>21558</v>
      </c>
    </row>
    <row r="10" spans="1:14" x14ac:dyDescent="0.35">
      <c r="A10" t="s">
        <v>54</v>
      </c>
      <c r="C10" s="6">
        <v>29428</v>
      </c>
      <c r="E10" s="6">
        <v>22150</v>
      </c>
    </row>
    <row r="11" spans="1:14" x14ac:dyDescent="0.35">
      <c r="A11" t="s">
        <v>55</v>
      </c>
      <c r="C11" s="6">
        <v>28099</v>
      </c>
      <c r="E11" s="6">
        <v>21657</v>
      </c>
    </row>
    <row r="12" spans="1:14" x14ac:dyDescent="0.35">
      <c r="A12" t="s">
        <v>56</v>
      </c>
      <c r="C12" s="6">
        <v>28203</v>
      </c>
      <c r="E12" s="6">
        <v>19784</v>
      </c>
    </row>
    <row r="13" spans="1:14" x14ac:dyDescent="0.35">
      <c r="A13" t="s">
        <v>57</v>
      </c>
      <c r="C13" s="6">
        <v>26392</v>
      </c>
      <c r="E13" s="6">
        <v>18625</v>
      </c>
    </row>
    <row r="14" spans="1:14" x14ac:dyDescent="0.35">
      <c r="A14" t="s">
        <v>58</v>
      </c>
      <c r="C14" s="7">
        <v>27272</v>
      </c>
      <c r="E14" s="7">
        <v>17088</v>
      </c>
    </row>
    <row r="16" spans="1:14" ht="16" thickBot="1" x14ac:dyDescent="0.4">
      <c r="A16" t="s">
        <v>60</v>
      </c>
      <c r="C16" s="16">
        <f>SUM(C3:C15)</f>
        <v>320260</v>
      </c>
      <c r="E16" s="16">
        <f>SUM(E3:E15)</f>
        <v>234408</v>
      </c>
    </row>
    <row r="17" spans="1:10" ht="16" thickTop="1" x14ac:dyDescent="0.35"/>
    <row r="19" spans="1:10" x14ac:dyDescent="0.35">
      <c r="A19" t="s">
        <v>62</v>
      </c>
      <c r="C19" s="4" t="s">
        <v>63</v>
      </c>
      <c r="E19" s="4" t="s">
        <v>64</v>
      </c>
    </row>
    <row r="20" spans="1:10" x14ac:dyDescent="0.35">
      <c r="C20" s="6">
        <v>57741</v>
      </c>
      <c r="E20" s="6">
        <v>176667</v>
      </c>
    </row>
    <row r="22" spans="1:10" ht="16" thickBot="1" x14ac:dyDescent="0.4">
      <c r="A22" t="s">
        <v>80</v>
      </c>
      <c r="C22" s="13">
        <f>C20+E20</f>
        <v>234408</v>
      </c>
      <c r="G22" t="s">
        <v>75</v>
      </c>
      <c r="J22" s="17">
        <f>C32</f>
        <v>0.26563417223505903</v>
      </c>
    </row>
    <row r="23" spans="1:10" ht="16" thickTop="1" x14ac:dyDescent="0.35">
      <c r="G23" t="s">
        <v>76</v>
      </c>
      <c r="J23" s="18">
        <v>0.15</v>
      </c>
    </row>
    <row r="24" spans="1:10" x14ac:dyDescent="0.35">
      <c r="A24" t="s">
        <v>65</v>
      </c>
      <c r="C24" s="7">
        <v>780</v>
      </c>
    </row>
    <row r="25" spans="1:10" ht="16" thickBot="1" x14ac:dyDescent="0.4">
      <c r="G25" t="s">
        <v>77</v>
      </c>
      <c r="J25" s="19">
        <f>J22-J23</f>
        <v>0.11563417223505904</v>
      </c>
    </row>
    <row r="26" spans="1:10" ht="16" thickTop="1" x14ac:dyDescent="0.35">
      <c r="A26" t="s">
        <v>66</v>
      </c>
      <c r="C26" s="7">
        <v>12698</v>
      </c>
    </row>
    <row r="28" spans="1:10" x14ac:dyDescent="0.35">
      <c r="A28" t="s">
        <v>67</v>
      </c>
      <c r="C28" s="7">
        <v>72374</v>
      </c>
    </row>
    <row r="30" spans="1:10" ht="16" thickBot="1" x14ac:dyDescent="0.4">
      <c r="A30" t="s">
        <v>68</v>
      </c>
      <c r="C30" s="13">
        <f>C28+C26</f>
        <v>85072</v>
      </c>
    </row>
    <row r="31" spans="1:10" ht="16" thickTop="1" x14ac:dyDescent="0.35"/>
    <row r="32" spans="1:10" ht="16" thickBot="1" x14ac:dyDescent="0.4">
      <c r="A32" t="s">
        <v>69</v>
      </c>
      <c r="C32" s="14">
        <f>C30/C16</f>
        <v>0.26563417223505903</v>
      </c>
    </row>
    <row r="33" spans="1:3" ht="16" thickTop="1" x14ac:dyDescent="0.35"/>
    <row r="34" spans="1:3" ht="16" thickBot="1" x14ac:dyDescent="0.4">
      <c r="A34" t="s">
        <v>71</v>
      </c>
      <c r="C34" s="13">
        <f>E16+C24+C30</f>
        <v>320260</v>
      </c>
    </row>
    <row r="35" spans="1:3" ht="16" thickTop="1" x14ac:dyDescent="0.35"/>
  </sheetData>
  <mergeCells count="2">
    <mergeCell ref="A1:E1"/>
    <mergeCell ref="G1:K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AF6A7-3290-4C98-A3C6-BC97690EBC38}">
  <dimension ref="A1:S17"/>
  <sheetViews>
    <sheetView zoomScale="80" zoomScaleNormal="80" workbookViewId="0">
      <selection activeCell="O24" sqref="O24"/>
    </sheetView>
  </sheetViews>
  <sheetFormatPr defaultRowHeight="15.5" x14ac:dyDescent="0.35"/>
  <cols>
    <col min="1" max="1" width="10.53515625" bestFit="1" customWidth="1"/>
    <col min="2" max="2" width="2.3046875" customWidth="1"/>
    <col min="3" max="3" width="31.07421875" bestFit="1" customWidth="1"/>
    <col min="4" max="4" width="2.3046875" customWidth="1"/>
    <col min="5" max="5" width="7.84375" bestFit="1" customWidth="1"/>
    <col min="6" max="6" width="2.3046875" customWidth="1"/>
    <col min="7" max="7" width="9" bestFit="1" customWidth="1"/>
    <col min="8" max="8" width="2.3046875" customWidth="1"/>
    <col min="9" max="9" width="9.4609375" bestFit="1" customWidth="1"/>
    <col min="10" max="10" width="2.3046875" customWidth="1"/>
    <col min="11" max="11" width="20.23046875" bestFit="1" customWidth="1"/>
    <col min="12" max="12" width="2.3046875" customWidth="1"/>
    <col min="13" max="13" width="11.53515625" bestFit="1" customWidth="1"/>
    <col min="15" max="15" width="29.3046875" bestFit="1" customWidth="1"/>
    <col min="19" max="19" width="11" bestFit="1" customWidth="1"/>
  </cols>
  <sheetData>
    <row r="1" spans="1:19" x14ac:dyDescent="0.35">
      <c r="A1" s="128" t="s">
        <v>81</v>
      </c>
      <c r="B1" s="128"/>
      <c r="C1" s="128"/>
    </row>
    <row r="2" spans="1:19" ht="16" thickBot="1" x14ac:dyDescent="0.4">
      <c r="E2" s="114" t="s">
        <v>100</v>
      </c>
      <c r="F2" s="114"/>
      <c r="G2" s="114"/>
      <c r="I2" s="114" t="s">
        <v>101</v>
      </c>
      <c r="J2" s="114"/>
      <c r="K2" s="114"/>
      <c r="M2" s="3" t="s">
        <v>102</v>
      </c>
    </row>
    <row r="3" spans="1:19" ht="16" thickBot="1" x14ac:dyDescent="0.4">
      <c r="A3" s="22" t="s">
        <v>82</v>
      </c>
      <c r="C3" s="22" t="s">
        <v>90</v>
      </c>
      <c r="E3" s="22" t="s">
        <v>98</v>
      </c>
      <c r="G3" s="22" t="s">
        <v>99</v>
      </c>
      <c r="I3" s="22" t="s">
        <v>98</v>
      </c>
      <c r="K3" s="22" t="s">
        <v>99</v>
      </c>
      <c r="M3" s="22" t="s">
        <v>103</v>
      </c>
      <c r="O3" s="23" t="s">
        <v>106</v>
      </c>
    </row>
    <row r="5" spans="1:19" x14ac:dyDescent="0.35">
      <c r="A5" t="s">
        <v>83</v>
      </c>
      <c r="C5" t="s">
        <v>91</v>
      </c>
      <c r="E5" s="24">
        <v>31</v>
      </c>
      <c r="G5" s="26">
        <f t="shared" ref="G5:G11" si="0">E5*1.5</f>
        <v>46.5</v>
      </c>
      <c r="I5">
        <f>1976+80+68</f>
        <v>2124</v>
      </c>
      <c r="K5">
        <v>353.25</v>
      </c>
      <c r="M5" s="12">
        <f t="shared" ref="M5:M11" si="1">(E5*I5)+(G5*K5)</f>
        <v>82270.125</v>
      </c>
      <c r="O5" t="s">
        <v>109</v>
      </c>
      <c r="S5" s="12">
        <f>M16</f>
        <v>1605.5025000000023</v>
      </c>
    </row>
    <row r="6" spans="1:19" x14ac:dyDescent="0.35">
      <c r="A6" t="s">
        <v>84</v>
      </c>
      <c r="C6" t="s">
        <v>92</v>
      </c>
      <c r="E6" s="25">
        <v>28.5</v>
      </c>
      <c r="G6" s="27">
        <f t="shared" si="0"/>
        <v>42.75</v>
      </c>
      <c r="I6">
        <f>1960+64+59</f>
        <v>2083</v>
      </c>
      <c r="K6">
        <v>495.75</v>
      </c>
      <c r="M6" s="6">
        <f t="shared" si="1"/>
        <v>80558.8125</v>
      </c>
      <c r="O6" t="s">
        <v>107</v>
      </c>
      <c r="S6" s="32">
        <v>7.6499999999999999E-2</v>
      </c>
    </row>
    <row r="7" spans="1:19" x14ac:dyDescent="0.35">
      <c r="A7" t="s">
        <v>85</v>
      </c>
      <c r="C7" t="s">
        <v>93</v>
      </c>
      <c r="E7" s="25">
        <v>24</v>
      </c>
      <c r="G7" s="27">
        <f t="shared" si="0"/>
        <v>36</v>
      </c>
      <c r="I7">
        <f>1944+72+64</f>
        <v>2080</v>
      </c>
      <c r="K7">
        <v>545.25</v>
      </c>
      <c r="M7" s="6">
        <f t="shared" si="1"/>
        <v>69549</v>
      </c>
    </row>
    <row r="8" spans="1:19" ht="16" thickBot="1" x14ac:dyDescent="0.4">
      <c r="A8" t="s">
        <v>86</v>
      </c>
      <c r="C8" t="s">
        <v>94</v>
      </c>
      <c r="E8" s="25">
        <v>23</v>
      </c>
      <c r="G8" s="27">
        <f t="shared" si="0"/>
        <v>34.5</v>
      </c>
      <c r="I8" s="31">
        <f>1983.75+68+27.5</f>
        <v>2079.25</v>
      </c>
      <c r="K8">
        <v>283.75</v>
      </c>
      <c r="M8" s="6">
        <f t="shared" si="1"/>
        <v>57612.125</v>
      </c>
      <c r="O8" t="s">
        <v>108</v>
      </c>
      <c r="S8" s="30">
        <f>S5*S6</f>
        <v>122.82094125000017</v>
      </c>
    </row>
    <row r="9" spans="1:19" ht="16" thickTop="1" x14ac:dyDescent="0.35">
      <c r="A9" t="s">
        <v>87</v>
      </c>
      <c r="C9" t="s">
        <v>95</v>
      </c>
      <c r="E9" s="25">
        <v>18</v>
      </c>
      <c r="G9" s="27">
        <f t="shared" si="0"/>
        <v>27</v>
      </c>
      <c r="I9" s="31">
        <f>2018.5+46.83+27</f>
        <v>2092.33</v>
      </c>
      <c r="K9">
        <v>240</v>
      </c>
      <c r="M9" s="6">
        <f t="shared" si="1"/>
        <v>44141.94</v>
      </c>
    </row>
    <row r="10" spans="1:19" x14ac:dyDescent="0.35">
      <c r="A10" t="s">
        <v>88</v>
      </c>
      <c r="C10" t="s">
        <v>96</v>
      </c>
      <c r="E10" s="25">
        <v>18</v>
      </c>
      <c r="G10" s="27">
        <f t="shared" si="0"/>
        <v>27</v>
      </c>
      <c r="I10">
        <f>1941.5+44.5+64</f>
        <v>2050</v>
      </c>
      <c r="K10">
        <v>17.5</v>
      </c>
      <c r="M10" s="25">
        <f t="shared" si="1"/>
        <v>37372.5</v>
      </c>
    </row>
    <row r="11" spans="1:19" x14ac:dyDescent="0.35">
      <c r="A11" t="s">
        <v>89</v>
      </c>
      <c r="C11" t="s">
        <v>97</v>
      </c>
      <c r="E11" s="28">
        <v>17.5</v>
      </c>
      <c r="G11" s="29">
        <f t="shared" si="0"/>
        <v>26.25</v>
      </c>
      <c r="I11" s="5">
        <v>396</v>
      </c>
      <c r="K11" s="5"/>
      <c r="M11" s="7">
        <f t="shared" si="1"/>
        <v>6930</v>
      </c>
      <c r="O11" s="1"/>
    </row>
    <row r="13" spans="1:19" x14ac:dyDescent="0.35">
      <c r="K13" t="s">
        <v>104</v>
      </c>
      <c r="M13" s="12">
        <f>SUM(M5:M11)</f>
        <v>378434.5025</v>
      </c>
      <c r="S13" s="12"/>
    </row>
    <row r="14" spans="1:19" x14ac:dyDescent="0.35">
      <c r="K14" t="s">
        <v>105</v>
      </c>
      <c r="M14" s="7">
        <f>-SAO!H18</f>
        <v>-376829</v>
      </c>
      <c r="S14" s="17"/>
    </row>
    <row r="16" spans="1:19" ht="16" thickBot="1" x14ac:dyDescent="0.4">
      <c r="K16" t="s">
        <v>12</v>
      </c>
      <c r="M16" s="21">
        <f>SUM(M13:M14)</f>
        <v>1605.5025000000023</v>
      </c>
      <c r="S16" s="12"/>
    </row>
    <row r="17" ht="16" thickTop="1" x14ac:dyDescent="0.35"/>
  </sheetData>
  <mergeCells count="3">
    <mergeCell ref="A1:C1"/>
    <mergeCell ref="E2:G2"/>
    <mergeCell ref="I2:K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0058-0BC2-4773-8A6D-BE34C34F1051}">
  <dimension ref="B1:L135"/>
  <sheetViews>
    <sheetView tabSelected="1" topLeftCell="A15" zoomScale="80" zoomScaleNormal="80" workbookViewId="0">
      <selection activeCell="J18" sqref="J18"/>
    </sheetView>
  </sheetViews>
  <sheetFormatPr defaultRowHeight="15.5" x14ac:dyDescent="0.35"/>
  <cols>
    <col min="4" max="4" width="10" bestFit="1" customWidth="1"/>
    <col min="5" max="5" width="12.84375" customWidth="1"/>
    <col min="6" max="6" width="11.3828125" bestFit="1" customWidth="1"/>
    <col min="7" max="7" width="12.3046875" bestFit="1" customWidth="1"/>
    <col min="8" max="8" width="11.53515625" customWidth="1"/>
    <col min="9" max="9" width="11.765625" customWidth="1"/>
    <col min="10" max="12" width="12.3046875" bestFit="1" customWidth="1"/>
  </cols>
  <sheetData>
    <row r="1" spans="5:11" x14ac:dyDescent="0.35">
      <c r="E1" s="1" t="s">
        <v>111</v>
      </c>
    </row>
    <row r="2" spans="5:11" x14ac:dyDescent="0.35">
      <c r="E2" s="1" t="s">
        <v>112</v>
      </c>
    </row>
    <row r="4" spans="5:11" x14ac:dyDescent="0.35">
      <c r="E4" s="2" t="s">
        <v>113</v>
      </c>
    </row>
    <row r="6" spans="5:11" x14ac:dyDescent="0.35">
      <c r="J6" s="3" t="s">
        <v>114</v>
      </c>
    </row>
    <row r="7" spans="5:11" ht="16" thickBot="1" x14ac:dyDescent="0.4">
      <c r="E7" s="40"/>
      <c r="F7" s="40"/>
      <c r="G7" s="40"/>
      <c r="H7" s="40"/>
      <c r="I7" s="22" t="s">
        <v>116</v>
      </c>
      <c r="J7" s="22" t="s">
        <v>115</v>
      </c>
      <c r="K7" s="22" t="s">
        <v>117</v>
      </c>
    </row>
    <row r="9" spans="5:11" x14ac:dyDescent="0.35">
      <c r="E9" t="s">
        <v>118</v>
      </c>
      <c r="I9" s="41">
        <f>D32</f>
        <v>40377</v>
      </c>
      <c r="J9" s="41">
        <f>E32</f>
        <v>167657500</v>
      </c>
      <c r="K9" s="12">
        <f>G44</f>
        <v>1778513.1600000001</v>
      </c>
    </row>
    <row r="10" spans="5:11" x14ac:dyDescent="0.35">
      <c r="E10" t="s">
        <v>119</v>
      </c>
      <c r="J10" s="41">
        <f>E65</f>
        <v>6419900</v>
      </c>
      <c r="K10" s="26">
        <f>G65</f>
        <v>49147.058000000005</v>
      </c>
    </row>
    <row r="11" spans="5:11" x14ac:dyDescent="0.35">
      <c r="E11" t="s">
        <v>120</v>
      </c>
      <c r="J11" s="41">
        <f>E84</f>
        <v>0</v>
      </c>
      <c r="K11" s="26">
        <f>G84</f>
        <v>684.53</v>
      </c>
    </row>
    <row r="12" spans="5:11" x14ac:dyDescent="0.35">
      <c r="E12" t="s">
        <v>121</v>
      </c>
      <c r="J12" s="41">
        <f>E101</f>
        <v>31443100</v>
      </c>
      <c r="K12" s="26">
        <f>G101</f>
        <v>203914.49799999999</v>
      </c>
    </row>
    <row r="13" spans="5:11" x14ac:dyDescent="0.35">
      <c r="E13" t="s">
        <v>122</v>
      </c>
      <c r="K13">
        <v>0</v>
      </c>
    </row>
    <row r="14" spans="5:11" x14ac:dyDescent="0.35">
      <c r="E14" t="s">
        <v>123</v>
      </c>
      <c r="J14" s="41">
        <f>E118</f>
        <v>27349200</v>
      </c>
      <c r="K14" s="26">
        <f>G118</f>
        <v>172572.576</v>
      </c>
    </row>
    <row r="15" spans="5:11" x14ac:dyDescent="0.35">
      <c r="E15" t="s">
        <v>124</v>
      </c>
      <c r="K15" s="26">
        <f>G135</f>
        <v>0</v>
      </c>
    </row>
    <row r="16" spans="5:11" x14ac:dyDescent="0.35">
      <c r="E16" t="s">
        <v>125</v>
      </c>
      <c r="I16" s="5"/>
      <c r="J16" s="5"/>
      <c r="K16" s="5"/>
    </row>
    <row r="18" spans="2:12" x14ac:dyDescent="0.35">
      <c r="E18" t="s">
        <v>126</v>
      </c>
      <c r="J18" s="41">
        <f>SUM(J9:J14)</f>
        <v>232869700</v>
      </c>
      <c r="K18" s="12">
        <f>SUM(K9:K14)</f>
        <v>2204831.8220000002</v>
      </c>
    </row>
    <row r="19" spans="2:12" x14ac:dyDescent="0.35">
      <c r="H19" t="s">
        <v>127</v>
      </c>
      <c r="K19" s="5"/>
    </row>
    <row r="20" spans="2:12" ht="16" thickBot="1" x14ac:dyDescent="0.4">
      <c r="H20" t="s">
        <v>128</v>
      </c>
      <c r="K20" s="42"/>
    </row>
    <row r="21" spans="2:12" ht="16" thickTop="1" x14ac:dyDescent="0.35"/>
    <row r="22" spans="2:12" x14ac:dyDescent="0.35">
      <c r="B22" s="2" t="s">
        <v>110</v>
      </c>
    </row>
    <row r="24" spans="2:12" x14ac:dyDescent="0.35">
      <c r="B24" s="43"/>
      <c r="C24" s="44"/>
      <c r="D24" s="44"/>
      <c r="E24" s="44"/>
      <c r="F24" s="44" t="s">
        <v>129</v>
      </c>
      <c r="G24" s="44" t="s">
        <v>130</v>
      </c>
      <c r="H24" s="44" t="s">
        <v>130</v>
      </c>
      <c r="I24" s="44" t="s">
        <v>130</v>
      </c>
      <c r="J24" s="44" t="s">
        <v>131</v>
      </c>
      <c r="K24" s="44"/>
    </row>
    <row r="25" spans="2:12" x14ac:dyDescent="0.35">
      <c r="B25" s="43"/>
      <c r="C25" s="44" t="s">
        <v>132</v>
      </c>
      <c r="D25" s="44" t="s">
        <v>133</v>
      </c>
      <c r="E25" s="44" t="s">
        <v>114</v>
      </c>
      <c r="F25" s="45">
        <v>2000</v>
      </c>
      <c r="G25" s="45">
        <v>2000</v>
      </c>
      <c r="H25" s="45">
        <v>2000</v>
      </c>
      <c r="I25" s="45">
        <v>4000</v>
      </c>
      <c r="J25" s="45">
        <v>10000</v>
      </c>
      <c r="K25" s="44" t="s">
        <v>60</v>
      </c>
    </row>
    <row r="26" spans="2:12" x14ac:dyDescent="0.35">
      <c r="B26" s="43" t="s">
        <v>129</v>
      </c>
      <c r="C26" s="46">
        <v>2000</v>
      </c>
      <c r="D26" s="33">
        <v>12521</v>
      </c>
      <c r="E26" s="33">
        <v>12570200</v>
      </c>
      <c r="F26" s="33">
        <v>12570200</v>
      </c>
      <c r="G26" s="33"/>
      <c r="H26" s="33"/>
      <c r="I26" s="33"/>
      <c r="J26" s="33"/>
      <c r="K26" s="47">
        <f>SUM(F26:J26)</f>
        <v>12570200</v>
      </c>
    </row>
    <row r="27" spans="2:12" x14ac:dyDescent="0.35">
      <c r="B27" s="43" t="s">
        <v>130</v>
      </c>
      <c r="C27" s="46">
        <v>2000</v>
      </c>
      <c r="D27" s="33">
        <v>14140</v>
      </c>
      <c r="E27" s="33">
        <v>42263800</v>
      </c>
      <c r="F27" s="33">
        <v>28280000</v>
      </c>
      <c r="G27" s="33">
        <v>13983800</v>
      </c>
      <c r="H27" s="33"/>
      <c r="I27" s="33"/>
      <c r="J27" s="33"/>
      <c r="K27" s="47">
        <f>SUM(F27:J27)</f>
        <v>42263800</v>
      </c>
    </row>
    <row r="28" spans="2:12" x14ac:dyDescent="0.35">
      <c r="B28" s="43" t="s">
        <v>130</v>
      </c>
      <c r="C28" s="46">
        <v>2000</v>
      </c>
      <c r="D28" s="33">
        <v>7179</v>
      </c>
      <c r="E28" s="33">
        <v>35167800</v>
      </c>
      <c r="F28" s="33">
        <v>14358000</v>
      </c>
      <c r="G28" s="33">
        <v>14358000</v>
      </c>
      <c r="H28" s="33">
        <v>6451800</v>
      </c>
      <c r="I28" s="33"/>
      <c r="J28" s="33"/>
      <c r="K28" s="47">
        <f>SUM(F28:J28)</f>
        <v>35167800</v>
      </c>
    </row>
    <row r="29" spans="2:12" x14ac:dyDescent="0.35">
      <c r="B29" s="43" t="s">
        <v>130</v>
      </c>
      <c r="C29" s="46">
        <v>4000</v>
      </c>
      <c r="D29" s="33">
        <v>4332</v>
      </c>
      <c r="E29" s="33">
        <v>32593500</v>
      </c>
      <c r="F29" s="33">
        <v>8664000</v>
      </c>
      <c r="G29" s="33">
        <v>8664000</v>
      </c>
      <c r="H29" s="33">
        <v>8664000</v>
      </c>
      <c r="I29" s="33">
        <v>6601500</v>
      </c>
      <c r="J29" s="33"/>
      <c r="K29" s="47">
        <f>SUM(F29:J29)</f>
        <v>32593500</v>
      </c>
    </row>
    <row r="30" spans="2:12" x14ac:dyDescent="0.35">
      <c r="B30" s="43" t="s">
        <v>131</v>
      </c>
      <c r="C30" s="46">
        <v>10000</v>
      </c>
      <c r="D30" s="33">
        <v>2205</v>
      </c>
      <c r="E30" s="33">
        <v>45062200</v>
      </c>
      <c r="F30" s="33">
        <v>4410000</v>
      </c>
      <c r="G30" s="33">
        <v>4410000</v>
      </c>
      <c r="H30" s="33">
        <v>4410000</v>
      </c>
      <c r="I30" s="33">
        <v>8820000</v>
      </c>
      <c r="J30" s="33">
        <v>23012200</v>
      </c>
      <c r="K30" s="47">
        <f>SUM(F30:J30)</f>
        <v>45062200</v>
      </c>
    </row>
    <row r="31" spans="2:12" x14ac:dyDescent="0.35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2:12" x14ac:dyDescent="0.35">
      <c r="B32" s="43" t="s">
        <v>126</v>
      </c>
      <c r="C32" s="43"/>
      <c r="D32" s="33">
        <f>SUM(D26:D31)</f>
        <v>40377</v>
      </c>
      <c r="E32" s="33">
        <f t="shared" ref="E32:K32" si="0">SUM(E26:E31)</f>
        <v>167657500</v>
      </c>
      <c r="F32" s="33">
        <f t="shared" si="0"/>
        <v>68282200</v>
      </c>
      <c r="G32" s="33">
        <f t="shared" si="0"/>
        <v>41415800</v>
      </c>
      <c r="H32" s="33">
        <f t="shared" si="0"/>
        <v>19525800</v>
      </c>
      <c r="I32" s="33">
        <f t="shared" si="0"/>
        <v>15421500</v>
      </c>
      <c r="J32" s="33">
        <f t="shared" si="0"/>
        <v>23012200</v>
      </c>
      <c r="K32" s="33">
        <f t="shared" si="0"/>
        <v>167657500</v>
      </c>
      <c r="L32" s="41"/>
    </row>
    <row r="35" spans="2:10" x14ac:dyDescent="0.35">
      <c r="B35" s="2" t="s">
        <v>134</v>
      </c>
    </row>
    <row r="37" spans="2:10" x14ac:dyDescent="0.35">
      <c r="B37" s="43"/>
      <c r="C37" s="44" t="s">
        <v>132</v>
      </c>
      <c r="D37" s="44" t="s">
        <v>133</v>
      </c>
      <c r="E37" s="44" t="s">
        <v>114</v>
      </c>
      <c r="F37" s="44" t="s">
        <v>135</v>
      </c>
      <c r="G37" s="44" t="s">
        <v>117</v>
      </c>
    </row>
    <row r="38" spans="2:10" x14ac:dyDescent="0.35">
      <c r="B38" s="43" t="s">
        <v>129</v>
      </c>
      <c r="C38" s="46">
        <v>2000</v>
      </c>
      <c r="D38" s="47">
        <f>D32</f>
        <v>40377</v>
      </c>
      <c r="E38" s="47">
        <f>F32</f>
        <v>68282200</v>
      </c>
      <c r="F38" s="48">
        <v>21.77</v>
      </c>
      <c r="G38" s="36">
        <f>F38*D38</f>
        <v>879007.29</v>
      </c>
    </row>
    <row r="39" spans="2:10" x14ac:dyDescent="0.35">
      <c r="B39" s="43" t="s">
        <v>130</v>
      </c>
      <c r="C39" s="46">
        <v>2000</v>
      </c>
      <c r="D39" s="43"/>
      <c r="E39" s="47">
        <f>G32</f>
        <v>41415800</v>
      </c>
      <c r="F39" s="43">
        <v>1.0330000000000001E-2</v>
      </c>
      <c r="G39" s="47">
        <f>F39*E39</f>
        <v>427825.21400000004</v>
      </c>
    </row>
    <row r="40" spans="2:10" x14ac:dyDescent="0.35">
      <c r="B40" s="43" t="s">
        <v>130</v>
      </c>
      <c r="C40" s="46">
        <v>2000</v>
      </c>
      <c r="D40" s="43"/>
      <c r="E40" s="47">
        <f>H32</f>
        <v>19525800</v>
      </c>
      <c r="F40" s="49">
        <v>9.9000000000000008E-3</v>
      </c>
      <c r="G40" s="47">
        <f>F40*E40</f>
        <v>193305.42</v>
      </c>
    </row>
    <row r="41" spans="2:10" x14ac:dyDescent="0.35">
      <c r="B41" s="43" t="s">
        <v>130</v>
      </c>
      <c r="C41" s="46">
        <v>4000</v>
      </c>
      <c r="D41" s="43"/>
      <c r="E41" s="47">
        <f>I32</f>
        <v>15421500</v>
      </c>
      <c r="F41" s="43">
        <v>8.6800000000000002E-3</v>
      </c>
      <c r="G41" s="47">
        <f>F41*E41</f>
        <v>133858.62</v>
      </c>
    </row>
    <row r="42" spans="2:10" x14ac:dyDescent="0.35">
      <c r="B42" s="43" t="s">
        <v>131</v>
      </c>
      <c r="C42" s="46">
        <v>10000</v>
      </c>
      <c r="D42" s="43"/>
      <c r="E42" s="47">
        <f>J32</f>
        <v>23012200</v>
      </c>
      <c r="F42" s="43">
        <v>6.28E-3</v>
      </c>
      <c r="G42" s="47">
        <f>F42*E42</f>
        <v>144516.61600000001</v>
      </c>
    </row>
    <row r="43" spans="2:10" x14ac:dyDescent="0.35">
      <c r="B43" s="43"/>
      <c r="C43" s="43"/>
      <c r="D43" s="43"/>
      <c r="E43" s="43"/>
      <c r="F43" s="43"/>
      <c r="G43" s="43"/>
    </row>
    <row r="44" spans="2:10" x14ac:dyDescent="0.35">
      <c r="B44" s="43" t="s">
        <v>126</v>
      </c>
      <c r="C44" s="43"/>
      <c r="D44" s="43"/>
      <c r="E44" s="47">
        <f>SUM(E38:E42)</f>
        <v>167657500</v>
      </c>
      <c r="F44" s="43"/>
      <c r="G44" s="50">
        <f>SUM(G38:G43)</f>
        <v>1778513.1600000001</v>
      </c>
    </row>
    <row r="46" spans="2:10" x14ac:dyDescent="0.35">
      <c r="B46" s="2" t="s">
        <v>136</v>
      </c>
    </row>
    <row r="48" spans="2:10" x14ac:dyDescent="0.35">
      <c r="B48" s="43"/>
      <c r="C48" s="43"/>
      <c r="D48" s="43"/>
      <c r="E48" s="43"/>
      <c r="F48" s="44" t="s">
        <v>129</v>
      </c>
      <c r="G48" s="44" t="s">
        <v>130</v>
      </c>
      <c r="H48" s="44" t="s">
        <v>130</v>
      </c>
      <c r="I48" s="44" t="s">
        <v>131</v>
      </c>
      <c r="J48" s="43"/>
    </row>
    <row r="49" spans="2:10" x14ac:dyDescent="0.35">
      <c r="B49" s="43"/>
      <c r="C49" s="44" t="s">
        <v>132</v>
      </c>
      <c r="D49" s="44" t="s">
        <v>133</v>
      </c>
      <c r="E49" s="44" t="s">
        <v>114</v>
      </c>
      <c r="F49" s="37">
        <f>C50</f>
        <v>4000</v>
      </c>
      <c r="G49" s="37">
        <f>C51</f>
        <v>2000</v>
      </c>
      <c r="H49" s="37">
        <f>C52</f>
        <v>4000</v>
      </c>
      <c r="I49" s="37">
        <f>C53</f>
        <v>10000</v>
      </c>
      <c r="J49" s="44" t="s">
        <v>60</v>
      </c>
    </row>
    <row r="50" spans="2:10" x14ac:dyDescent="0.35">
      <c r="B50" s="43" t="s">
        <v>129</v>
      </c>
      <c r="C50" s="46">
        <v>4000</v>
      </c>
      <c r="D50" s="43">
        <v>102</v>
      </c>
      <c r="E50" s="33">
        <v>215500</v>
      </c>
      <c r="F50" s="47">
        <f>E50</f>
        <v>215500</v>
      </c>
      <c r="G50" s="43"/>
      <c r="H50" s="43"/>
      <c r="I50" s="43"/>
      <c r="J50" s="47">
        <f>SUM(F50:I50)</f>
        <v>215500</v>
      </c>
    </row>
    <row r="51" spans="2:10" x14ac:dyDescent="0.35">
      <c r="B51" s="43" t="s">
        <v>130</v>
      </c>
      <c r="C51" s="46">
        <v>2000</v>
      </c>
      <c r="D51" s="43">
        <v>28</v>
      </c>
      <c r="E51" s="33">
        <v>137300</v>
      </c>
      <c r="F51" s="47">
        <f>D51*F49</f>
        <v>112000</v>
      </c>
      <c r="G51" s="47">
        <f>E51-F51</f>
        <v>25300</v>
      </c>
      <c r="H51" s="43"/>
      <c r="I51" s="43"/>
      <c r="J51" s="47">
        <f>SUM(F51:I51)</f>
        <v>137300</v>
      </c>
    </row>
    <row r="52" spans="2:10" x14ac:dyDescent="0.35">
      <c r="B52" s="43" t="s">
        <v>130</v>
      </c>
      <c r="C52" s="46">
        <v>4000</v>
      </c>
      <c r="D52" s="43">
        <v>26</v>
      </c>
      <c r="E52" s="33">
        <v>211500</v>
      </c>
      <c r="F52" s="47">
        <f>D52*F49</f>
        <v>104000</v>
      </c>
      <c r="G52" s="47">
        <f>D52*G49</f>
        <v>52000</v>
      </c>
      <c r="H52" s="47">
        <f>E52-F52-G52</f>
        <v>55500</v>
      </c>
      <c r="I52" s="43"/>
      <c r="J52" s="47">
        <f>SUM(F52:I52)</f>
        <v>211500</v>
      </c>
    </row>
    <row r="53" spans="2:10" x14ac:dyDescent="0.35">
      <c r="B53" s="43" t="s">
        <v>131</v>
      </c>
      <c r="C53" s="46">
        <v>10000</v>
      </c>
      <c r="D53" s="43">
        <v>132</v>
      </c>
      <c r="E53" s="33">
        <v>5855600</v>
      </c>
      <c r="F53" s="33">
        <v>528000</v>
      </c>
      <c r="G53" s="33">
        <v>264000</v>
      </c>
      <c r="H53" s="33">
        <v>528000</v>
      </c>
      <c r="I53" s="33">
        <v>4535600</v>
      </c>
      <c r="J53" s="47">
        <f>SUM(F53:I53)</f>
        <v>5855600</v>
      </c>
    </row>
    <row r="54" spans="2:10" x14ac:dyDescent="0.35">
      <c r="B54" s="43"/>
      <c r="C54" s="43"/>
      <c r="D54" s="43"/>
      <c r="E54" s="43"/>
      <c r="F54" s="43"/>
      <c r="G54" s="43"/>
      <c r="H54" s="43"/>
      <c r="I54" s="43"/>
      <c r="J54" s="47"/>
    </row>
    <row r="55" spans="2:10" x14ac:dyDescent="0.35">
      <c r="B55" s="43" t="s">
        <v>126</v>
      </c>
      <c r="C55" s="43"/>
      <c r="D55" s="33">
        <f t="shared" ref="D55:I55" si="1">SUM(D50:D53)</f>
        <v>288</v>
      </c>
      <c r="E55" s="33">
        <f t="shared" si="1"/>
        <v>6419900</v>
      </c>
      <c r="F55" s="33">
        <f t="shared" si="1"/>
        <v>959500</v>
      </c>
      <c r="G55" s="33">
        <f t="shared" si="1"/>
        <v>341300</v>
      </c>
      <c r="H55" s="33">
        <f t="shared" si="1"/>
        <v>583500</v>
      </c>
      <c r="I55" s="33">
        <f t="shared" si="1"/>
        <v>4535600</v>
      </c>
      <c r="J55" s="47">
        <f>SUM(F55:I55)</f>
        <v>6419900</v>
      </c>
    </row>
    <row r="57" spans="2:10" x14ac:dyDescent="0.35">
      <c r="B57" s="2" t="s">
        <v>137</v>
      </c>
    </row>
    <row r="59" spans="2:10" x14ac:dyDescent="0.35">
      <c r="B59" s="43"/>
      <c r="C59" s="44" t="s">
        <v>132</v>
      </c>
      <c r="D59" s="44" t="s">
        <v>133</v>
      </c>
      <c r="E59" s="44" t="s">
        <v>114</v>
      </c>
      <c r="F59" s="44" t="s">
        <v>138</v>
      </c>
      <c r="G59" s="44" t="s">
        <v>117</v>
      </c>
    </row>
    <row r="60" spans="2:10" x14ac:dyDescent="0.35">
      <c r="B60" s="43" t="s">
        <v>139</v>
      </c>
      <c r="C60" s="46">
        <f>C50</f>
        <v>4000</v>
      </c>
      <c r="D60" s="47">
        <f>D55</f>
        <v>288</v>
      </c>
      <c r="E60" s="47">
        <f>F55</f>
        <v>959500</v>
      </c>
      <c r="F60" s="35">
        <v>42.43</v>
      </c>
      <c r="G60" s="35">
        <f>D60*F60</f>
        <v>12219.84</v>
      </c>
    </row>
    <row r="61" spans="2:10" x14ac:dyDescent="0.35">
      <c r="B61" s="43" t="s">
        <v>130</v>
      </c>
      <c r="C61" s="46">
        <f>C51</f>
        <v>2000</v>
      </c>
      <c r="D61" s="43"/>
      <c r="E61" s="47">
        <f>G55</f>
        <v>341300</v>
      </c>
      <c r="F61" s="38">
        <v>9.9000000000000008E-3</v>
      </c>
      <c r="G61" s="34">
        <f>(E61*F61)</f>
        <v>3378.8700000000003</v>
      </c>
    </row>
    <row r="62" spans="2:10" x14ac:dyDescent="0.35">
      <c r="B62" s="43" t="s">
        <v>130</v>
      </c>
      <c r="C62" s="46">
        <f>C52</f>
        <v>4000</v>
      </c>
      <c r="D62" s="43"/>
      <c r="E62" s="47">
        <f>H55</f>
        <v>583500</v>
      </c>
      <c r="F62" s="38">
        <v>8.6800000000000002E-3</v>
      </c>
      <c r="G62" s="34">
        <f>(E62*F62)</f>
        <v>5064.78</v>
      </c>
    </row>
    <row r="63" spans="2:10" x14ac:dyDescent="0.35">
      <c r="B63" s="43" t="s">
        <v>131</v>
      </c>
      <c r="C63" s="46">
        <f>C53</f>
        <v>10000</v>
      </c>
      <c r="D63" s="43"/>
      <c r="E63" s="47">
        <f>I55</f>
        <v>4535600</v>
      </c>
      <c r="F63" s="38">
        <v>6.28E-3</v>
      </c>
      <c r="G63" s="34">
        <f>(E63*F63)</f>
        <v>28483.567999999999</v>
      </c>
    </row>
    <row r="64" spans="2:10" x14ac:dyDescent="0.35">
      <c r="B64" s="43"/>
      <c r="C64" s="43"/>
      <c r="D64" s="43"/>
      <c r="E64" s="43"/>
      <c r="F64" s="43"/>
      <c r="G64" s="43"/>
    </row>
    <row r="65" spans="2:9" x14ac:dyDescent="0.35">
      <c r="B65" s="43" t="s">
        <v>126</v>
      </c>
      <c r="C65" s="43"/>
      <c r="D65" s="33">
        <f>SUM(D60:D63)</f>
        <v>288</v>
      </c>
      <c r="E65" s="33">
        <f>SUM(E60:E63)</f>
        <v>6419900</v>
      </c>
      <c r="F65" s="43"/>
      <c r="G65" s="35">
        <f>SUM(G60:G63)</f>
        <v>49147.058000000005</v>
      </c>
    </row>
    <row r="67" spans="2:9" x14ac:dyDescent="0.35">
      <c r="B67" s="2" t="s">
        <v>140</v>
      </c>
    </row>
    <row r="69" spans="2:9" x14ac:dyDescent="0.35">
      <c r="B69" s="43"/>
      <c r="C69" s="43"/>
      <c r="D69" s="43"/>
      <c r="E69" s="43"/>
      <c r="F69" s="44" t="s">
        <v>129</v>
      </c>
      <c r="G69" s="44" t="s">
        <v>130</v>
      </c>
      <c r="H69" s="44" t="s">
        <v>130</v>
      </c>
      <c r="I69" s="44"/>
    </row>
    <row r="70" spans="2:9" x14ac:dyDescent="0.35">
      <c r="B70" s="43"/>
      <c r="C70" s="44" t="s">
        <v>132</v>
      </c>
      <c r="D70" s="44" t="s">
        <v>133</v>
      </c>
      <c r="E70" s="44" t="s">
        <v>114</v>
      </c>
      <c r="F70" s="37">
        <f>C71</f>
        <v>6000</v>
      </c>
      <c r="G70" s="37">
        <f>C72</f>
        <v>4000</v>
      </c>
      <c r="H70" s="37">
        <f>C73</f>
        <v>10000</v>
      </c>
      <c r="I70" s="44" t="s">
        <v>60</v>
      </c>
    </row>
    <row r="71" spans="2:9" x14ac:dyDescent="0.35">
      <c r="B71" s="43" t="s">
        <v>129</v>
      </c>
      <c r="C71" s="46">
        <v>6000</v>
      </c>
      <c r="D71" s="43">
        <v>11</v>
      </c>
      <c r="E71" s="39">
        <v>0</v>
      </c>
      <c r="F71" s="47">
        <v>0</v>
      </c>
      <c r="G71" s="43"/>
      <c r="H71" s="43"/>
      <c r="I71" s="47">
        <f>SUM(F71:H71)</f>
        <v>0</v>
      </c>
    </row>
    <row r="72" spans="2:9" x14ac:dyDescent="0.35">
      <c r="B72" s="43" t="s">
        <v>130</v>
      </c>
      <c r="C72" s="46">
        <v>4000</v>
      </c>
      <c r="D72" s="43">
        <v>0</v>
      </c>
      <c r="E72" s="39">
        <v>0</v>
      </c>
      <c r="F72" s="47">
        <v>0</v>
      </c>
      <c r="G72" s="47">
        <f>E72-F72</f>
        <v>0</v>
      </c>
      <c r="H72" s="43"/>
      <c r="I72" s="47">
        <f>SUM(F72:H72)</f>
        <v>0</v>
      </c>
    </row>
    <row r="73" spans="2:9" x14ac:dyDescent="0.35">
      <c r="B73" s="43" t="s">
        <v>131</v>
      </c>
      <c r="C73" s="46">
        <v>10000</v>
      </c>
      <c r="D73" s="43">
        <v>0</v>
      </c>
      <c r="E73" s="39">
        <v>0</v>
      </c>
      <c r="F73" s="47">
        <v>0</v>
      </c>
      <c r="G73" s="47">
        <f>D73*G70</f>
        <v>0</v>
      </c>
      <c r="H73" s="47">
        <f>E73-F73-G73</f>
        <v>0</v>
      </c>
      <c r="I73" s="47">
        <f>SUM(F73:H73)</f>
        <v>0</v>
      </c>
    </row>
    <row r="74" spans="2:9" x14ac:dyDescent="0.35">
      <c r="B74" s="43"/>
      <c r="C74" s="43"/>
      <c r="D74" s="43"/>
      <c r="E74" s="43"/>
      <c r="F74" s="43"/>
      <c r="G74" s="43"/>
      <c r="H74" s="43"/>
      <c r="I74" s="47"/>
    </row>
    <row r="75" spans="2:9" x14ac:dyDescent="0.35">
      <c r="B75" s="43" t="s">
        <v>126</v>
      </c>
      <c r="C75" s="43"/>
      <c r="D75" s="33">
        <f>SUM(D71:D73)</f>
        <v>11</v>
      </c>
      <c r="E75" s="33">
        <f>SUM(E71:E73)</f>
        <v>0</v>
      </c>
      <c r="F75" s="33">
        <f>SUM(F71:F73)</f>
        <v>0</v>
      </c>
      <c r="G75" s="33">
        <f>SUM(G71:G73)</f>
        <v>0</v>
      </c>
      <c r="H75" s="33">
        <f>SUM(H71:H73)</f>
        <v>0</v>
      </c>
      <c r="I75" s="47">
        <f>SUM(F75:H75)</f>
        <v>0</v>
      </c>
    </row>
    <row r="77" spans="2:9" x14ac:dyDescent="0.35">
      <c r="B77" s="2" t="s">
        <v>148</v>
      </c>
    </row>
    <row r="79" spans="2:9" x14ac:dyDescent="0.35">
      <c r="B79" s="43"/>
      <c r="C79" s="44" t="s">
        <v>132</v>
      </c>
      <c r="D79" s="44" t="s">
        <v>133</v>
      </c>
      <c r="E79" s="44" t="s">
        <v>114</v>
      </c>
      <c r="F79" s="44" t="s">
        <v>138</v>
      </c>
      <c r="G79" s="44" t="s">
        <v>117</v>
      </c>
    </row>
    <row r="80" spans="2:9" x14ac:dyDescent="0.35">
      <c r="B80" s="43" t="s">
        <v>139</v>
      </c>
      <c r="C80" s="46">
        <f>C71</f>
        <v>6000</v>
      </c>
      <c r="D80" s="47">
        <f>D75</f>
        <v>11</v>
      </c>
      <c r="E80" s="47">
        <f>F75</f>
        <v>0</v>
      </c>
      <c r="F80" s="35">
        <v>62.23</v>
      </c>
      <c r="G80" s="35">
        <f>D80*F80</f>
        <v>684.53</v>
      </c>
    </row>
    <row r="81" spans="2:9" x14ac:dyDescent="0.35">
      <c r="B81" s="43" t="s">
        <v>130</v>
      </c>
      <c r="C81" s="46">
        <f t="shared" ref="C81:C82" si="2">C72</f>
        <v>4000</v>
      </c>
      <c r="D81" s="43"/>
      <c r="E81" s="47">
        <f>G75</f>
        <v>0</v>
      </c>
      <c r="F81" s="38">
        <v>8.6800000000000002E-3</v>
      </c>
      <c r="G81" s="34">
        <f>(E81*F81)</f>
        <v>0</v>
      </c>
    </row>
    <row r="82" spans="2:9" x14ac:dyDescent="0.35">
      <c r="B82" s="43" t="s">
        <v>130</v>
      </c>
      <c r="C82" s="46">
        <f t="shared" si="2"/>
        <v>10000</v>
      </c>
      <c r="D82" s="43"/>
      <c r="E82" s="47">
        <f>H75</f>
        <v>0</v>
      </c>
      <c r="F82" s="38">
        <v>6.28E-3</v>
      </c>
      <c r="G82" s="34">
        <f>(E82*F82)</f>
        <v>0</v>
      </c>
    </row>
    <row r="83" spans="2:9" x14ac:dyDescent="0.35">
      <c r="B83" s="43"/>
      <c r="C83" s="43"/>
      <c r="D83" s="43"/>
      <c r="E83" s="43"/>
      <c r="F83" s="43"/>
      <c r="G83" s="43"/>
    </row>
    <row r="84" spans="2:9" x14ac:dyDescent="0.35">
      <c r="B84" s="43" t="s">
        <v>126</v>
      </c>
      <c r="C84" s="43"/>
      <c r="D84" s="33">
        <f>SUM(D80:D82)</f>
        <v>11</v>
      </c>
      <c r="E84" s="33">
        <f>SUM(E80:E82)</f>
        <v>0</v>
      </c>
      <c r="F84" s="43"/>
      <c r="G84" s="35">
        <f>SUM(G80:G82)</f>
        <v>684.53</v>
      </c>
    </row>
    <row r="86" spans="2:9" x14ac:dyDescent="0.35">
      <c r="B86" s="2" t="s">
        <v>149</v>
      </c>
    </row>
    <row r="88" spans="2:9" x14ac:dyDescent="0.35">
      <c r="B88" s="43"/>
      <c r="C88" s="43"/>
      <c r="D88" s="43"/>
      <c r="E88" s="43"/>
      <c r="F88" s="44" t="s">
        <v>129</v>
      </c>
      <c r="G88" s="44" t="s">
        <v>130</v>
      </c>
      <c r="H88" s="44"/>
    </row>
    <row r="89" spans="2:9" x14ac:dyDescent="0.35">
      <c r="B89" s="43"/>
      <c r="C89" s="44" t="s">
        <v>132</v>
      </c>
      <c r="D89" s="44" t="s">
        <v>133</v>
      </c>
      <c r="E89" s="44" t="s">
        <v>114</v>
      </c>
      <c r="F89" s="37">
        <f>C90</f>
        <v>10000</v>
      </c>
      <c r="G89" s="37">
        <f>C91</f>
        <v>10000</v>
      </c>
      <c r="H89" s="44" t="s">
        <v>60</v>
      </c>
    </row>
    <row r="90" spans="2:9" x14ac:dyDescent="0.35">
      <c r="B90" s="43" t="s">
        <v>129</v>
      </c>
      <c r="C90" s="46">
        <v>10000</v>
      </c>
      <c r="D90" s="43">
        <v>49</v>
      </c>
      <c r="E90" s="33">
        <v>131500</v>
      </c>
      <c r="F90" s="47">
        <v>131500</v>
      </c>
      <c r="G90" s="43"/>
      <c r="H90" s="47">
        <f>SUM(F90:G90)</f>
        <v>131500</v>
      </c>
    </row>
    <row r="91" spans="2:9" x14ac:dyDescent="0.35">
      <c r="B91" s="43" t="s">
        <v>131</v>
      </c>
      <c r="C91" s="46">
        <v>10000</v>
      </c>
      <c r="D91" s="43">
        <v>74</v>
      </c>
      <c r="E91" s="33">
        <v>31311600</v>
      </c>
      <c r="F91" s="47">
        <v>740000</v>
      </c>
      <c r="G91" s="47">
        <v>30571600</v>
      </c>
      <c r="H91" s="47">
        <f>SUM(F91:G91)</f>
        <v>31311600</v>
      </c>
    </row>
    <row r="92" spans="2:9" x14ac:dyDescent="0.35">
      <c r="B92" s="43"/>
      <c r="C92" s="43"/>
      <c r="D92" s="43"/>
      <c r="E92" s="43"/>
      <c r="F92" s="43"/>
      <c r="G92" s="43"/>
      <c r="H92" s="47"/>
    </row>
    <row r="93" spans="2:9" x14ac:dyDescent="0.35">
      <c r="B93" s="43" t="s">
        <v>126</v>
      </c>
      <c r="C93" s="43"/>
      <c r="D93" s="33">
        <f>SUM(D90:D91)</f>
        <v>123</v>
      </c>
      <c r="E93" s="33">
        <f>SUM(E90:E91)</f>
        <v>31443100</v>
      </c>
      <c r="F93" s="33">
        <f>SUM(F90:F91)</f>
        <v>871500</v>
      </c>
      <c r="G93" s="33">
        <f>SUM(G90:G91)</f>
        <v>30571600</v>
      </c>
      <c r="H93" s="47">
        <f>SUM(F93:G93)</f>
        <v>31443100</v>
      </c>
      <c r="I93" s="41"/>
    </row>
    <row r="95" spans="2:9" x14ac:dyDescent="0.35">
      <c r="B95" s="2" t="s">
        <v>150</v>
      </c>
    </row>
    <row r="97" spans="2:8" x14ac:dyDescent="0.35">
      <c r="B97" s="43"/>
      <c r="C97" s="44" t="s">
        <v>132</v>
      </c>
      <c r="D97" s="44" t="s">
        <v>133</v>
      </c>
      <c r="E97" s="44" t="s">
        <v>114</v>
      </c>
      <c r="F97" s="44" t="s">
        <v>138</v>
      </c>
      <c r="G97" s="44" t="s">
        <v>117</v>
      </c>
    </row>
    <row r="98" spans="2:8" x14ac:dyDescent="0.35">
      <c r="B98" s="43" t="s">
        <v>139</v>
      </c>
      <c r="C98" s="46">
        <f>C90</f>
        <v>10000</v>
      </c>
      <c r="D98" s="47">
        <f>D93</f>
        <v>123</v>
      </c>
      <c r="E98" s="47">
        <f>F93</f>
        <v>871500</v>
      </c>
      <c r="F98" s="35">
        <v>96.95</v>
      </c>
      <c r="G98" s="35">
        <f>D98*F98</f>
        <v>11924.85</v>
      </c>
    </row>
    <row r="99" spans="2:8" x14ac:dyDescent="0.35">
      <c r="B99" s="43" t="s">
        <v>130</v>
      </c>
      <c r="C99" s="46">
        <f>C91</f>
        <v>10000</v>
      </c>
      <c r="D99" s="43"/>
      <c r="E99" s="47">
        <f>G93</f>
        <v>30571600</v>
      </c>
      <c r="F99" s="38">
        <v>6.28E-3</v>
      </c>
      <c r="G99" s="34">
        <f>(E99*F99)</f>
        <v>191989.64799999999</v>
      </c>
    </row>
    <row r="100" spans="2:8" x14ac:dyDescent="0.35">
      <c r="B100" s="43"/>
      <c r="C100" s="43"/>
      <c r="D100" s="43"/>
      <c r="E100" s="43"/>
      <c r="F100" s="43"/>
      <c r="G100" s="43"/>
    </row>
    <row r="101" spans="2:8" x14ac:dyDescent="0.35">
      <c r="B101" s="43" t="s">
        <v>126</v>
      </c>
      <c r="C101" s="43"/>
      <c r="D101" s="33">
        <f>SUM(D98:D99)</f>
        <v>123</v>
      </c>
      <c r="E101" s="33">
        <f>SUM(E98:E99)</f>
        <v>31443100</v>
      </c>
      <c r="F101" s="43"/>
      <c r="G101" s="35">
        <f>SUM(G98:G99)</f>
        <v>203914.49799999999</v>
      </c>
    </row>
    <row r="103" spans="2:8" x14ac:dyDescent="0.35">
      <c r="B103" s="2" t="s">
        <v>151</v>
      </c>
    </row>
    <row r="105" spans="2:8" x14ac:dyDescent="0.35">
      <c r="B105" s="43"/>
      <c r="C105" s="43"/>
      <c r="D105" s="43"/>
      <c r="E105" s="43"/>
      <c r="F105" s="44" t="s">
        <v>129</v>
      </c>
      <c r="G105" s="44" t="s">
        <v>130</v>
      </c>
      <c r="H105" s="44"/>
    </row>
    <row r="106" spans="2:8" x14ac:dyDescent="0.35">
      <c r="B106" s="43"/>
      <c r="C106" s="44" t="s">
        <v>132</v>
      </c>
      <c r="D106" s="44" t="s">
        <v>133</v>
      </c>
      <c r="E106" s="44" t="s">
        <v>114</v>
      </c>
      <c r="F106" s="37">
        <f>C107</f>
        <v>50000</v>
      </c>
      <c r="G106" s="37">
        <f>C108</f>
        <v>50000</v>
      </c>
      <c r="H106" s="44" t="s">
        <v>60</v>
      </c>
    </row>
    <row r="107" spans="2:8" x14ac:dyDescent="0.35">
      <c r="B107" s="43" t="s">
        <v>129</v>
      </c>
      <c r="C107" s="46">
        <v>50000</v>
      </c>
      <c r="D107" s="43">
        <v>0</v>
      </c>
      <c r="E107" s="33">
        <v>0</v>
      </c>
      <c r="F107" s="47">
        <v>0</v>
      </c>
      <c r="G107" s="43"/>
      <c r="H107" s="47">
        <f>SUM(F107:G107)</f>
        <v>0</v>
      </c>
    </row>
    <row r="108" spans="2:8" x14ac:dyDescent="0.35">
      <c r="B108" s="43" t="s">
        <v>131</v>
      </c>
      <c r="C108" s="46">
        <v>50000</v>
      </c>
      <c r="D108" s="43">
        <v>24</v>
      </c>
      <c r="E108" s="33">
        <v>27349200</v>
      </c>
      <c r="F108" s="47">
        <v>1200000</v>
      </c>
      <c r="G108" s="47">
        <v>26149200</v>
      </c>
      <c r="H108" s="47">
        <f>SUM(F108:G108)</f>
        <v>27349200</v>
      </c>
    </row>
    <row r="109" spans="2:8" x14ac:dyDescent="0.35">
      <c r="B109" s="43"/>
      <c r="C109" s="43"/>
      <c r="D109" s="43"/>
      <c r="E109" s="43"/>
      <c r="F109" s="43"/>
      <c r="G109" s="43"/>
      <c r="H109" s="47"/>
    </row>
    <row r="110" spans="2:8" x14ac:dyDescent="0.35">
      <c r="B110" s="43" t="s">
        <v>126</v>
      </c>
      <c r="C110" s="43"/>
      <c r="D110" s="33">
        <f>SUM(D107:D108)</f>
        <v>24</v>
      </c>
      <c r="E110" s="33">
        <f>SUM(E107:E108)</f>
        <v>27349200</v>
      </c>
      <c r="F110" s="33">
        <f>SUM(F107:F108)</f>
        <v>1200000</v>
      </c>
      <c r="G110" s="33">
        <f>SUM(G107:G108)</f>
        <v>26149200</v>
      </c>
      <c r="H110" s="47">
        <f>SUM(F110:G110)</f>
        <v>27349200</v>
      </c>
    </row>
    <row r="112" spans="2:8" x14ac:dyDescent="0.35">
      <c r="B112" s="2" t="s">
        <v>152</v>
      </c>
    </row>
    <row r="114" spans="2:8" x14ac:dyDescent="0.35">
      <c r="B114" s="43"/>
      <c r="C114" s="44" t="s">
        <v>132</v>
      </c>
      <c r="D114" s="44" t="s">
        <v>133</v>
      </c>
      <c r="E114" s="44" t="s">
        <v>114</v>
      </c>
      <c r="F114" s="44" t="s">
        <v>138</v>
      </c>
      <c r="G114" s="44" t="s">
        <v>117</v>
      </c>
    </row>
    <row r="115" spans="2:8" x14ac:dyDescent="0.35">
      <c r="B115" s="43" t="s">
        <v>139</v>
      </c>
      <c r="C115" s="46">
        <f>C107</f>
        <v>50000</v>
      </c>
      <c r="D115" s="47">
        <f>D110</f>
        <v>24</v>
      </c>
      <c r="E115" s="47">
        <f>F110</f>
        <v>1200000</v>
      </c>
      <c r="F115" s="35">
        <v>348.15</v>
      </c>
      <c r="G115" s="35">
        <f>D115*F115</f>
        <v>8355.5999999999985</v>
      </c>
    </row>
    <row r="116" spans="2:8" x14ac:dyDescent="0.35">
      <c r="B116" s="43" t="s">
        <v>130</v>
      </c>
      <c r="C116" s="46">
        <f>C108</f>
        <v>50000</v>
      </c>
      <c r="D116" s="43"/>
      <c r="E116" s="47">
        <f>G110</f>
        <v>26149200</v>
      </c>
      <c r="F116" s="38">
        <v>6.28E-3</v>
      </c>
      <c r="G116" s="34">
        <f>(E116*F116)</f>
        <v>164216.976</v>
      </c>
    </row>
    <row r="117" spans="2:8" x14ac:dyDescent="0.35">
      <c r="B117" s="43"/>
      <c r="C117" s="43"/>
      <c r="D117" s="43"/>
      <c r="E117" s="43"/>
      <c r="F117" s="43"/>
      <c r="G117" s="43"/>
    </row>
    <row r="118" spans="2:8" x14ac:dyDescent="0.35">
      <c r="B118" s="43" t="s">
        <v>126</v>
      </c>
      <c r="C118" s="43"/>
      <c r="D118" s="33">
        <f>SUM(D115:D116)</f>
        <v>24</v>
      </c>
      <c r="E118" s="33">
        <f>SUM(E115:E116)</f>
        <v>27349200</v>
      </c>
      <c r="F118" s="43"/>
      <c r="G118" s="35">
        <f>SUM(G115:G116)</f>
        <v>172572.576</v>
      </c>
    </row>
    <row r="120" spans="2:8" x14ac:dyDescent="0.35">
      <c r="B120" s="2" t="s">
        <v>153</v>
      </c>
    </row>
    <row r="122" spans="2:8" x14ac:dyDescent="0.35">
      <c r="B122" s="43"/>
      <c r="C122" s="43"/>
      <c r="D122" s="43"/>
      <c r="E122" s="43"/>
      <c r="F122" s="44" t="s">
        <v>129</v>
      </c>
      <c r="G122" s="44" t="s">
        <v>130</v>
      </c>
      <c r="H122" s="44"/>
    </row>
    <row r="123" spans="2:8" x14ac:dyDescent="0.35">
      <c r="B123" s="43"/>
      <c r="C123" s="44" t="s">
        <v>132</v>
      </c>
      <c r="D123" s="44" t="s">
        <v>133</v>
      </c>
      <c r="E123" s="44" t="s">
        <v>114</v>
      </c>
      <c r="F123" s="37">
        <f>C124</f>
        <v>100000</v>
      </c>
      <c r="G123" s="37">
        <f>C125</f>
        <v>100000</v>
      </c>
      <c r="H123" s="44" t="s">
        <v>60</v>
      </c>
    </row>
    <row r="124" spans="2:8" x14ac:dyDescent="0.35">
      <c r="B124" s="43" t="s">
        <v>129</v>
      </c>
      <c r="C124" s="46">
        <v>100000</v>
      </c>
      <c r="D124" s="43">
        <v>0</v>
      </c>
      <c r="E124" s="33">
        <v>0</v>
      </c>
      <c r="F124" s="47">
        <v>0</v>
      </c>
      <c r="G124" s="43"/>
      <c r="H124" s="47">
        <f>SUM(F124:G124)</f>
        <v>0</v>
      </c>
    </row>
    <row r="125" spans="2:8" x14ac:dyDescent="0.35">
      <c r="B125" s="43" t="s">
        <v>131</v>
      </c>
      <c r="C125" s="46">
        <v>100000</v>
      </c>
      <c r="D125" s="43">
        <v>0</v>
      </c>
      <c r="E125" s="33">
        <v>0</v>
      </c>
      <c r="F125" s="47">
        <v>0</v>
      </c>
      <c r="G125" s="47">
        <v>0</v>
      </c>
      <c r="H125" s="47">
        <f>SUM(F125:G125)</f>
        <v>0</v>
      </c>
    </row>
    <row r="126" spans="2:8" x14ac:dyDescent="0.35">
      <c r="B126" s="43"/>
      <c r="C126" s="43"/>
      <c r="D126" s="43"/>
      <c r="E126" s="43"/>
      <c r="F126" s="43"/>
      <c r="G126" s="43"/>
      <c r="H126" s="47"/>
    </row>
    <row r="127" spans="2:8" x14ac:dyDescent="0.35">
      <c r="B127" s="43" t="s">
        <v>126</v>
      </c>
      <c r="C127" s="43"/>
      <c r="D127" s="33">
        <f>SUM(D124:D125)</f>
        <v>0</v>
      </c>
      <c r="E127" s="33">
        <f>SUM(E124:E125)</f>
        <v>0</v>
      </c>
      <c r="F127" s="33">
        <f>SUM(F124:F125)</f>
        <v>0</v>
      </c>
      <c r="G127" s="33">
        <f>SUM(G124:G125)</f>
        <v>0</v>
      </c>
      <c r="H127" s="47">
        <f>SUM(F127:G127)</f>
        <v>0</v>
      </c>
    </row>
    <row r="129" spans="2:7" x14ac:dyDescent="0.35">
      <c r="B129" s="2" t="s">
        <v>154</v>
      </c>
    </row>
    <row r="131" spans="2:7" x14ac:dyDescent="0.35">
      <c r="B131" s="43"/>
      <c r="C131" s="44" t="s">
        <v>132</v>
      </c>
      <c r="D131" s="44" t="s">
        <v>133</v>
      </c>
      <c r="E131" s="44" t="s">
        <v>114</v>
      </c>
      <c r="F131" s="44" t="s">
        <v>138</v>
      </c>
      <c r="G131" s="44" t="s">
        <v>117</v>
      </c>
    </row>
    <row r="132" spans="2:7" x14ac:dyDescent="0.35">
      <c r="B132" s="43" t="s">
        <v>139</v>
      </c>
      <c r="C132" s="46">
        <f>C124</f>
        <v>100000</v>
      </c>
      <c r="D132" s="47">
        <f>D127</f>
        <v>0</v>
      </c>
      <c r="E132" s="47">
        <f>F127</f>
        <v>0</v>
      </c>
      <c r="F132" s="35">
        <v>662.15</v>
      </c>
      <c r="G132" s="35">
        <f>D132*F132</f>
        <v>0</v>
      </c>
    </row>
    <row r="133" spans="2:7" x14ac:dyDescent="0.35">
      <c r="B133" s="43" t="s">
        <v>130</v>
      </c>
      <c r="C133" s="46">
        <f>C125</f>
        <v>100000</v>
      </c>
      <c r="D133" s="43"/>
      <c r="E133" s="47">
        <f>G127</f>
        <v>0</v>
      </c>
      <c r="F133" s="38">
        <v>6.28E-3</v>
      </c>
      <c r="G133" s="34">
        <f>(E133*F133)</f>
        <v>0</v>
      </c>
    </row>
    <row r="134" spans="2:7" x14ac:dyDescent="0.35">
      <c r="B134" s="43"/>
      <c r="C134" s="43"/>
      <c r="D134" s="43"/>
      <c r="E134" s="43"/>
      <c r="F134" s="43"/>
      <c r="G134" s="43"/>
    </row>
    <row r="135" spans="2:7" x14ac:dyDescent="0.35">
      <c r="B135" s="43" t="s">
        <v>126</v>
      </c>
      <c r="C135" s="43"/>
      <c r="D135" s="33">
        <f>SUM(D132:D133)</f>
        <v>0</v>
      </c>
      <c r="E135" s="33">
        <f>SUM(E132:E133)</f>
        <v>0</v>
      </c>
      <c r="F135" s="43"/>
      <c r="G135" s="35">
        <f>SUM(G132:G133)</f>
        <v>0</v>
      </c>
    </row>
  </sheetData>
  <printOptions horizontalCentered="1" verticalCentered="1"/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9A7C-DBCC-4E08-85C1-B94E6CC18207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M E A A B Q S w M E F A A C A A g A P G E b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D x h G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8 Y R t b H a Z L M 0 w B A A C m C A A A E w A c A E Z v c m 1 1 b G F z L 1 N l Y 3 R p b 2 4 x L m 0 g o h g A K K A U A A A A A A A A A A A A A A A A A A A A A A A A A A A A 5 Z U x b 4 M w E I V 3 J P 7 D y V l A S l G A Z m m V I Q L S I k U N S o g 6 h A x u O B J U s J F t K k V R / n s h p F O 7 l g U v J 9 n 3 3 v l 9 y 0 k 8 q J w z 2 H T V f t Y 1 X Z M n K j C F i B 5 x M r F h B g U q X Y P m b H g t D t j c R G l m x f S j Q G k s 8 g I t j z O F T E m D e E / J V q K Q S V p l X C o U y Y q h L / I v h A d 4 E U g V L O k n S v B 4 W d Y s V 2 e Y d 3 + I q F C s U Z 7 y K v H 5 o S 5 b w 2 R N F Y J H J c o k o L I R 8 y N l 8 O 7 D f L 1 I / C B a B 1 4 4 j 8 P V G 2 y 8 1 8 D f L g O w H c u 1 L c e 1 q j Q j 5 h h 2 Y V k V 2 N r R d t C M 2 J Z L 9 u a 4 y 9 T G b E N 2 2 S 6 7 M J 2 R e 3 S y v + 5 8 q u j + 3 j o i 3 o m y Y 8 M m P l d I G t G N g R U L y m T G R e n x o i 5 Z + y i N m + / 4 c j V 1 L W d / 6 n / D d o Y L 2 + k d t j t c 2 G 7 v s B + H C / u x d 9 j T 4 c K e 9 g h 7 9 L M n w H B M M l z m / 7 4 n v w F Q S w E C L Q A U A A I A C A A 8 Y R t b 6 6 s 4 S 6 U A A A D 3 A A A A E g A A A A A A A A A A A A A A A A A A A A A A Q 2 9 u Z m l n L 1 B h Y 2 t h Z 2 U u e G 1 s U E s B A i 0 A F A A C A A g A P G E b W w / K 6 a u k A A A A 6 Q A A A B M A A A A A A A A A A A A A A A A A 8 Q A A A F t D b 2 5 0 Z W 5 0 X 1 R 5 c G V z X S 5 4 b W x Q S w E C L Q A U A A I A C A A 8 Y R t b H a Z L M 0 w B A A C m C A A A E w A A A A A A A A A A A A A A A A D i A Q A A R m 9 y b X V s Y X M v U 2 V j d G l v b j E u b V B L B Q Y A A A A A A w A D A M I A A A B 7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E G A A A A A A A A G I Y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h h Z T A 5 N j Q t Y z k 0 Z C 0 0 O W Q w L T l h N z U t Y j Q x M m V h O T k 5 M G U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Q Y W d l M D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y N j E 4 Z D V l L W Z i N W Q t N G N k Y S 1 h N z M 5 L T R k Z D M 3 M D R m M T A 1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Y W d l M D A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h Z G Q y Y T F m L W E 5 N m Q t N D R h N i 1 i Y 2 E 0 L W Y y M 2 U 1 Z D k 3 Z D M 3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Y W d l M D A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M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0 Y z M w N D l l L T J m O G M t N D Z j O S 0 5 M T Z j L W Q w M m J h Y T c z N z R m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Y W d l M D A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Q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N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j Z G N j M 2 Y y L T d k Z m U t N D Y 4 Z S 0 5 O T k 3 L T N l N G F m N 2 N l M D h i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Y W d l M D A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U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3 O G M w Z W Q 3 L T c 2 Z T E t N G Z i M y 1 i Y j N j L W Y x M W U w M z E y N T B l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d U M T Y 6 M D k 6 N T A u N j A y N T I y N V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0 X j g b c w N h G j q 9 8 8 2 + J p z Q A A A A A A g A A A A A A E G Y A A A A B A A A g A A A A V E n 2 k Y p 6 1 6 q x T C G m P H R M E j N h p w o b Z K O 8 k V w d t m E K 8 e w A A A A A D o A A A A A C A A A g A A A A U M 3 2 F F Y U k T K d Q i g R L R z h M 0 g Y f q U X f L V T U M S f + n I r + A F Q A A A A R L 2 G h H M r h q G z g J x N z s F 1 t e x G W n 7 o r l 8 e A G w v 7 A W i S D D K Z S e P 4 R c h a z e i z b q c d Z s q 8 Z n w g + D B g Y I 5 k p o 6 s + 9 G Y i s H 9 x 8 L S M Y p k Y 2 d U m 2 N d Q l A A A A A p w U 9 c E F G 0 4 g x v N A K b p y T R M 0 y k K d P Y G P e b o B / Y 6 z Q 8 g M 8 w P 2 U Z u F P G E c q G I H 8 3 i D f g G r V V i 5 9 W F F t O J z N k P l 2 U g = = < / D a t a M a s h u p > 
</file>

<file path=customXml/itemProps1.xml><?xml version="1.0" encoding="utf-8"?>
<ds:datastoreItem xmlns:ds="http://schemas.openxmlformats.org/officeDocument/2006/customXml" ds:itemID="{AB4704DC-5046-4E0A-85F9-F6FC935A77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SAO</vt:lpstr>
      <vt:lpstr>RR-DC</vt:lpstr>
      <vt:lpstr>Dep</vt:lpstr>
      <vt:lpstr>AvgDebt</vt:lpstr>
      <vt:lpstr>WaterLoss</vt:lpstr>
      <vt:lpstr>Wages</vt:lpstr>
      <vt:lpstr>BAE</vt:lpstr>
      <vt:lpstr>BAP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P. Foster</dc:creator>
  <cp:lastModifiedBy>Wuetcher, Gerald</cp:lastModifiedBy>
  <cp:lastPrinted>2025-08-29T19:14:09Z</cp:lastPrinted>
  <dcterms:created xsi:type="dcterms:W3CDTF">2025-04-29T14:26:07Z</dcterms:created>
  <dcterms:modified xsi:type="dcterms:W3CDTF">2025-08-30T19:45:03Z</dcterms:modified>
</cp:coreProperties>
</file>