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CVE/2023 COSS ^0 Rates 2024-00xxx/COS ^0 Rates/"/>
    </mc:Choice>
  </mc:AlternateContent>
  <xr:revisionPtr revIDLastSave="77" documentId="8_{4D5E6EE0-A191-4A43-8DDE-DA7BE0039B38}" xr6:coauthVersionLast="47" xr6:coauthVersionMax="47" xr10:uidLastSave="{961A00A3-05AD-4353-AE38-45BA163D9ED4}"/>
  <bookViews>
    <workbookView xWindow="-135" yWindow="-135" windowWidth="29070" windowHeight="15750" tabRatio="741" firstSheet="2" activeTab="2" xr2:uid="{00000000-000D-0000-FFFF-FFFF00000000}"/>
  </bookViews>
  <sheets>
    <sheet name="Residential NonTOU" sheetId="24" state="hidden" r:id="rId1"/>
    <sheet name="Resid. - TOU" sheetId="28" state="hidden" r:id="rId2"/>
    <sheet name="Present and Proposed Rates" sheetId="61" r:id="rId3"/>
    <sheet name="R" sheetId="80" r:id="rId4"/>
    <sheet name="TOD" sheetId="81" r:id="rId5"/>
    <sheet name="C1" sheetId="82" r:id="rId6"/>
    <sheet name="C2" sheetId="83" r:id="rId7"/>
    <sheet name="IB" sheetId="84" r:id="rId8"/>
    <sheet name="E1" sheetId="85" r:id="rId9"/>
    <sheet name="L1" sheetId="86" r:id="rId10"/>
    <sheet name="S" sheetId="43" r:id="rId11"/>
    <sheet name="VB" sheetId="87" state="hidden" r:id="rId12"/>
    <sheet name="VC" sheetId="88" state="hidden" r:id="rId13"/>
    <sheet name="Act-vs-Calc" sheetId="13" r:id="rId14"/>
    <sheet name="ResIncr" sheetId="79" r:id="rId15"/>
    <sheet name="Billing Determ" sheetId="74" state="hidden" r:id="rId16"/>
    <sheet name="BD-VB-VC" sheetId="90" state="hidden" r:id="rId17"/>
    <sheet name="List" sheetId="73" state="hidden" r:id="rId18"/>
    <sheet name="Notice Table" sheetId="89" r:id="rId19"/>
  </sheets>
  <externalReferences>
    <externalReference r:id="rId20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EquityPercent">#REF!</definedName>
    <definedName name="Goto14">'[1]Table of Contents'!#REF!</definedName>
    <definedName name="Goto15">'[1]Table of Contents'!#REF!</definedName>
    <definedName name="Goto16">'[1]Table of Contents'!#REF!</definedName>
    <definedName name="Goto21">'[1]Table of Contents'!#REF!</definedName>
    <definedName name="Goto22">'[1]Table of Contents'!#REF!</definedName>
    <definedName name="Goto23">'[1]Table of Contents'!#REF!</definedName>
    <definedName name="Goto24">'[1]Table of Contents'!#REF!</definedName>
    <definedName name="Goto26">'[1]Table of Contents'!#REF!</definedName>
    <definedName name="Goto27">'[1]Table of Contents'!#REF!</definedName>
    <definedName name="Goto28">'[1]Table of Contents'!#REF!</definedName>
    <definedName name="Goto29">'[1]Table of Contents'!#REF!</definedName>
    <definedName name="Goto30">'[1]Table of Contents'!#REF!</definedName>
    <definedName name="Goto9">'[1]Table of Contents'!#REF!</definedName>
    <definedName name="GRE_Equity_Share">#REF!</definedName>
    <definedName name="HW_Equity_Share">#REF!</definedName>
    <definedName name="HW_ROI_Threshold">#REF!</definedName>
    <definedName name="Oppty_Availability">#REF!</definedName>
    <definedName name="Oppty_DollarMwh">#REF!</definedName>
    <definedName name="Oppty_MW">#REF!</definedName>
    <definedName name="Price_CapacityPayment">#REF!</definedName>
    <definedName name="Price_Corn">#REF!</definedName>
    <definedName name="Price_Steam">#REF!</definedName>
    <definedName name="_xlnm.Print_Area" localSheetId="13">'Act-vs-Calc'!$A$1:$K$18</definedName>
    <definedName name="_xlnm.Print_Area" localSheetId="15">'Billing Determ'!$A$1:$Q$267</definedName>
    <definedName name="_xlnm.Print_Area" localSheetId="5">'C1'!$A$1:$U$32</definedName>
    <definedName name="_xlnm.Print_Area" localSheetId="6">'C2'!$A$1:$U$36</definedName>
    <definedName name="_xlnm.Print_Area" localSheetId="8">'E1'!$A$1:$T$29</definedName>
    <definedName name="_xlnm.Print_Area" localSheetId="7">IB!$A$1:$U$33</definedName>
    <definedName name="_xlnm.Print_Area" localSheetId="9">'L1'!$A$1:$U$35</definedName>
    <definedName name="_xlnm.Print_Area" localSheetId="17">List!$A$1:$C$15</definedName>
    <definedName name="_xlnm.Print_Area" localSheetId="18">'Notice Table'!$A$1:$G$88</definedName>
    <definedName name="_xlnm.Print_Area" localSheetId="2">'Present and Proposed Rates'!$A$1:$Q$52</definedName>
    <definedName name="_xlnm.Print_Area" localSheetId="3">'R'!$A$1:$U$30</definedName>
    <definedName name="_xlnm.Print_Area" localSheetId="1">'Resid. - TOU'!$A$1:$H$35</definedName>
    <definedName name="_xlnm.Print_Area" localSheetId="0">'Residential NonTOU'!$A$1:$W$28</definedName>
    <definedName name="_xlnm.Print_Area" localSheetId="14">ResIncr!$A$1:$M$39</definedName>
    <definedName name="_xlnm.Print_Area" localSheetId="10">S!$A$1:$S$36</definedName>
    <definedName name="_xlnm.Print_Area" localSheetId="4">TOD!$A$1:$T$32</definedName>
    <definedName name="_xlnm.Print_Area" localSheetId="11">VB!$A$1:$S$35</definedName>
    <definedName name="_xlnm.Print_Area" localSheetId="12">VC!$A$1:$S$35</definedName>
    <definedName name="_xlnm.Print_Titles" localSheetId="14">ResIncr!$1:$1</definedName>
    <definedName name="ProducerPayoutFlag">#REF!</definedName>
    <definedName name="ProjectCapitalCos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ll_DDGS">#REF!</definedName>
    <definedName name="Sell_DWGS">#REF!</definedName>
    <definedName name="Sell_Ethanol">#REF!</definedName>
    <definedName name="Tax_GRE">#REF!</definedName>
    <definedName name="Tax_HW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79" l="1"/>
  <c r="I39" i="79"/>
  <c r="H39" i="79"/>
  <c r="K39" i="79" s="1"/>
  <c r="L39" i="79" s="1"/>
  <c r="M39" i="79" s="1"/>
  <c r="F39" i="79"/>
  <c r="G39" i="79" s="1"/>
  <c r="E39" i="79"/>
  <c r="D39" i="79"/>
  <c r="G9" i="79"/>
  <c r="G10" i="79"/>
  <c r="G11" i="79"/>
  <c r="G12" i="79"/>
  <c r="G13" i="79"/>
  <c r="G14" i="79"/>
  <c r="G15" i="79"/>
  <c r="G16" i="79"/>
  <c r="G17" i="79"/>
  <c r="G18" i="79"/>
  <c r="G19" i="79"/>
  <c r="G20" i="79"/>
  <c r="G21" i="79"/>
  <c r="G22" i="79"/>
  <c r="G23" i="79"/>
  <c r="G24" i="79"/>
  <c r="G25" i="79"/>
  <c r="G26" i="79"/>
  <c r="G27" i="79"/>
  <c r="G28" i="79"/>
  <c r="G29" i="79"/>
  <c r="G30" i="79"/>
  <c r="G31" i="79"/>
  <c r="G32" i="79"/>
  <c r="G33" i="79"/>
  <c r="G34" i="79"/>
  <c r="G35" i="79"/>
  <c r="G36" i="79"/>
  <c r="G37" i="79"/>
  <c r="G38" i="79"/>
  <c r="S13" i="43"/>
  <c r="S14" i="43"/>
  <c r="S15" i="43"/>
  <c r="S16" i="43"/>
  <c r="S17" i="43"/>
  <c r="S18" i="43"/>
  <c r="S19" i="43"/>
  <c r="S20" i="43"/>
  <c r="S21" i="43"/>
  <c r="S22" i="43"/>
  <c r="S23" i="43"/>
  <c r="S12" i="43"/>
  <c r="U21" i="86"/>
  <c r="T15" i="85"/>
  <c r="T11" i="85"/>
  <c r="U18" i="84"/>
  <c r="U17" i="83"/>
  <c r="U16" i="83"/>
  <c r="U12" i="83"/>
  <c r="U17" i="86"/>
  <c r="U12" i="86"/>
  <c r="T12" i="85"/>
  <c r="U17" i="84"/>
  <c r="U16" i="84"/>
  <c r="U12" i="84"/>
  <c r="U17" i="82"/>
  <c r="U16" i="82"/>
  <c r="U12" i="82"/>
  <c r="T17" i="81"/>
  <c r="T16" i="81"/>
  <c r="T12" i="81"/>
  <c r="U16" i="80"/>
  <c r="U12" i="80"/>
  <c r="U11" i="80"/>
  <c r="Z14" i="61" l="1"/>
  <c r="A36" i="61"/>
  <c r="J35" i="61"/>
  <c r="J33" i="61"/>
  <c r="J31" i="61"/>
  <c r="J30" i="61"/>
  <c r="H35" i="61"/>
  <c r="I35" i="61" s="1"/>
  <c r="I34" i="61"/>
  <c r="J34" i="61" s="1"/>
  <c r="H33" i="61"/>
  <c r="I33" i="61" s="1"/>
  <c r="J32" i="61"/>
  <c r="H30" i="61"/>
  <c r="I30" i="61" s="1"/>
  <c r="I50" i="61" l="1"/>
  <c r="I43" i="61"/>
  <c r="I46" i="61" s="1"/>
  <c r="P68" i="90"/>
  <c r="P69" i="90" s="1"/>
  <c r="N69" i="90"/>
  <c r="M69" i="90"/>
  <c r="L69" i="90"/>
  <c r="K69" i="90"/>
  <c r="J69" i="90"/>
  <c r="I69" i="90"/>
  <c r="H69" i="90"/>
  <c r="G69" i="90"/>
  <c r="F69" i="90"/>
  <c r="E69" i="90"/>
  <c r="D69" i="90"/>
  <c r="O69" i="90"/>
  <c r="P64" i="90"/>
  <c r="P65" i="90"/>
  <c r="P66" i="90"/>
  <c r="P58" i="90"/>
  <c r="P59" i="90"/>
  <c r="P60" i="90"/>
  <c r="P61" i="90"/>
  <c r="P62" i="90"/>
  <c r="P67" i="90"/>
  <c r="P56" i="90"/>
  <c r="P23" i="90"/>
  <c r="P24" i="90"/>
  <c r="P25" i="90"/>
  <c r="P26" i="90"/>
  <c r="P27" i="90"/>
  <c r="P28" i="90"/>
  <c r="P29" i="90"/>
  <c r="P30" i="90"/>
  <c r="P31" i="90"/>
  <c r="P32" i="90"/>
  <c r="P33" i="90"/>
  <c r="P21" i="90"/>
  <c r="E34" i="90"/>
  <c r="F34" i="90"/>
  <c r="G34" i="90"/>
  <c r="H34" i="90"/>
  <c r="I34" i="90"/>
  <c r="J34" i="90"/>
  <c r="K34" i="90"/>
  <c r="L34" i="90"/>
  <c r="M34" i="90"/>
  <c r="N34" i="90"/>
  <c r="O34" i="90"/>
  <c r="D34" i="90"/>
  <c r="I18" i="61"/>
  <c r="I17" i="61"/>
  <c r="R285" i="74"/>
  <c r="R284" i="74"/>
  <c r="R286" i="74" s="1"/>
  <c r="Q286" i="74"/>
  <c r="Q285" i="74"/>
  <c r="Q284" i="74"/>
  <c r="R283" i="74"/>
  <c r="R282" i="74"/>
  <c r="R281" i="74"/>
  <c r="R280" i="74"/>
  <c r="R279" i="74"/>
  <c r="R278" i="74"/>
  <c r="R277" i="74"/>
  <c r="R276" i="74"/>
  <c r="Q283" i="74"/>
  <c r="Q282" i="74"/>
  <c r="Q281" i="74"/>
  <c r="Q280" i="74"/>
  <c r="Q279" i="74"/>
  <c r="Q278" i="74"/>
  <c r="Q277" i="74"/>
  <c r="Q276" i="74"/>
  <c r="H59" i="61"/>
  <c r="H60" i="61"/>
  <c r="H62" i="61"/>
  <c r="H63" i="61"/>
  <c r="H65" i="61"/>
  <c r="H66" i="61"/>
  <c r="H69" i="61"/>
  <c r="H70" i="61"/>
  <c r="H71" i="61"/>
  <c r="H73" i="61"/>
  <c r="H75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57" i="61"/>
  <c r="P34" i="90" l="1"/>
  <c r="E53" i="89"/>
  <c r="F53" i="89"/>
  <c r="G53" i="89"/>
  <c r="E54" i="89"/>
  <c r="F54" i="89"/>
  <c r="G54" i="89"/>
  <c r="E55" i="89"/>
  <c r="F55" i="89"/>
  <c r="G55" i="89"/>
  <c r="E56" i="89"/>
  <c r="F56" i="89"/>
  <c r="G56" i="89"/>
  <c r="E57" i="89"/>
  <c r="F57" i="89"/>
  <c r="G57" i="89"/>
  <c r="E58" i="89"/>
  <c r="F58" i="89"/>
  <c r="G58" i="89"/>
  <c r="E59" i="89"/>
  <c r="F59" i="89"/>
  <c r="G59" i="89"/>
  <c r="E60" i="89"/>
  <c r="F60" i="89"/>
  <c r="G60" i="89"/>
  <c r="E61" i="89"/>
  <c r="F61" i="89"/>
  <c r="G61" i="89"/>
  <c r="I61" i="89" s="1"/>
  <c r="J61" i="89" s="1"/>
  <c r="I21" i="87"/>
  <c r="I17" i="87"/>
  <c r="E21" i="87"/>
  <c r="E17" i="87"/>
  <c r="E48" i="89"/>
  <c r="F48" i="89"/>
  <c r="E49" i="89"/>
  <c r="F49" i="89"/>
  <c r="E50" i="89"/>
  <c r="F50" i="89"/>
  <c r="F47" i="89"/>
  <c r="E47" i="89"/>
  <c r="D46" i="89"/>
  <c r="C46" i="89"/>
  <c r="E43" i="89"/>
  <c r="F43" i="89"/>
  <c r="E44" i="89"/>
  <c r="F44" i="89"/>
  <c r="E45" i="89"/>
  <c r="F45" i="89"/>
  <c r="F42" i="89"/>
  <c r="E42" i="89"/>
  <c r="D41" i="89"/>
  <c r="C41" i="89"/>
  <c r="F39" i="89"/>
  <c r="F40" i="89"/>
  <c r="F38" i="89"/>
  <c r="E39" i="89"/>
  <c r="E40" i="89"/>
  <c r="E38" i="89"/>
  <c r="D37" i="89"/>
  <c r="C37" i="89"/>
  <c r="I60" i="89" l="1"/>
  <c r="J60" i="89" s="1"/>
  <c r="I59" i="89"/>
  <c r="J59" i="89" s="1"/>
  <c r="E52" i="89"/>
  <c r="O13" i="43"/>
  <c r="O14" i="43"/>
  <c r="O15" i="43"/>
  <c r="O16" i="43"/>
  <c r="O17" i="43"/>
  <c r="O18" i="43"/>
  <c r="O19" i="43"/>
  <c r="O20" i="43"/>
  <c r="O21" i="43"/>
  <c r="O22" i="43"/>
  <c r="O23" i="43"/>
  <c r="P15" i="43"/>
  <c r="P13" i="43"/>
  <c r="R13" i="43" s="1"/>
  <c r="L15" i="43"/>
  <c r="L13" i="43"/>
  <c r="H23" i="43"/>
  <c r="K17" i="43"/>
  <c r="H17" i="43"/>
  <c r="I52" i="61"/>
  <c r="I49" i="61"/>
  <c r="I48" i="61"/>
  <c r="I45" i="61"/>
  <c r="I42" i="61"/>
  <c r="G39" i="89" l="1"/>
  <c r="I39" i="89" s="1"/>
  <c r="J39" i="89" s="1"/>
  <c r="J43" i="61"/>
  <c r="G48" i="89"/>
  <c r="I48" i="89" s="1"/>
  <c r="J50" i="61"/>
  <c r="G42" i="89"/>
  <c r="I42" i="89" s="1"/>
  <c r="J42" i="89" s="1"/>
  <c r="J45" i="61"/>
  <c r="G45" i="89"/>
  <c r="I45" i="89" s="1"/>
  <c r="J45" i="89" s="1"/>
  <c r="J48" i="61"/>
  <c r="G44" i="89"/>
  <c r="I44" i="89" s="1"/>
  <c r="J47" i="61"/>
  <c r="G43" i="89"/>
  <c r="I43" i="89" s="1"/>
  <c r="J43" i="89" s="1"/>
  <c r="J46" i="61"/>
  <c r="G40" i="89"/>
  <c r="I40" i="89" s="1"/>
  <c r="J40" i="89" s="1"/>
  <c r="J44" i="61"/>
  <c r="G47" i="89"/>
  <c r="I47" i="89" s="1"/>
  <c r="J47" i="89" s="1"/>
  <c r="J49" i="61"/>
  <c r="G38" i="89"/>
  <c r="I38" i="89" s="1"/>
  <c r="J38" i="89" s="1"/>
  <c r="J42" i="61"/>
  <c r="G50" i="89"/>
  <c r="I50" i="89" s="1"/>
  <c r="J50" i="89" s="1"/>
  <c r="J52" i="61"/>
  <c r="G49" i="89"/>
  <c r="I49" i="89" s="1"/>
  <c r="J49" i="89" s="1"/>
  <c r="J51" i="61"/>
  <c r="R15" i="43"/>
  <c r="F52" i="89"/>
  <c r="E7" i="89"/>
  <c r="E13" i="89"/>
  <c r="E14" i="89"/>
  <c r="E15" i="89"/>
  <c r="E17" i="89"/>
  <c r="E18" i="89"/>
  <c r="E19" i="89"/>
  <c r="E21" i="89"/>
  <c r="E22" i="89"/>
  <c r="E23" i="89"/>
  <c r="E24" i="89"/>
  <c r="E26" i="89"/>
  <c r="E27" i="89"/>
  <c r="E28" i="89"/>
  <c r="E29" i="89"/>
  <c r="E31" i="89"/>
  <c r="E32" i="89"/>
  <c r="E34" i="89"/>
  <c r="E35" i="89"/>
  <c r="E36" i="89"/>
  <c r="E6" i="89"/>
  <c r="F14" i="89"/>
  <c r="F15" i="89"/>
  <c r="F18" i="89"/>
  <c r="F19" i="89"/>
  <c r="F22" i="89"/>
  <c r="F23" i="89"/>
  <c r="F27" i="89"/>
  <c r="F28" i="89"/>
  <c r="F29" i="89"/>
  <c r="F32" i="89"/>
  <c r="F35" i="89"/>
  <c r="F7" i="89"/>
  <c r="F11" i="89" s="1"/>
  <c r="G6" i="89"/>
  <c r="G9" i="89" s="1"/>
  <c r="C88" i="89"/>
  <c r="C67" i="89"/>
  <c r="C81" i="89" s="1"/>
  <c r="D67" i="89"/>
  <c r="D81" i="89" s="1"/>
  <c r="C68" i="89"/>
  <c r="C82" i="89" s="1"/>
  <c r="D68" i="89"/>
  <c r="D82" i="89" s="1"/>
  <c r="C69" i="89"/>
  <c r="C83" i="89" s="1"/>
  <c r="D69" i="89"/>
  <c r="D83" i="89" s="1"/>
  <c r="C70" i="89"/>
  <c r="C84" i="89" s="1"/>
  <c r="D70" i="89"/>
  <c r="D84" i="89" s="1"/>
  <c r="C71" i="89"/>
  <c r="C85" i="89" s="1"/>
  <c r="D71" i="89"/>
  <c r="D85" i="89" s="1"/>
  <c r="C72" i="89"/>
  <c r="C86" i="89" s="1"/>
  <c r="D72" i="89"/>
  <c r="D86" i="89" s="1"/>
  <c r="C73" i="89"/>
  <c r="C87" i="89" s="1"/>
  <c r="D73" i="89"/>
  <c r="D87" i="89" s="1"/>
  <c r="D66" i="89"/>
  <c r="D80" i="89" s="1"/>
  <c r="C66" i="89"/>
  <c r="C80" i="89" s="1"/>
  <c r="A1" i="89"/>
  <c r="G10" i="89" l="1"/>
  <c r="I10" i="89" s="1"/>
  <c r="J10" i="89" s="1"/>
  <c r="I27" i="61"/>
  <c r="G35" i="89" s="1"/>
  <c r="I35" i="89" s="1"/>
  <c r="J35" i="89" s="1"/>
  <c r="I10" i="61"/>
  <c r="G13" i="89" s="1"/>
  <c r="K18" i="43"/>
  <c r="D16" i="80"/>
  <c r="Q16" i="80" s="1"/>
  <c r="I16" i="80" s="1"/>
  <c r="AB18" i="61"/>
  <c r="AC18" i="61"/>
  <c r="I9" i="61"/>
  <c r="G7" i="89" s="1"/>
  <c r="I23" i="61"/>
  <c r="G29" i="89" s="1"/>
  <c r="I29" i="89" s="1"/>
  <c r="J29" i="89" s="1"/>
  <c r="I14" i="61"/>
  <c r="G18" i="89" s="1"/>
  <c r="I18" i="89" s="1"/>
  <c r="J18" i="89" s="1"/>
  <c r="I11" i="61"/>
  <c r="G14" i="89" s="1"/>
  <c r="I14" i="89" s="1"/>
  <c r="J14" i="89" s="1"/>
  <c r="I7" i="89" l="1"/>
  <c r="J7" i="89" s="1"/>
  <c r="G11" i="89"/>
  <c r="I11" i="89" s="1"/>
  <c r="J11" i="89" s="1"/>
  <c r="K23" i="43"/>
  <c r="I21" i="61"/>
  <c r="G27" i="89" s="1"/>
  <c r="I27" i="89" s="1"/>
  <c r="J27" i="89" s="1"/>
  <c r="I15" i="61"/>
  <c r="G19" i="89" s="1"/>
  <c r="I19" i="89" s="1"/>
  <c r="J19" i="89" s="1"/>
  <c r="I22" i="61"/>
  <c r="G28" i="89" s="1"/>
  <c r="I28" i="89" s="1"/>
  <c r="J28" i="89" s="1"/>
  <c r="H13" i="61"/>
  <c r="H10" i="61"/>
  <c r="X45" i="74"/>
  <c r="X46" i="74"/>
  <c r="X47" i="74"/>
  <c r="X48" i="74"/>
  <c r="X49" i="74"/>
  <c r="X50" i="74"/>
  <c r="X51" i="74"/>
  <c r="X52" i="74"/>
  <c r="X53" i="74"/>
  <c r="X54" i="74"/>
  <c r="X55" i="74"/>
  <c r="X44" i="74"/>
  <c r="A6" i="61"/>
  <c r="A7" i="61" s="1"/>
  <c r="A8" i="61" s="1"/>
  <c r="G31" i="87"/>
  <c r="G31" i="88"/>
  <c r="H29" i="61"/>
  <c r="H77" i="61" s="1"/>
  <c r="H28" i="61"/>
  <c r="H76" i="61" s="1"/>
  <c r="H26" i="61"/>
  <c r="H24" i="61"/>
  <c r="H20" i="61"/>
  <c r="H19" i="61"/>
  <c r="H16" i="61"/>
  <c r="H64" i="61" s="1"/>
  <c r="H61" i="61" l="1"/>
  <c r="F13" i="89"/>
  <c r="I13" i="89" s="1"/>
  <c r="J13" i="89" s="1"/>
  <c r="H58" i="61"/>
  <c r="F24" i="89"/>
  <c r="H67" i="61"/>
  <c r="F26" i="89"/>
  <c r="H68" i="61"/>
  <c r="F31" i="89"/>
  <c r="H72" i="61"/>
  <c r="F34" i="89"/>
  <c r="H74" i="61"/>
  <c r="A9" i="61"/>
  <c r="A10" i="61" s="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F17" i="89"/>
  <c r="F36" i="89"/>
  <c r="I28" i="61"/>
  <c r="G36" i="89" s="1"/>
  <c r="F21" i="89"/>
  <c r="G21" i="89"/>
  <c r="J26" i="88"/>
  <c r="G31" i="86"/>
  <c r="D21" i="88"/>
  <c r="I17" i="88"/>
  <c r="E21" i="88"/>
  <c r="E17" i="88"/>
  <c r="E12" i="88"/>
  <c r="G25" i="88"/>
  <c r="G24" i="88"/>
  <c r="D17" i="88"/>
  <c r="D12" i="88"/>
  <c r="A3" i="88"/>
  <c r="A2" i="88"/>
  <c r="N26" i="88"/>
  <c r="A1" i="88"/>
  <c r="G25" i="87"/>
  <c r="G24" i="87"/>
  <c r="J24" i="87" s="1"/>
  <c r="X189" i="74"/>
  <c r="X190" i="74"/>
  <c r="X191" i="74"/>
  <c r="X200" i="74" s="1"/>
  <c r="X192" i="74"/>
  <c r="X193" i="74"/>
  <c r="X194" i="74"/>
  <c r="X195" i="74"/>
  <c r="X196" i="74"/>
  <c r="X197" i="74"/>
  <c r="X198" i="74"/>
  <c r="X199" i="74"/>
  <c r="X188" i="74"/>
  <c r="X150" i="74"/>
  <c r="X151" i="74"/>
  <c r="X152" i="74"/>
  <c r="X153" i="74"/>
  <c r="X154" i="74"/>
  <c r="X155" i="74"/>
  <c r="X156" i="74"/>
  <c r="X157" i="74"/>
  <c r="X158" i="74"/>
  <c r="X159" i="74"/>
  <c r="X160" i="74"/>
  <c r="X149" i="74"/>
  <c r="J17" i="87"/>
  <c r="I12" i="87"/>
  <c r="E12" i="87"/>
  <c r="D21" i="87"/>
  <c r="D17" i="87"/>
  <c r="D12" i="87"/>
  <c r="A3" i="87"/>
  <c r="A2" i="87"/>
  <c r="N26" i="87"/>
  <c r="A1" i="87"/>
  <c r="J24" i="88" l="1"/>
  <c r="A30" i="61"/>
  <c r="A31" i="61" s="1"/>
  <c r="A32" i="61" s="1"/>
  <c r="A33" i="61" s="1"/>
  <c r="A34" i="61" s="1"/>
  <c r="A35" i="61" s="1"/>
  <c r="I36" i="89"/>
  <c r="J36" i="89" s="1"/>
  <c r="I21" i="89"/>
  <c r="J21" i="89" s="1"/>
  <c r="Q17" i="87"/>
  <c r="Q21" i="87"/>
  <c r="Q12" i="88"/>
  <c r="Q17" i="88"/>
  <c r="S17" i="88" s="1"/>
  <c r="Q21" i="88"/>
  <c r="S21" i="88" s="1"/>
  <c r="Q12" i="87"/>
  <c r="J26" i="87"/>
  <c r="I21" i="88"/>
  <c r="J21" i="88" s="1"/>
  <c r="I12" i="88"/>
  <c r="J12" i="88" s="1"/>
  <c r="J25" i="88"/>
  <c r="G21" i="88"/>
  <c r="D18" i="88"/>
  <c r="G12" i="88"/>
  <c r="G17" i="88"/>
  <c r="J17" i="88"/>
  <c r="J25" i="87"/>
  <c r="X161" i="74"/>
  <c r="G21" i="87"/>
  <c r="D18" i="87"/>
  <c r="G17" i="87"/>
  <c r="G12" i="87"/>
  <c r="M276" i="74"/>
  <c r="L277" i="74"/>
  <c r="M277" i="74"/>
  <c r="L278" i="74"/>
  <c r="M278" i="74"/>
  <c r="L279" i="74"/>
  <c r="M279" i="74"/>
  <c r="L280" i="74"/>
  <c r="M280" i="74"/>
  <c r="L281" i="74"/>
  <c r="M281" i="74"/>
  <c r="L282" i="74"/>
  <c r="M282" i="74"/>
  <c r="L283" i="74"/>
  <c r="M283" i="74"/>
  <c r="L284" i="74"/>
  <c r="M284" i="74"/>
  <c r="L285" i="74"/>
  <c r="M285" i="74"/>
  <c r="L286" i="74"/>
  <c r="M286" i="74"/>
  <c r="L287" i="74"/>
  <c r="M287" i="74"/>
  <c r="L276" i="74"/>
  <c r="O221" i="74"/>
  <c r="N221" i="74"/>
  <c r="M221" i="74"/>
  <c r="L221" i="74"/>
  <c r="K221" i="74"/>
  <c r="J221" i="74"/>
  <c r="I221" i="74"/>
  <c r="H221" i="74"/>
  <c r="G221" i="74"/>
  <c r="D221" i="74"/>
  <c r="C221" i="74"/>
  <c r="S220" i="74"/>
  <c r="Q220" i="74"/>
  <c r="S219" i="74"/>
  <c r="Q219" i="74"/>
  <c r="S218" i="74"/>
  <c r="Q218" i="74"/>
  <c r="S217" i="74"/>
  <c r="Q217" i="74"/>
  <c r="S216" i="74"/>
  <c r="Q216" i="74"/>
  <c r="S215" i="74"/>
  <c r="Q215" i="74"/>
  <c r="S214" i="74"/>
  <c r="Q214" i="74"/>
  <c r="S213" i="74"/>
  <c r="Q213" i="74"/>
  <c r="S212" i="74"/>
  <c r="Q212" i="74"/>
  <c r="S211" i="74"/>
  <c r="Q211" i="74"/>
  <c r="S210" i="74"/>
  <c r="Q210" i="74"/>
  <c r="S209" i="74"/>
  <c r="S221" i="74" s="1"/>
  <c r="Q209" i="74"/>
  <c r="R200" i="74"/>
  <c r="O200" i="74"/>
  <c r="N200" i="74"/>
  <c r="M200" i="74"/>
  <c r="L200" i="74"/>
  <c r="K200" i="74"/>
  <c r="J200" i="74"/>
  <c r="I200" i="74"/>
  <c r="H200" i="74"/>
  <c r="G200" i="74"/>
  <c r="D200" i="74"/>
  <c r="C200" i="74"/>
  <c r="S199" i="74"/>
  <c r="Q199" i="74"/>
  <c r="S198" i="74"/>
  <c r="Q198" i="74"/>
  <c r="S197" i="74"/>
  <c r="Q197" i="74"/>
  <c r="S196" i="74"/>
  <c r="Q196" i="74"/>
  <c r="S195" i="74"/>
  <c r="Q195" i="74"/>
  <c r="S194" i="74"/>
  <c r="Q194" i="74"/>
  <c r="S193" i="74"/>
  <c r="Q193" i="74"/>
  <c r="S192" i="74"/>
  <c r="Q192" i="74"/>
  <c r="S191" i="74"/>
  <c r="Q191" i="74"/>
  <c r="S190" i="74"/>
  <c r="Q190" i="74"/>
  <c r="S189" i="74"/>
  <c r="Q189" i="74"/>
  <c r="S188" i="74"/>
  <c r="Q188" i="74"/>
  <c r="O182" i="74"/>
  <c r="N182" i="74"/>
  <c r="M182" i="74"/>
  <c r="L182" i="74"/>
  <c r="K182" i="74"/>
  <c r="J182" i="74"/>
  <c r="I182" i="74"/>
  <c r="H182" i="74"/>
  <c r="G182" i="74"/>
  <c r="D182" i="74"/>
  <c r="C182" i="74"/>
  <c r="S181" i="74"/>
  <c r="Q181" i="74"/>
  <c r="S180" i="74"/>
  <c r="Q180" i="74"/>
  <c r="S179" i="74"/>
  <c r="Q179" i="74"/>
  <c r="S178" i="74"/>
  <c r="Q178" i="74"/>
  <c r="S177" i="74"/>
  <c r="Q177" i="74"/>
  <c r="S176" i="74"/>
  <c r="Q176" i="74"/>
  <c r="S175" i="74"/>
  <c r="Q175" i="74"/>
  <c r="S174" i="74"/>
  <c r="Q174" i="74"/>
  <c r="S173" i="74"/>
  <c r="Q173" i="74"/>
  <c r="S172" i="74"/>
  <c r="Q172" i="74"/>
  <c r="S171" i="74"/>
  <c r="Q171" i="74"/>
  <c r="S170" i="74"/>
  <c r="Q170" i="74"/>
  <c r="Q182" i="74" s="1"/>
  <c r="R161" i="74"/>
  <c r="O161" i="74"/>
  <c r="N161" i="74"/>
  <c r="M161" i="74"/>
  <c r="L161" i="74"/>
  <c r="K161" i="74"/>
  <c r="J161" i="74"/>
  <c r="I161" i="74"/>
  <c r="H161" i="74"/>
  <c r="G161" i="74"/>
  <c r="D161" i="74"/>
  <c r="C161" i="74"/>
  <c r="S160" i="74"/>
  <c r="Q160" i="74"/>
  <c r="S159" i="74"/>
  <c r="Q159" i="74"/>
  <c r="S158" i="74"/>
  <c r="Q158" i="74"/>
  <c r="S157" i="74"/>
  <c r="Q157" i="74"/>
  <c r="S156" i="74"/>
  <c r="Q156" i="74"/>
  <c r="S155" i="74"/>
  <c r="Q155" i="74"/>
  <c r="S154" i="74"/>
  <c r="Q154" i="74"/>
  <c r="S153" i="74"/>
  <c r="Q153" i="74"/>
  <c r="S152" i="74"/>
  <c r="Q152" i="74"/>
  <c r="S151" i="74"/>
  <c r="Q151" i="74"/>
  <c r="S150" i="74"/>
  <c r="Q150" i="74"/>
  <c r="S149" i="74"/>
  <c r="Q149" i="74"/>
  <c r="A37" i="61" l="1"/>
  <c r="A38" i="61" s="1"/>
  <c r="A39" i="61" s="1"/>
  <c r="A40" i="61" s="1"/>
  <c r="A41" i="61" s="1"/>
  <c r="A42" i="61" s="1"/>
  <c r="A43" i="61" s="1"/>
  <c r="A44" i="61" s="1"/>
  <c r="A45" i="61" s="1"/>
  <c r="A46" i="61" s="1"/>
  <c r="A47" i="61" s="1"/>
  <c r="A48" i="61" s="1"/>
  <c r="A49" i="61" s="1"/>
  <c r="A50" i="61" s="1"/>
  <c r="A51" i="61" s="1"/>
  <c r="A52" i="61" s="1"/>
  <c r="S12" i="88"/>
  <c r="S29" i="88" s="1"/>
  <c r="J29" i="88"/>
  <c r="G38" i="88"/>
  <c r="G29" i="88"/>
  <c r="G29" i="87"/>
  <c r="G38" i="87"/>
  <c r="S182" i="74"/>
  <c r="Q200" i="74"/>
  <c r="Q221" i="74"/>
  <c r="S200" i="74"/>
  <c r="Q161" i="74"/>
  <c r="S161" i="74"/>
  <c r="L288" i="74"/>
  <c r="M288" i="74"/>
  <c r="G33" i="88" l="1"/>
  <c r="G35" i="88" s="1"/>
  <c r="S31" i="88"/>
  <c r="J33" i="88"/>
  <c r="J35" i="88" s="1"/>
  <c r="G33" i="87"/>
  <c r="G35" i="87" s="1"/>
  <c r="S35" i="88" l="1"/>
  <c r="S33" i="88"/>
  <c r="Z17" i="61" l="1"/>
  <c r="AC17" i="61" s="1"/>
  <c r="X134" i="74" l="1"/>
  <c r="X133" i="74"/>
  <c r="X132" i="74"/>
  <c r="X117" i="74"/>
  <c r="X116" i="74"/>
  <c r="X115" i="74"/>
  <c r="X100" i="74"/>
  <c r="X99" i="74"/>
  <c r="X98" i="74"/>
  <c r="X82" i="74"/>
  <c r="X81" i="74"/>
  <c r="X80" i="74"/>
  <c r="X65" i="74"/>
  <c r="X64" i="74"/>
  <c r="X63" i="74"/>
  <c r="X27" i="74"/>
  <c r="X26" i="74"/>
  <c r="X25" i="74"/>
  <c r="X9" i="74"/>
  <c r="X8" i="74"/>
  <c r="X7" i="74"/>
  <c r="N233" i="74"/>
  <c r="N234" i="74"/>
  <c r="N235" i="74"/>
  <c r="N236" i="74"/>
  <c r="N237" i="74"/>
  <c r="N238" i="74"/>
  <c r="N239" i="74"/>
  <c r="N240" i="74"/>
  <c r="N241" i="74"/>
  <c r="N242" i="74"/>
  <c r="N243" i="74"/>
  <c r="N232" i="74"/>
  <c r="X143" i="74"/>
  <c r="X142" i="74"/>
  <c r="X141" i="74"/>
  <c r="X140" i="74"/>
  <c r="X139" i="74"/>
  <c r="X138" i="74"/>
  <c r="X137" i="74"/>
  <c r="X136" i="74"/>
  <c r="X135" i="74"/>
  <c r="X126" i="74"/>
  <c r="X125" i="74"/>
  <c r="X124" i="74"/>
  <c r="X123" i="74"/>
  <c r="X122" i="74"/>
  <c r="X121" i="74"/>
  <c r="X120" i="74"/>
  <c r="X119" i="74"/>
  <c r="X118" i="74"/>
  <c r="X109" i="74"/>
  <c r="X108" i="74"/>
  <c r="X107" i="74"/>
  <c r="X106" i="74"/>
  <c r="X105" i="74"/>
  <c r="X104" i="74"/>
  <c r="X103" i="74"/>
  <c r="X102" i="74"/>
  <c r="X101" i="74"/>
  <c r="X91" i="74"/>
  <c r="X90" i="74"/>
  <c r="X89" i="74"/>
  <c r="X88" i="74"/>
  <c r="X87" i="74"/>
  <c r="X86" i="74"/>
  <c r="X85" i="74"/>
  <c r="X84" i="74"/>
  <c r="X83" i="74"/>
  <c r="X74" i="74"/>
  <c r="X73" i="74"/>
  <c r="X72" i="74"/>
  <c r="X71" i="74"/>
  <c r="X70" i="74"/>
  <c r="X69" i="74"/>
  <c r="X68" i="74"/>
  <c r="X67" i="74"/>
  <c r="X66" i="74"/>
  <c r="X36" i="74"/>
  <c r="X35" i="74"/>
  <c r="X34" i="74"/>
  <c r="X33" i="74"/>
  <c r="X32" i="74"/>
  <c r="X31" i="74"/>
  <c r="X30" i="74"/>
  <c r="X29" i="74"/>
  <c r="X28" i="74"/>
  <c r="X18" i="74"/>
  <c r="X17" i="74"/>
  <c r="X16" i="74"/>
  <c r="X15" i="74"/>
  <c r="X14" i="74"/>
  <c r="X13" i="74"/>
  <c r="X12" i="74"/>
  <c r="X11" i="74"/>
  <c r="X10" i="74"/>
  <c r="I236" i="74"/>
  <c r="I237" i="74"/>
  <c r="I238" i="74"/>
  <c r="I239" i="74"/>
  <c r="I240" i="74"/>
  <c r="I241" i="74"/>
  <c r="I242" i="74"/>
  <c r="I243" i="74"/>
  <c r="I235" i="74"/>
  <c r="I233" i="74"/>
  <c r="I234" i="74"/>
  <c r="I232" i="74"/>
  <c r="J233" i="74"/>
  <c r="J234" i="74"/>
  <c r="L234" i="74" s="1"/>
  <c r="J235" i="74"/>
  <c r="L235" i="74" s="1"/>
  <c r="J236" i="74"/>
  <c r="L236" i="74" s="1"/>
  <c r="J237" i="74"/>
  <c r="L237" i="74" s="1"/>
  <c r="J238" i="74"/>
  <c r="L238" i="74" s="1"/>
  <c r="J239" i="74"/>
  <c r="L239" i="74" s="1"/>
  <c r="J240" i="74"/>
  <c r="L240" i="74" s="1"/>
  <c r="J241" i="74"/>
  <c r="L241" i="74" s="1"/>
  <c r="J242" i="74"/>
  <c r="L242" i="74" s="1"/>
  <c r="J243" i="74"/>
  <c r="L243" i="74" s="1"/>
  <c r="J232" i="74"/>
  <c r="L232" i="74" s="1"/>
  <c r="Z32" i="74" l="1"/>
  <c r="I244" i="74"/>
  <c r="Z28" i="74"/>
  <c r="Z36" i="74"/>
  <c r="N244" i="74"/>
  <c r="X240" i="74"/>
  <c r="X242" i="74"/>
  <c r="Z34" i="74"/>
  <c r="Z29" i="74"/>
  <c r="J244" i="74"/>
  <c r="X238" i="74"/>
  <c r="Z25" i="74"/>
  <c r="X243" i="74"/>
  <c r="X241" i="74"/>
  <c r="L233" i="74"/>
  <c r="L244" i="74" s="1"/>
  <c r="Z33" i="74"/>
  <c r="X239" i="74"/>
  <c r="X236" i="74"/>
  <c r="X56" i="74"/>
  <c r="X235" i="74"/>
  <c r="X75" i="74"/>
  <c r="Z234" i="74" s="1"/>
  <c r="Z30" i="74"/>
  <c r="X237" i="74"/>
  <c r="X144" i="74"/>
  <c r="Z238" i="74" s="1"/>
  <c r="X127" i="74"/>
  <c r="Z237" i="74" s="1"/>
  <c r="X110" i="74"/>
  <c r="Z236" i="74" s="1"/>
  <c r="X92" i="74"/>
  <c r="Z235" i="74" s="1"/>
  <c r="X232" i="74"/>
  <c r="X233" i="74"/>
  <c r="X234" i="74"/>
  <c r="Z26" i="74"/>
  <c r="Z35" i="74"/>
  <c r="Z31" i="74"/>
  <c r="Z27" i="74"/>
  <c r="X19" i="74"/>
  <c r="AE245" i="74" s="1"/>
  <c r="X37" i="74"/>
  <c r="Z239" i="74" l="1"/>
  <c r="Z233" i="74"/>
  <c r="AE246" i="74"/>
  <c r="Z37" i="74"/>
  <c r="Z232" i="74" s="1"/>
  <c r="X244" i="74"/>
  <c r="Z240" i="74" l="1"/>
  <c r="Z241" i="74" s="1"/>
  <c r="G24" i="43"/>
  <c r="O26" i="43"/>
  <c r="O27" i="43"/>
  <c r="V233" i="74"/>
  <c r="V234" i="74"/>
  <c r="V235" i="74"/>
  <c r="V236" i="74"/>
  <c r="V237" i="74"/>
  <c r="V238" i="74"/>
  <c r="V239" i="74"/>
  <c r="V240" i="74"/>
  <c r="V241" i="74"/>
  <c r="V242" i="74"/>
  <c r="V243" i="74"/>
  <c r="V232" i="74"/>
  <c r="I12" i="43" l="1"/>
  <c r="I14" i="43"/>
  <c r="I16" i="43"/>
  <c r="I17" i="43"/>
  <c r="I19" i="43"/>
  <c r="I18" i="43"/>
  <c r="I20" i="43"/>
  <c r="I21" i="43"/>
  <c r="I22" i="43"/>
  <c r="I23" i="43"/>
  <c r="L12" i="43"/>
  <c r="L14" i="43"/>
  <c r="L16" i="43"/>
  <c r="L17" i="43"/>
  <c r="L19" i="43"/>
  <c r="L18" i="43"/>
  <c r="L20" i="43"/>
  <c r="L21" i="43"/>
  <c r="L22" i="43"/>
  <c r="L23" i="43"/>
  <c r="P14" i="43"/>
  <c r="I53" i="89" s="1"/>
  <c r="J53" i="89" s="1"/>
  <c r="P16" i="43"/>
  <c r="I54" i="89" s="1"/>
  <c r="J54" i="89" s="1"/>
  <c r="P17" i="43"/>
  <c r="I55" i="89" s="1"/>
  <c r="J55" i="89" s="1"/>
  <c r="P19" i="43"/>
  <c r="I56" i="89" s="1"/>
  <c r="J56" i="89" s="1"/>
  <c r="P18" i="43"/>
  <c r="P20" i="43"/>
  <c r="P21" i="43"/>
  <c r="I57" i="89" s="1"/>
  <c r="J57" i="89" s="1"/>
  <c r="P22" i="43"/>
  <c r="I58" i="89" s="1"/>
  <c r="J58" i="89" s="1"/>
  <c r="P23" i="43"/>
  <c r="P12" i="43"/>
  <c r="G52" i="89" s="1"/>
  <c r="I52" i="89" s="1"/>
  <c r="J52" i="89" s="1"/>
  <c r="O12" i="43"/>
  <c r="S17" i="87"/>
  <c r="I25" i="61"/>
  <c r="G32" i="89" s="1"/>
  <c r="I32" i="89" s="1"/>
  <c r="J32" i="89" s="1"/>
  <c r="G23" i="89"/>
  <c r="I23" i="89" s="1"/>
  <c r="J23" i="89" s="1"/>
  <c r="G22" i="89"/>
  <c r="I12" i="61"/>
  <c r="G15" i="89" s="1"/>
  <c r="I15" i="89" s="1"/>
  <c r="J15" i="89" s="1"/>
  <c r="O24" i="43" l="1"/>
  <c r="R23" i="43"/>
  <c r="R18" i="43"/>
  <c r="R14" i="43"/>
  <c r="R21" i="43"/>
  <c r="R17" i="43"/>
  <c r="R22" i="43"/>
  <c r="R19" i="43"/>
  <c r="R12" i="43"/>
  <c r="R20" i="43"/>
  <c r="R16" i="43"/>
  <c r="L24" i="43"/>
  <c r="I24" i="43"/>
  <c r="V143" i="74"/>
  <c r="V142" i="74"/>
  <c r="V141" i="74"/>
  <c r="V140" i="74"/>
  <c r="V139" i="74"/>
  <c r="V138" i="74"/>
  <c r="V137" i="74"/>
  <c r="V136" i="74"/>
  <c r="V135" i="74"/>
  <c r="V134" i="74"/>
  <c r="V133" i="74"/>
  <c r="V132" i="74"/>
  <c r="V81" i="74"/>
  <c r="V82" i="74"/>
  <c r="V83" i="74"/>
  <c r="V84" i="74"/>
  <c r="V85" i="74"/>
  <c r="V86" i="74"/>
  <c r="V87" i="74"/>
  <c r="V88" i="74"/>
  <c r="V89" i="74"/>
  <c r="V90" i="74"/>
  <c r="V91" i="74"/>
  <c r="V80" i="74"/>
  <c r="V92" i="74" l="1"/>
  <c r="V144" i="74"/>
  <c r="R24" i="43"/>
  <c r="U243" i="74"/>
  <c r="T243" i="74"/>
  <c r="U242" i="74"/>
  <c r="T242" i="74"/>
  <c r="U241" i="74"/>
  <c r="T241" i="74"/>
  <c r="U240" i="74"/>
  <c r="T240" i="74"/>
  <c r="U239" i="74"/>
  <c r="T239" i="74"/>
  <c r="U238" i="74"/>
  <c r="T238" i="74"/>
  <c r="U237" i="74"/>
  <c r="T237" i="74"/>
  <c r="U236" i="74"/>
  <c r="T236" i="74"/>
  <c r="U235" i="74"/>
  <c r="T235" i="74"/>
  <c r="U234" i="74"/>
  <c r="T234" i="74"/>
  <c r="U233" i="74"/>
  <c r="T233" i="74"/>
  <c r="U232" i="74"/>
  <c r="T232" i="74"/>
  <c r="U143" i="74"/>
  <c r="T143" i="74"/>
  <c r="U142" i="74"/>
  <c r="T142" i="74"/>
  <c r="U141" i="74"/>
  <c r="T141" i="74"/>
  <c r="U140" i="74"/>
  <c r="T140" i="74"/>
  <c r="U139" i="74"/>
  <c r="T139" i="74"/>
  <c r="U138" i="74"/>
  <c r="T138" i="74"/>
  <c r="U137" i="74"/>
  <c r="T137" i="74"/>
  <c r="U136" i="74"/>
  <c r="T136" i="74"/>
  <c r="U135" i="74"/>
  <c r="T135" i="74"/>
  <c r="U134" i="74"/>
  <c r="T134" i="74"/>
  <c r="U133" i="74"/>
  <c r="T133" i="74"/>
  <c r="U132" i="74"/>
  <c r="T132" i="74"/>
  <c r="U126" i="74"/>
  <c r="T126" i="74"/>
  <c r="U125" i="74"/>
  <c r="T125" i="74"/>
  <c r="U124" i="74"/>
  <c r="T124" i="74"/>
  <c r="U123" i="74"/>
  <c r="T123" i="74"/>
  <c r="U122" i="74"/>
  <c r="T122" i="74"/>
  <c r="U121" i="74"/>
  <c r="T121" i="74"/>
  <c r="U120" i="74"/>
  <c r="T120" i="74"/>
  <c r="U119" i="74"/>
  <c r="T119" i="74"/>
  <c r="U118" i="74"/>
  <c r="T118" i="74"/>
  <c r="U117" i="74"/>
  <c r="T117" i="74"/>
  <c r="U116" i="74"/>
  <c r="T116" i="74"/>
  <c r="U115" i="74"/>
  <c r="T115" i="74"/>
  <c r="U109" i="74"/>
  <c r="T109" i="74"/>
  <c r="U108" i="74"/>
  <c r="T108" i="74"/>
  <c r="U107" i="74"/>
  <c r="T107" i="74"/>
  <c r="U106" i="74"/>
  <c r="T106" i="74"/>
  <c r="U105" i="74"/>
  <c r="T105" i="74"/>
  <c r="U104" i="74"/>
  <c r="T104" i="74"/>
  <c r="U103" i="74"/>
  <c r="T103" i="74"/>
  <c r="U102" i="74"/>
  <c r="T102" i="74"/>
  <c r="U101" i="74"/>
  <c r="T101" i="74"/>
  <c r="U100" i="74"/>
  <c r="T100" i="74"/>
  <c r="U99" i="74"/>
  <c r="T99" i="74"/>
  <c r="U98" i="74"/>
  <c r="T98" i="74"/>
  <c r="T81" i="74"/>
  <c r="U81" i="74"/>
  <c r="T82" i="74"/>
  <c r="U82" i="74"/>
  <c r="T83" i="74"/>
  <c r="U83" i="74"/>
  <c r="T84" i="74"/>
  <c r="U84" i="74"/>
  <c r="T85" i="74"/>
  <c r="U85" i="74"/>
  <c r="T86" i="74"/>
  <c r="U86" i="74"/>
  <c r="T87" i="74"/>
  <c r="U87" i="74"/>
  <c r="T88" i="74"/>
  <c r="U88" i="74"/>
  <c r="T89" i="74"/>
  <c r="U89" i="74"/>
  <c r="T90" i="74"/>
  <c r="U90" i="74"/>
  <c r="T91" i="74"/>
  <c r="U91" i="74"/>
  <c r="U80" i="74"/>
  <c r="T80" i="74"/>
  <c r="T64" i="74"/>
  <c r="U64" i="74"/>
  <c r="T65" i="74"/>
  <c r="U65" i="74"/>
  <c r="T66" i="74"/>
  <c r="U66" i="74"/>
  <c r="T67" i="74"/>
  <c r="U67" i="74"/>
  <c r="T68" i="74"/>
  <c r="U68" i="74"/>
  <c r="T69" i="74"/>
  <c r="U69" i="74"/>
  <c r="T70" i="74"/>
  <c r="U70" i="74"/>
  <c r="T71" i="74"/>
  <c r="U71" i="74"/>
  <c r="T72" i="74"/>
  <c r="U72" i="74"/>
  <c r="T73" i="74"/>
  <c r="U73" i="74"/>
  <c r="T74" i="74"/>
  <c r="U74" i="74"/>
  <c r="U63" i="74"/>
  <c r="T63" i="74"/>
  <c r="T45" i="74"/>
  <c r="U45" i="74"/>
  <c r="T46" i="74"/>
  <c r="U46" i="74"/>
  <c r="T47" i="74"/>
  <c r="U47" i="74"/>
  <c r="T48" i="74"/>
  <c r="U48" i="74"/>
  <c r="T49" i="74"/>
  <c r="U49" i="74"/>
  <c r="T50" i="74"/>
  <c r="U50" i="74"/>
  <c r="T51" i="74"/>
  <c r="U51" i="74"/>
  <c r="T52" i="74"/>
  <c r="U52" i="74"/>
  <c r="T53" i="74"/>
  <c r="U53" i="74"/>
  <c r="T54" i="74"/>
  <c r="U54" i="74"/>
  <c r="T55" i="74"/>
  <c r="U55" i="74"/>
  <c r="U44" i="74"/>
  <c r="T44" i="74"/>
  <c r="T8" i="74" l="1"/>
  <c r="U8" i="74"/>
  <c r="T9" i="74"/>
  <c r="U9" i="74"/>
  <c r="T10" i="74"/>
  <c r="U10" i="74"/>
  <c r="T11" i="74"/>
  <c r="U11" i="74"/>
  <c r="T12" i="74"/>
  <c r="U12" i="74"/>
  <c r="T13" i="74"/>
  <c r="U13" i="74"/>
  <c r="T14" i="74"/>
  <c r="U14" i="74"/>
  <c r="T15" i="74"/>
  <c r="U15" i="74"/>
  <c r="T16" i="74"/>
  <c r="U16" i="74"/>
  <c r="T17" i="74"/>
  <c r="U17" i="74"/>
  <c r="T18" i="74"/>
  <c r="U18" i="74"/>
  <c r="T7" i="74"/>
  <c r="U7" i="74"/>
  <c r="S81" i="74" l="1"/>
  <c r="S82" i="74"/>
  <c r="S83" i="74"/>
  <c r="S84" i="74"/>
  <c r="S85" i="74"/>
  <c r="S86" i="74"/>
  <c r="S87" i="74"/>
  <c r="S88" i="74"/>
  <c r="S89" i="74"/>
  <c r="S90" i="74"/>
  <c r="S91" i="74"/>
  <c r="S80" i="74"/>
  <c r="O26" i="86"/>
  <c r="N20" i="85"/>
  <c r="O24" i="84"/>
  <c r="O27" i="83"/>
  <c r="O23" i="82"/>
  <c r="N23" i="81"/>
  <c r="G23" i="81"/>
  <c r="O21" i="80"/>
  <c r="G21" i="80"/>
  <c r="K21" i="80" s="1"/>
  <c r="T21" i="80" s="1"/>
  <c r="J23" i="81" l="1"/>
  <c r="S23" i="81" s="1"/>
  <c r="E24" i="43"/>
  <c r="C14" i="13" s="1"/>
  <c r="G92" i="74" l="1"/>
  <c r="D18" i="84"/>
  <c r="W255" i="74"/>
  <c r="X255" i="74"/>
  <c r="W256" i="74"/>
  <c r="X256" i="74"/>
  <c r="W257" i="74"/>
  <c r="X257" i="74"/>
  <c r="W258" i="74"/>
  <c r="X258" i="74"/>
  <c r="W259" i="74"/>
  <c r="X259" i="74"/>
  <c r="W260" i="74"/>
  <c r="X260" i="74"/>
  <c r="W261" i="74"/>
  <c r="X261" i="74"/>
  <c r="W262" i="74"/>
  <c r="X262" i="74"/>
  <c r="W263" i="74"/>
  <c r="X263" i="74"/>
  <c r="W264" i="74"/>
  <c r="X264" i="74"/>
  <c r="W265" i="74"/>
  <c r="X265" i="74"/>
  <c r="W266" i="74"/>
  <c r="X266" i="74"/>
  <c r="V267" i="74"/>
  <c r="A3" i="43"/>
  <c r="A2" i="43"/>
  <c r="A3" i="86"/>
  <c r="A2" i="86"/>
  <c r="A3" i="85"/>
  <c r="A2" i="85"/>
  <c r="A3" i="84"/>
  <c r="A2" i="84"/>
  <c r="A3" i="83"/>
  <c r="A2" i="83"/>
  <c r="A3" i="82"/>
  <c r="A2" i="82"/>
  <c r="A3" i="81"/>
  <c r="A2" i="81"/>
  <c r="A3" i="80"/>
  <c r="A2" i="80"/>
  <c r="U267" i="74"/>
  <c r="T267" i="74"/>
  <c r="S267" i="74"/>
  <c r="R267" i="74"/>
  <c r="Q267" i="74"/>
  <c r="P267" i="74"/>
  <c r="O267" i="74"/>
  <c r="N267" i="74"/>
  <c r="M267" i="74"/>
  <c r="L267" i="74"/>
  <c r="K267" i="74"/>
  <c r="J267" i="74"/>
  <c r="I267" i="74"/>
  <c r="H267" i="74"/>
  <c r="G267" i="74"/>
  <c r="F267" i="74"/>
  <c r="E267" i="74"/>
  <c r="D267" i="74"/>
  <c r="C267" i="74"/>
  <c r="G244" i="74"/>
  <c r="I27" i="43" s="1"/>
  <c r="F244" i="74"/>
  <c r="I26" i="43" s="1"/>
  <c r="L26" i="43" s="1"/>
  <c r="R26" i="43" s="1"/>
  <c r="E244" i="74"/>
  <c r="V244" i="74" s="1"/>
  <c r="D244" i="74"/>
  <c r="U244" i="74" s="1"/>
  <c r="C244" i="74"/>
  <c r="T244" i="74" s="1"/>
  <c r="Q144" i="74"/>
  <c r="P144" i="74"/>
  <c r="O144" i="74"/>
  <c r="N144" i="74"/>
  <c r="G25" i="86" s="1"/>
  <c r="L144" i="74"/>
  <c r="G24" i="86" s="1"/>
  <c r="K144" i="74"/>
  <c r="G26" i="86" s="1"/>
  <c r="J144" i="74"/>
  <c r="I144" i="74"/>
  <c r="D144" i="74"/>
  <c r="C144" i="74"/>
  <c r="Q127" i="74"/>
  <c r="P127" i="74"/>
  <c r="O127" i="74"/>
  <c r="N127" i="74"/>
  <c r="G19" i="85" s="1"/>
  <c r="L127" i="74"/>
  <c r="G18" i="85" s="1"/>
  <c r="K127" i="74"/>
  <c r="G20" i="85" s="1"/>
  <c r="J20" i="85" s="1"/>
  <c r="S20" i="85" s="1"/>
  <c r="J127" i="74"/>
  <c r="G127" i="74"/>
  <c r="D127" i="74"/>
  <c r="U127" i="74" s="1"/>
  <c r="C127" i="74"/>
  <c r="Q110" i="74"/>
  <c r="P110" i="74"/>
  <c r="O110" i="74"/>
  <c r="N110" i="74"/>
  <c r="G23" i="84" s="1"/>
  <c r="L110" i="74"/>
  <c r="G22" i="84" s="1"/>
  <c r="K110" i="74"/>
  <c r="G24" i="84" s="1"/>
  <c r="J110" i="74"/>
  <c r="I110" i="74"/>
  <c r="F110" i="74"/>
  <c r="D17" i="84" s="1"/>
  <c r="Q17" i="84" s="1"/>
  <c r="I17" i="84" s="1"/>
  <c r="E110" i="74"/>
  <c r="D16" i="84" s="1"/>
  <c r="D110" i="74"/>
  <c r="U110" i="74" s="1"/>
  <c r="C110" i="74"/>
  <c r="Q92" i="74"/>
  <c r="P92" i="74"/>
  <c r="O92" i="74"/>
  <c r="N92" i="74"/>
  <c r="G26" i="83" s="1"/>
  <c r="L92" i="74"/>
  <c r="G25" i="83" s="1"/>
  <c r="K92" i="74"/>
  <c r="G27" i="83" s="1"/>
  <c r="J92" i="74"/>
  <c r="I92" i="74"/>
  <c r="F92" i="74"/>
  <c r="D17" i="83" s="1"/>
  <c r="Q17" i="83" s="1"/>
  <c r="I17" i="83" s="1"/>
  <c r="E92" i="74"/>
  <c r="D16" i="83" s="1"/>
  <c r="D92" i="74"/>
  <c r="U92" i="74" s="1"/>
  <c r="C92" i="74"/>
  <c r="Q75" i="74"/>
  <c r="P75" i="74"/>
  <c r="O75" i="74"/>
  <c r="N75" i="74"/>
  <c r="G22" i="82" s="1"/>
  <c r="L75" i="74"/>
  <c r="G21" i="82" s="1"/>
  <c r="K75" i="74"/>
  <c r="G23" i="82" s="1"/>
  <c r="J75" i="74"/>
  <c r="G75" i="74"/>
  <c r="G28" i="82" s="1"/>
  <c r="F75" i="74"/>
  <c r="D17" i="82" s="1"/>
  <c r="Q17" i="82" s="1"/>
  <c r="I17" i="82" s="1"/>
  <c r="E75" i="74"/>
  <c r="D16" i="82" s="1"/>
  <c r="Q16" i="82" s="1"/>
  <c r="I16" i="82" s="1"/>
  <c r="D75" i="74"/>
  <c r="U75" i="74" s="1"/>
  <c r="C75" i="74"/>
  <c r="Q56" i="74"/>
  <c r="P56" i="74"/>
  <c r="O56" i="74"/>
  <c r="N56" i="74"/>
  <c r="G22" i="81" s="1"/>
  <c r="M56" i="74"/>
  <c r="L56" i="74"/>
  <c r="J56" i="74"/>
  <c r="F56" i="74"/>
  <c r="E56" i="74"/>
  <c r="D17" i="81" s="1"/>
  <c r="D56" i="74"/>
  <c r="C56" i="74"/>
  <c r="T56" i="74" s="1"/>
  <c r="T57" i="74" s="1"/>
  <c r="AC246" i="74" s="1"/>
  <c r="Q37" i="74"/>
  <c r="P37" i="74"/>
  <c r="O37" i="74"/>
  <c r="N37" i="74"/>
  <c r="L37" i="74"/>
  <c r="J37" i="74"/>
  <c r="G37" i="74"/>
  <c r="D37" i="74"/>
  <c r="C37" i="74"/>
  <c r="D12" i="80" s="1"/>
  <c r="I12" i="80" s="1"/>
  <c r="Q19" i="74"/>
  <c r="P19" i="74"/>
  <c r="O19" i="74"/>
  <c r="N19" i="74"/>
  <c r="G20" i="80" s="1"/>
  <c r="L19" i="74"/>
  <c r="J19" i="74"/>
  <c r="G19" i="74"/>
  <c r="D19" i="74"/>
  <c r="C19" i="74"/>
  <c r="R17" i="86"/>
  <c r="J17" i="86"/>
  <c r="E21" i="86"/>
  <c r="D21" i="86" s="1"/>
  <c r="E17" i="86"/>
  <c r="E12" i="86"/>
  <c r="A1" i="86"/>
  <c r="Q15" i="85"/>
  <c r="I15" i="85"/>
  <c r="E15" i="85"/>
  <c r="E11" i="85"/>
  <c r="A1" i="85"/>
  <c r="R17" i="84"/>
  <c r="R18" i="84"/>
  <c r="R16" i="84"/>
  <c r="J17" i="84"/>
  <c r="J18" i="84"/>
  <c r="J16" i="84"/>
  <c r="E18" i="84"/>
  <c r="E17" i="84"/>
  <c r="E16" i="84"/>
  <c r="E12" i="84"/>
  <c r="A1" i="84"/>
  <c r="R17" i="83"/>
  <c r="R16" i="83"/>
  <c r="J17" i="83"/>
  <c r="K17" i="83" s="1"/>
  <c r="J16" i="83"/>
  <c r="E22" i="83"/>
  <c r="E17" i="83"/>
  <c r="E16" i="83"/>
  <c r="E12" i="83"/>
  <c r="A1" i="83"/>
  <c r="R17" i="82"/>
  <c r="R16" i="82"/>
  <c r="J17" i="82"/>
  <c r="J16" i="82"/>
  <c r="K16" i="82" s="1"/>
  <c r="E17" i="82"/>
  <c r="E16" i="82"/>
  <c r="E12" i="82"/>
  <c r="A1" i="82"/>
  <c r="Q17" i="81"/>
  <c r="Q16" i="81"/>
  <c r="I17" i="81"/>
  <c r="I16" i="81"/>
  <c r="E17" i="81"/>
  <c r="E16" i="81"/>
  <c r="E12" i="81"/>
  <c r="A1" i="81"/>
  <c r="J16" i="80"/>
  <c r="K16" i="80" s="1"/>
  <c r="E16" i="80"/>
  <c r="E11" i="80"/>
  <c r="E12" i="80" s="1"/>
  <c r="A1" i="80"/>
  <c r="I19" i="61"/>
  <c r="K17" i="84" l="1"/>
  <c r="K17" i="82"/>
  <c r="R22" i="83"/>
  <c r="G24" i="89"/>
  <c r="I24" i="89" s="1"/>
  <c r="J24" i="89" s="1"/>
  <c r="J28" i="61"/>
  <c r="J21" i="87"/>
  <c r="D18" i="82"/>
  <c r="K21" i="82" s="1"/>
  <c r="T21" i="82" s="1"/>
  <c r="G21" i="81"/>
  <c r="I32" i="43"/>
  <c r="D14" i="13" s="1"/>
  <c r="J22" i="83"/>
  <c r="C11" i="13"/>
  <c r="D19" i="84"/>
  <c r="E19" i="84" s="1"/>
  <c r="D11" i="80"/>
  <c r="Q11" i="80" s="1"/>
  <c r="I11" i="80" s="1"/>
  <c r="T19" i="74"/>
  <c r="T20" i="74" s="1"/>
  <c r="AC245" i="74" s="1"/>
  <c r="D15" i="85"/>
  <c r="J18" i="85" s="1"/>
  <c r="S18" i="85" s="1"/>
  <c r="D12" i="83"/>
  <c r="Q12" i="83" s="1"/>
  <c r="I12" i="83" s="1"/>
  <c r="T92" i="74"/>
  <c r="T93" i="74" s="1"/>
  <c r="D11" i="85"/>
  <c r="T127" i="74"/>
  <c r="T128" i="74" s="1"/>
  <c r="D17" i="86"/>
  <c r="Q17" i="86" s="1"/>
  <c r="I17" i="86" s="1"/>
  <c r="U144" i="74"/>
  <c r="G26" i="80"/>
  <c r="D7" i="13" s="1"/>
  <c r="D12" i="82"/>
  <c r="T75" i="74"/>
  <c r="T76" i="74" s="1"/>
  <c r="D12" i="84"/>
  <c r="Q12" i="84" s="1"/>
  <c r="I12" i="84" s="1"/>
  <c r="T110" i="74"/>
  <c r="T111" i="74" s="1"/>
  <c r="C7" i="13"/>
  <c r="U19" i="74"/>
  <c r="AD245" i="74" s="1"/>
  <c r="D16" i="81"/>
  <c r="U56" i="74"/>
  <c r="AD246" i="74" s="1"/>
  <c r="G25" i="85"/>
  <c r="D12" i="13" s="1"/>
  <c r="D12" i="86"/>
  <c r="Q12" i="86" s="1"/>
  <c r="I12" i="86" s="1"/>
  <c r="T144" i="74"/>
  <c r="T145" i="74" s="1"/>
  <c r="P228" i="74"/>
  <c r="G32" i="83"/>
  <c r="D10" i="13" s="1"/>
  <c r="I30" i="43"/>
  <c r="C10" i="13"/>
  <c r="D18" i="83"/>
  <c r="E18" i="83" s="1"/>
  <c r="E18" i="82"/>
  <c r="J21" i="86"/>
  <c r="L27" i="43"/>
  <c r="R27" i="43" s="1"/>
  <c r="K24" i="84"/>
  <c r="T24" i="84" s="1"/>
  <c r="X267" i="74"/>
  <c r="D22" i="83"/>
  <c r="Q22" i="83" s="1"/>
  <c r="K26" i="86"/>
  <c r="T26" i="86" s="1"/>
  <c r="K27" i="83"/>
  <c r="T27" i="83" s="1"/>
  <c r="K23" i="82"/>
  <c r="T23" i="82" s="1"/>
  <c r="C9" i="13"/>
  <c r="D9" i="13"/>
  <c r="G19" i="80"/>
  <c r="G144" i="74"/>
  <c r="H110" i="74"/>
  <c r="G29" i="84" s="1"/>
  <c r="G56" i="74"/>
  <c r="G28" i="81" s="1"/>
  <c r="W267" i="74"/>
  <c r="D12" i="81"/>
  <c r="J17" i="61"/>
  <c r="J19" i="61"/>
  <c r="J11" i="61"/>
  <c r="J21" i="61"/>
  <c r="J22" i="61"/>
  <c r="J14" i="61"/>
  <c r="D19" i="82" l="1"/>
  <c r="E82" i="89" s="1"/>
  <c r="Q12" i="82"/>
  <c r="I12" i="82" s="1"/>
  <c r="T22" i="83"/>
  <c r="I22" i="83"/>
  <c r="K22" i="83" s="1"/>
  <c r="K24" i="86"/>
  <c r="T24" i="86" s="1"/>
  <c r="K22" i="84"/>
  <c r="T22" i="84" s="1"/>
  <c r="K25" i="83"/>
  <c r="T25" i="83" s="1"/>
  <c r="K19" i="80"/>
  <c r="T19" i="80" s="1"/>
  <c r="F7" i="79"/>
  <c r="R21" i="86"/>
  <c r="S21" i="87"/>
  <c r="C39" i="79"/>
  <c r="D20" i="84"/>
  <c r="E84" i="89" s="1"/>
  <c r="C13" i="13"/>
  <c r="D18" i="86"/>
  <c r="E86" i="89" s="1"/>
  <c r="R30" i="43"/>
  <c r="D19" i="83"/>
  <c r="E83" i="89" s="1"/>
  <c r="C8" i="13"/>
  <c r="D18" i="81"/>
  <c r="J21" i="81" s="1"/>
  <c r="S21" i="81" s="1"/>
  <c r="C12" i="13"/>
  <c r="D16" i="85"/>
  <c r="E85" i="89" s="1"/>
  <c r="D17" i="80"/>
  <c r="E80" i="89" s="1"/>
  <c r="L30" i="43"/>
  <c r="G22" i="83"/>
  <c r="L29" i="61"/>
  <c r="E14" i="13"/>
  <c r="D13" i="13"/>
  <c r="D11" i="13"/>
  <c r="D8" i="13"/>
  <c r="C9" i="79"/>
  <c r="C10" i="79" s="1"/>
  <c r="C11" i="79" s="1"/>
  <c r="C12" i="79" s="1"/>
  <c r="C13" i="79" s="1"/>
  <c r="C14" i="79" s="1"/>
  <c r="C15" i="79" s="1"/>
  <c r="C16" i="79" s="1"/>
  <c r="C17" i="79" s="1"/>
  <c r="C18" i="79" s="1"/>
  <c r="C19" i="79" s="1"/>
  <c r="C20" i="79" s="1"/>
  <c r="C21" i="79" s="1"/>
  <c r="C22" i="79" s="1"/>
  <c r="C23" i="79" s="1"/>
  <c r="C24" i="79" s="1"/>
  <c r="C25" i="79" s="1"/>
  <c r="C26" i="79" s="1"/>
  <c r="C27" i="79" s="1"/>
  <c r="C28" i="79" s="1"/>
  <c r="C29" i="79" s="1"/>
  <c r="C30" i="79" s="1"/>
  <c r="C31" i="79" s="1"/>
  <c r="C32" i="79" s="1"/>
  <c r="C33" i="79" s="1"/>
  <c r="C34" i="79" s="1"/>
  <c r="C35" i="79" s="1"/>
  <c r="C36" i="79" s="1"/>
  <c r="C37" i="79" s="1"/>
  <c r="C38" i="79" s="1"/>
  <c r="F9" i="79" l="1"/>
  <c r="F23" i="79"/>
  <c r="F30" i="79"/>
  <c r="F31" i="79"/>
  <c r="F34" i="79"/>
  <c r="F14" i="79"/>
  <c r="F26" i="79"/>
  <c r="F37" i="79"/>
  <c r="F36" i="79"/>
  <c r="F18" i="79"/>
  <c r="F22" i="79"/>
  <c r="F15" i="79"/>
  <c r="F8" i="79"/>
  <c r="F29" i="79"/>
  <c r="F28" i="79"/>
  <c r="F35" i="79"/>
  <c r="F10" i="79"/>
  <c r="F12" i="79"/>
  <c r="F19" i="79"/>
  <c r="F32" i="79"/>
  <c r="F11" i="79"/>
  <c r="J7" i="79"/>
  <c r="F21" i="79"/>
  <c r="F20" i="79"/>
  <c r="F27" i="79"/>
  <c r="F33" i="79"/>
  <c r="F13" i="79"/>
  <c r="F25" i="79"/>
  <c r="F16" i="79"/>
  <c r="F17" i="79"/>
  <c r="F38" i="79"/>
  <c r="F24" i="79"/>
  <c r="D19" i="81"/>
  <c r="E81" i="89" s="1"/>
  <c r="E18" i="81"/>
  <c r="N29" i="61"/>
  <c r="R32" i="43"/>
  <c r="M29" i="61"/>
  <c r="J10" i="79" l="1"/>
  <c r="J33" i="79"/>
  <c r="J13" i="79"/>
  <c r="J22" i="79"/>
  <c r="J20" i="79"/>
  <c r="J38" i="79"/>
  <c r="J9" i="79"/>
  <c r="J32" i="79"/>
  <c r="J18" i="79"/>
  <c r="J12" i="79"/>
  <c r="J21" i="79"/>
  <c r="J30" i="79"/>
  <c r="J26" i="79"/>
  <c r="J29" i="79"/>
  <c r="J31" i="79"/>
  <c r="J16" i="79"/>
  <c r="J25" i="79"/>
  <c r="J14" i="79"/>
  <c r="J34" i="79"/>
  <c r="J28" i="79"/>
  <c r="J37" i="79"/>
  <c r="J15" i="79"/>
  <c r="J11" i="79"/>
  <c r="J23" i="79"/>
  <c r="J19" i="79"/>
  <c r="J27" i="79"/>
  <c r="J17" i="79"/>
  <c r="J36" i="79"/>
  <c r="J8" i="79"/>
  <c r="J24" i="79"/>
  <c r="J35" i="79"/>
  <c r="R36" i="43"/>
  <c r="Q29" i="61" s="1"/>
  <c r="F87" i="89" s="1"/>
  <c r="R34" i="43"/>
  <c r="P29" i="61" s="1"/>
  <c r="G73" i="89" s="1"/>
  <c r="G87" i="89" s="1"/>
  <c r="O29" i="61"/>
  <c r="K25" i="86"/>
  <c r="T25" i="86" s="1"/>
  <c r="K21" i="86"/>
  <c r="Q21" i="86"/>
  <c r="G21" i="86"/>
  <c r="G17" i="86"/>
  <c r="K17" i="86"/>
  <c r="T17" i="86"/>
  <c r="G12" i="86"/>
  <c r="Q12" i="80"/>
  <c r="G12" i="80"/>
  <c r="T21" i="86" l="1"/>
  <c r="I21" i="86"/>
  <c r="Z15" i="61"/>
  <c r="AC15" i="61" s="1"/>
  <c r="F73" i="89"/>
  <c r="G38" i="86"/>
  <c r="J22" i="81"/>
  <c r="S22" i="81" s="1"/>
  <c r="K20" i="80"/>
  <c r="T20" i="80" s="1"/>
  <c r="K22" i="82"/>
  <c r="T22" i="82" s="1"/>
  <c r="K23" i="84"/>
  <c r="T23" i="84" s="1"/>
  <c r="K26" i="83"/>
  <c r="T26" i="83" s="1"/>
  <c r="J19" i="85"/>
  <c r="S19" i="85" s="1"/>
  <c r="Q18" i="84"/>
  <c r="G18" i="84"/>
  <c r="G29" i="86"/>
  <c r="T17" i="83"/>
  <c r="G17" i="83"/>
  <c r="P17" i="81"/>
  <c r="S17" i="81" s="1"/>
  <c r="J17" i="81"/>
  <c r="G17" i="81"/>
  <c r="G17" i="82"/>
  <c r="T17" i="82"/>
  <c r="G12" i="82"/>
  <c r="P11" i="85"/>
  <c r="G11" i="85"/>
  <c r="G12" i="83"/>
  <c r="G12" i="84"/>
  <c r="P12" i="81"/>
  <c r="G12" i="81"/>
  <c r="G11" i="80"/>
  <c r="T18" i="84" l="1"/>
  <c r="I18" i="84"/>
  <c r="K18" i="84" s="1"/>
  <c r="E13" i="13"/>
  <c r="T17" i="84"/>
  <c r="G17" i="84"/>
  <c r="Q16" i="83"/>
  <c r="G16" i="83"/>
  <c r="G30" i="83" s="1"/>
  <c r="E10" i="13" s="1"/>
  <c r="G15" i="85"/>
  <c r="G32" i="85" s="1"/>
  <c r="J15" i="85"/>
  <c r="P15" i="85"/>
  <c r="S15" i="85" s="1"/>
  <c r="L26" i="61"/>
  <c r="G16" i="82"/>
  <c r="G26" i="82" s="1"/>
  <c r="E9" i="13" s="1"/>
  <c r="T16" i="82"/>
  <c r="G33" i="86"/>
  <c r="G35" i="86" s="1"/>
  <c r="G16" i="84"/>
  <c r="Q16" i="84"/>
  <c r="P16" i="81"/>
  <c r="S16" i="81" s="1"/>
  <c r="G16" i="81"/>
  <c r="G26" i="81" s="1"/>
  <c r="E8" i="13" s="1"/>
  <c r="J16" i="81"/>
  <c r="G16" i="80"/>
  <c r="G24" i="80" s="1"/>
  <c r="G34" i="80" s="1"/>
  <c r="H8" i="61"/>
  <c r="T16" i="84" l="1"/>
  <c r="I16" i="84"/>
  <c r="K16" i="84" s="1"/>
  <c r="T16" i="83"/>
  <c r="I16" i="83"/>
  <c r="K16" i="83" s="1"/>
  <c r="W9" i="61"/>
  <c r="V14" i="61" s="1"/>
  <c r="F6" i="89"/>
  <c r="G36" i="84"/>
  <c r="G32" i="80"/>
  <c r="R11" i="80"/>
  <c r="R12" i="80" s="1"/>
  <c r="G35" i="82"/>
  <c r="G38" i="83"/>
  <c r="J11" i="80"/>
  <c r="G27" i="84"/>
  <c r="G31" i="84" s="1"/>
  <c r="G33" i="84" s="1"/>
  <c r="G28" i="80"/>
  <c r="G30" i="80" s="1"/>
  <c r="E7" i="13"/>
  <c r="L8" i="61"/>
  <c r="G30" i="81"/>
  <c r="G32" i="81" s="1"/>
  <c r="L10" i="61"/>
  <c r="G30" i="82"/>
  <c r="G32" i="82" s="1"/>
  <c r="L13" i="61"/>
  <c r="G34" i="83"/>
  <c r="G36" i="83" s="1"/>
  <c r="L16" i="61"/>
  <c r="D7" i="79"/>
  <c r="E7" i="79"/>
  <c r="I6" i="89" l="1"/>
  <c r="J6" i="89" s="1"/>
  <c r="F9" i="89"/>
  <c r="I9" i="89" s="1"/>
  <c r="J9" i="89" s="1"/>
  <c r="W11" i="61"/>
  <c r="W12" i="61"/>
  <c r="W13" i="61"/>
  <c r="J12" i="80"/>
  <c r="K12" i="80" s="1"/>
  <c r="K11" i="80"/>
  <c r="L20" i="61"/>
  <c r="E11" i="13"/>
  <c r="T12" i="80"/>
  <c r="R16" i="80"/>
  <c r="T16" i="80" s="1"/>
  <c r="I7" i="79"/>
  <c r="T11" i="80"/>
  <c r="H7" i="79"/>
  <c r="E14" i="79"/>
  <c r="E8" i="79"/>
  <c r="E9" i="79"/>
  <c r="E13" i="79"/>
  <c r="E12" i="79"/>
  <c r="E15" i="79"/>
  <c r="E11" i="79"/>
  <c r="E17" i="79"/>
  <c r="E10" i="79"/>
  <c r="E16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D31" i="79"/>
  <c r="D9" i="79"/>
  <c r="D10" i="79"/>
  <c r="D11" i="79"/>
  <c r="D27" i="79"/>
  <c r="D22" i="79"/>
  <c r="D23" i="79"/>
  <c r="D8" i="79"/>
  <c r="D24" i="79"/>
  <c r="D29" i="79"/>
  <c r="D17" i="79"/>
  <c r="D33" i="79"/>
  <c r="D20" i="79"/>
  <c r="D25" i="79"/>
  <c r="D18" i="79"/>
  <c r="D35" i="79"/>
  <c r="D30" i="79"/>
  <c r="D28" i="79"/>
  <c r="D26" i="79"/>
  <c r="D19" i="79"/>
  <c r="D13" i="79"/>
  <c r="D12" i="79"/>
  <c r="D34" i="79"/>
  <c r="D37" i="79"/>
  <c r="D14" i="79"/>
  <c r="D38" i="79"/>
  <c r="D16" i="79"/>
  <c r="D32" i="79"/>
  <c r="D21" i="79"/>
  <c r="D15" i="79"/>
  <c r="D36" i="79"/>
  <c r="K24" i="80" l="1"/>
  <c r="K34" i="80" s="1"/>
  <c r="G8" i="79"/>
  <c r="T24" i="80"/>
  <c r="K28" i="80"/>
  <c r="M8" i="61"/>
  <c r="I17" i="79"/>
  <c r="I11" i="79"/>
  <c r="I8" i="79"/>
  <c r="I15" i="79"/>
  <c r="I18" i="79"/>
  <c r="I9" i="79"/>
  <c r="I16" i="79"/>
  <c r="I14" i="79"/>
  <c r="I13" i="79"/>
  <c r="I10" i="79"/>
  <c r="I12" i="79"/>
  <c r="I19" i="79"/>
  <c r="I20" i="79"/>
  <c r="I21" i="79"/>
  <c r="I22" i="79"/>
  <c r="I23" i="79"/>
  <c r="I24" i="79"/>
  <c r="I25" i="79"/>
  <c r="I26" i="79"/>
  <c r="I27" i="79"/>
  <c r="I28" i="79"/>
  <c r="I29" i="79"/>
  <c r="I30" i="79"/>
  <c r="I31" i="79"/>
  <c r="I32" i="79"/>
  <c r="I33" i="79"/>
  <c r="I34" i="79"/>
  <c r="I35" i="79"/>
  <c r="I36" i="79"/>
  <c r="I37" i="79"/>
  <c r="I38" i="79"/>
  <c r="H11" i="79"/>
  <c r="H8" i="79"/>
  <c r="H9" i="79"/>
  <c r="H12" i="79"/>
  <c r="H38" i="79"/>
  <c r="H22" i="79"/>
  <c r="H33" i="79"/>
  <c r="H17" i="79"/>
  <c r="H28" i="79"/>
  <c r="H35" i="79"/>
  <c r="H19" i="79"/>
  <c r="H23" i="79"/>
  <c r="H34" i="79"/>
  <c r="H18" i="79"/>
  <c r="H29" i="79"/>
  <c r="H13" i="79"/>
  <c r="H16" i="79"/>
  <c r="H20" i="79"/>
  <c r="H26" i="79"/>
  <c r="H21" i="79"/>
  <c r="H27" i="79"/>
  <c r="H30" i="79"/>
  <c r="H14" i="79"/>
  <c r="H25" i="79"/>
  <c r="H36" i="79"/>
  <c r="H24" i="79"/>
  <c r="H31" i="79"/>
  <c r="H10" i="79"/>
  <c r="H37" i="79"/>
  <c r="H32" i="79"/>
  <c r="H15" i="79"/>
  <c r="A8" i="13"/>
  <c r="B8" i="13"/>
  <c r="A9" i="13"/>
  <c r="B9" i="13"/>
  <c r="A10" i="13"/>
  <c r="B10" i="13"/>
  <c r="A11" i="13"/>
  <c r="B11" i="13"/>
  <c r="A12" i="13"/>
  <c r="B12" i="13"/>
  <c r="A13" i="13"/>
  <c r="B13" i="13"/>
  <c r="A14" i="13"/>
  <c r="B14" i="13"/>
  <c r="B7" i="13"/>
  <c r="A7" i="13"/>
  <c r="D29" i="61"/>
  <c r="C51" i="89" s="1"/>
  <c r="C29" i="61"/>
  <c r="D51" i="89" s="1"/>
  <c r="J12" i="87"/>
  <c r="J29" i="87" s="1"/>
  <c r="C26" i="61"/>
  <c r="D33" i="89" s="1"/>
  <c r="D26" i="61"/>
  <c r="C33" i="89" s="1"/>
  <c r="D24" i="61"/>
  <c r="C30" i="89" s="1"/>
  <c r="C24" i="61"/>
  <c r="D30" i="89" s="1"/>
  <c r="D20" i="61"/>
  <c r="C25" i="89" s="1"/>
  <c r="C20" i="61"/>
  <c r="D25" i="89" s="1"/>
  <c r="D16" i="61"/>
  <c r="C20" i="89" s="1"/>
  <c r="C16" i="61"/>
  <c r="D20" i="89" s="1"/>
  <c r="D13" i="61"/>
  <c r="C16" i="89" s="1"/>
  <c r="C13" i="61"/>
  <c r="D16" i="89" s="1"/>
  <c r="D10" i="61"/>
  <c r="C12" i="89" s="1"/>
  <c r="D8" i="61"/>
  <c r="C5" i="89" s="1"/>
  <c r="C10" i="61"/>
  <c r="D12" i="89" s="1"/>
  <c r="C8" i="61"/>
  <c r="D5" i="89" s="1"/>
  <c r="T26" i="80" l="1"/>
  <c r="T30" i="80" s="1"/>
  <c r="T34" i="80"/>
  <c r="V34" i="80" s="1"/>
  <c r="K12" i="79"/>
  <c r="L12" i="79" s="1"/>
  <c r="M12" i="79" s="1"/>
  <c r="K27" i="79"/>
  <c r="L27" i="79" s="1"/>
  <c r="M27" i="79" s="1"/>
  <c r="K29" i="79"/>
  <c r="L29" i="79" s="1"/>
  <c r="M29" i="79" s="1"/>
  <c r="K24" i="79"/>
  <c r="L24" i="79" s="1"/>
  <c r="M24" i="79" s="1"/>
  <c r="K18" i="79"/>
  <c r="L18" i="79" s="1"/>
  <c r="M18" i="79" s="1"/>
  <c r="K20" i="79"/>
  <c r="L20" i="79" s="1"/>
  <c r="M20" i="79" s="1"/>
  <c r="K36" i="79"/>
  <c r="L36" i="79" s="1"/>
  <c r="M36" i="79" s="1"/>
  <c r="K16" i="79"/>
  <c r="L16" i="79" s="1"/>
  <c r="M16" i="79" s="1"/>
  <c r="K28" i="79"/>
  <c r="L28" i="79" s="1"/>
  <c r="M28" i="79" s="1"/>
  <c r="K10" i="79"/>
  <c r="L10" i="79" s="1"/>
  <c r="M10" i="79" s="1"/>
  <c r="K11" i="79"/>
  <c r="L11" i="79" s="1"/>
  <c r="M11" i="79" s="1"/>
  <c r="K8" i="79"/>
  <c r="L8" i="79" s="1"/>
  <c r="M8" i="79" s="1"/>
  <c r="K34" i="79"/>
  <c r="L34" i="79" s="1"/>
  <c r="M34" i="79" s="1"/>
  <c r="K35" i="79"/>
  <c r="L35" i="79" s="1"/>
  <c r="M35" i="79" s="1"/>
  <c r="K26" i="79"/>
  <c r="L26" i="79" s="1"/>
  <c r="M26" i="79" s="1"/>
  <c r="K25" i="79"/>
  <c r="L25" i="79" s="1"/>
  <c r="M25" i="79" s="1"/>
  <c r="K15" i="79"/>
  <c r="L15" i="79" s="1"/>
  <c r="M15" i="79" s="1"/>
  <c r="K33" i="79"/>
  <c r="L33" i="79" s="1"/>
  <c r="M33" i="79" s="1"/>
  <c r="K13" i="79"/>
  <c r="L13" i="79" s="1"/>
  <c r="M13" i="79" s="1"/>
  <c r="K14" i="79"/>
  <c r="L14" i="79" s="1"/>
  <c r="M14" i="79" s="1"/>
  <c r="K22" i="79"/>
  <c r="L22" i="79" s="1"/>
  <c r="M22" i="79" s="1"/>
  <c r="K17" i="79"/>
  <c r="L17" i="79" s="1"/>
  <c r="M17" i="79" s="1"/>
  <c r="K32" i="79"/>
  <c r="L32" i="79" s="1"/>
  <c r="M32" i="79" s="1"/>
  <c r="K37" i="79"/>
  <c r="L37" i="79" s="1"/>
  <c r="M37" i="79" s="1"/>
  <c r="K38" i="79"/>
  <c r="L38" i="79" s="1"/>
  <c r="M38" i="79" s="1"/>
  <c r="K30" i="79"/>
  <c r="L30" i="79" s="1"/>
  <c r="M30" i="79" s="1"/>
  <c r="K21" i="79"/>
  <c r="L21" i="79" s="1"/>
  <c r="M21" i="79" s="1"/>
  <c r="K23" i="79"/>
  <c r="L23" i="79" s="1"/>
  <c r="M23" i="79" s="1"/>
  <c r="K31" i="79"/>
  <c r="L31" i="79" s="1"/>
  <c r="M31" i="79" s="1"/>
  <c r="K19" i="79"/>
  <c r="L19" i="79" s="1"/>
  <c r="M19" i="79" s="1"/>
  <c r="K9" i="79"/>
  <c r="L9" i="79" s="1"/>
  <c r="M9" i="79" s="1"/>
  <c r="J33" i="87"/>
  <c r="J35" i="87" s="1"/>
  <c r="K30" i="80"/>
  <c r="I24" i="61"/>
  <c r="I11" i="85"/>
  <c r="J11" i="85" s="1"/>
  <c r="J12" i="82"/>
  <c r="K12" i="82" s="1"/>
  <c r="J12" i="84"/>
  <c r="K12" i="84" s="1"/>
  <c r="R12" i="83"/>
  <c r="T12" i="83" s="1"/>
  <c r="J12" i="83"/>
  <c r="K12" i="83" s="1"/>
  <c r="Q12" i="81"/>
  <c r="I12" i="81"/>
  <c r="J12" i="81" s="1"/>
  <c r="J26" i="81" s="1"/>
  <c r="I26" i="61"/>
  <c r="G34" i="89" s="1"/>
  <c r="I34" i="89" s="1"/>
  <c r="J34" i="89" s="1"/>
  <c r="J12" i="86"/>
  <c r="K12" i="86" s="1"/>
  <c r="G23" i="85"/>
  <c r="E12" i="13" s="1"/>
  <c r="N8" i="61"/>
  <c r="J18" i="61"/>
  <c r="J15" i="61"/>
  <c r="J12" i="61"/>
  <c r="J10" i="61"/>
  <c r="J8" i="61"/>
  <c r="D17" i="28"/>
  <c r="E18" i="24"/>
  <c r="G18" i="24"/>
  <c r="D20" i="28"/>
  <c r="G20" i="28" s="1"/>
  <c r="D19" i="28"/>
  <c r="G19" i="28" s="1"/>
  <c r="G21" i="28" s="1"/>
  <c r="G106" i="28"/>
  <c r="E106" i="28"/>
  <c r="D106" i="28"/>
  <c r="C106" i="28"/>
  <c r="G88" i="28"/>
  <c r="E88" i="28"/>
  <c r="D88" i="28"/>
  <c r="C88" i="28"/>
  <c r="D18" i="28"/>
  <c r="G70" i="28"/>
  <c r="E70" i="28"/>
  <c r="D70" i="28"/>
  <c r="C70" i="28"/>
  <c r="U12" i="24"/>
  <c r="U18" i="28"/>
  <c r="U12" i="28"/>
  <c r="M22" i="28"/>
  <c r="T24" i="28"/>
  <c r="W24" i="28"/>
  <c r="U19" i="24"/>
  <c r="M19" i="24"/>
  <c r="G52" i="28"/>
  <c r="O24" i="28"/>
  <c r="E66" i="24"/>
  <c r="E46" i="24"/>
  <c r="D46" i="24"/>
  <c r="D16" i="24"/>
  <c r="G16" i="24" s="1"/>
  <c r="G22" i="24" s="1"/>
  <c r="G26" i="24" s="1"/>
  <c r="G28" i="24" s="1"/>
  <c r="E52" i="28"/>
  <c r="G28" i="28" s="1"/>
  <c r="F66" i="24"/>
  <c r="D66" i="24"/>
  <c r="C66" i="24"/>
  <c r="F46" i="24"/>
  <c r="C46" i="24"/>
  <c r="D12" i="24"/>
  <c r="L12" i="24" s="1"/>
  <c r="G12" i="24"/>
  <c r="D52" i="28"/>
  <c r="D12" i="28" s="1"/>
  <c r="H17" i="13"/>
  <c r="C52" i="28"/>
  <c r="T17" i="28"/>
  <c r="W17" i="28" s="1"/>
  <c r="G17" i="28"/>
  <c r="L16" i="24"/>
  <c r="O16" i="24" s="1"/>
  <c r="O19" i="24" s="1"/>
  <c r="L18" i="24"/>
  <c r="O18" i="24" s="1"/>
  <c r="L17" i="24"/>
  <c r="O17" i="24"/>
  <c r="T18" i="28"/>
  <c r="W18" i="28" s="1"/>
  <c r="G18" i="28"/>
  <c r="D21" i="28"/>
  <c r="L17" i="28" s="1"/>
  <c r="G24" i="24"/>
  <c r="I20" i="61" l="1"/>
  <c r="G26" i="89" s="1"/>
  <c r="I26" i="89" s="1"/>
  <c r="J26" i="89" s="1"/>
  <c r="I13" i="61"/>
  <c r="T30" i="83"/>
  <c r="R12" i="84"/>
  <c r="T12" i="84" s="1"/>
  <c r="T27" i="84" s="1"/>
  <c r="N20" i="61" s="1"/>
  <c r="Q11" i="85"/>
  <c r="S11" i="85" s="1"/>
  <c r="S23" i="85" s="1"/>
  <c r="G31" i="89"/>
  <c r="I31" i="89" s="1"/>
  <c r="J31" i="89" s="1"/>
  <c r="J20" i="61"/>
  <c r="T28" i="80"/>
  <c r="P8" i="61" s="1"/>
  <c r="G66" i="89" s="1"/>
  <c r="G80" i="89" s="1"/>
  <c r="J13" i="61"/>
  <c r="J24" i="61"/>
  <c r="R12" i="86"/>
  <c r="T12" i="86" s="1"/>
  <c r="T29" i="86" s="1"/>
  <c r="N26" i="61" s="1"/>
  <c r="S12" i="87"/>
  <c r="S29" i="87" s="1"/>
  <c r="T12" i="24"/>
  <c r="W12" i="24" s="1"/>
  <c r="O12" i="24"/>
  <c r="O23" i="24" s="1"/>
  <c r="O25" i="24" s="1"/>
  <c r="O27" i="24" s="1"/>
  <c r="L21" i="28"/>
  <c r="O21" i="28" s="1"/>
  <c r="L18" i="28"/>
  <c r="O18" i="28" s="1"/>
  <c r="O17" i="28"/>
  <c r="O22" i="28" s="1"/>
  <c r="W21" i="28"/>
  <c r="L12" i="28"/>
  <c r="G12" i="28"/>
  <c r="G26" i="28" s="1"/>
  <c r="G30" i="28" s="1"/>
  <c r="G32" i="28" s="1"/>
  <c r="T16" i="24"/>
  <c r="Q8" i="61"/>
  <c r="F80" i="89" s="1"/>
  <c r="K30" i="83"/>
  <c r="T32" i="83" s="1"/>
  <c r="M10" i="61"/>
  <c r="J30" i="81"/>
  <c r="K27" i="84"/>
  <c r="K26" i="82"/>
  <c r="K29" i="86"/>
  <c r="N16" i="61"/>
  <c r="G27" i="85"/>
  <c r="G29" i="85" s="1"/>
  <c r="L24" i="61"/>
  <c r="J23" i="85"/>
  <c r="J27" i="61"/>
  <c r="S12" i="81"/>
  <c r="S26" i="81" s="1"/>
  <c r="S28" i="81" s="1"/>
  <c r="O8" i="61"/>
  <c r="J26" i="61"/>
  <c r="J16" i="61"/>
  <c r="F11" i="13"/>
  <c r="G11" i="13" s="1"/>
  <c r="F9" i="13"/>
  <c r="G9" i="13" s="1"/>
  <c r="D17" i="13"/>
  <c r="J25" i="61"/>
  <c r="J23" i="61"/>
  <c r="J9" i="61"/>
  <c r="F10" i="13"/>
  <c r="G10" i="13" s="1"/>
  <c r="G17" i="89" l="1"/>
  <c r="I17" i="89" s="1"/>
  <c r="J17" i="89" s="1"/>
  <c r="R12" i="82"/>
  <c r="T12" i="82" s="1"/>
  <c r="T26" i="82" s="1"/>
  <c r="N13" i="61" s="1"/>
  <c r="T28" i="82"/>
  <c r="T29" i="84"/>
  <c r="T33" i="84" s="1"/>
  <c r="S25" i="85"/>
  <c r="S29" i="85" s="1"/>
  <c r="Z8" i="61"/>
  <c r="AC8" i="61" s="1"/>
  <c r="F66" i="89"/>
  <c r="T31" i="86"/>
  <c r="T33" i="86" s="1"/>
  <c r="P26" i="61" s="1"/>
  <c r="G72" i="89" s="1"/>
  <c r="G86" i="89" s="1"/>
  <c r="S31" i="87"/>
  <c r="S32" i="81"/>
  <c r="S30" i="81"/>
  <c r="T12" i="28"/>
  <c r="W12" i="28" s="1"/>
  <c r="W27" i="28" s="1"/>
  <c r="W29" i="28" s="1"/>
  <c r="W31" i="28" s="1"/>
  <c r="O12" i="28"/>
  <c r="O27" i="28"/>
  <c r="O29" i="28" s="1"/>
  <c r="O31" i="28" s="1"/>
  <c r="W16" i="24"/>
  <c r="W19" i="24" s="1"/>
  <c r="W23" i="24" s="1"/>
  <c r="W25" i="24" s="1"/>
  <c r="W27" i="24" s="1"/>
  <c r="T18" i="24"/>
  <c r="W18" i="24" s="1"/>
  <c r="T17" i="24"/>
  <c r="W17" i="24" s="1"/>
  <c r="T32" i="82"/>
  <c r="Q13" i="61" s="1"/>
  <c r="F82" i="89" s="1"/>
  <c r="T30" i="82"/>
  <c r="P13" i="61" s="1"/>
  <c r="G68" i="89" s="1"/>
  <c r="G82" i="89" s="1"/>
  <c r="J32" i="81"/>
  <c r="M16" i="61"/>
  <c r="K34" i="83"/>
  <c r="M26" i="61"/>
  <c r="K33" i="86"/>
  <c r="M13" i="61"/>
  <c r="K30" i="82"/>
  <c r="T34" i="83"/>
  <c r="P16" i="61" s="1"/>
  <c r="G69" i="89" s="1"/>
  <c r="G83" i="89" s="1"/>
  <c r="O16" i="61"/>
  <c r="T36" i="83"/>
  <c r="Q16" i="61" s="1"/>
  <c r="F83" i="89" s="1"/>
  <c r="M20" i="61"/>
  <c r="K31" i="84"/>
  <c r="O13" i="61"/>
  <c r="M24" i="61"/>
  <c r="J27" i="85"/>
  <c r="N24" i="61"/>
  <c r="I12" i="13"/>
  <c r="J12" i="13" s="1"/>
  <c r="I15" i="13"/>
  <c r="J15" i="13" s="1"/>
  <c r="I13" i="13"/>
  <c r="J13" i="13" s="1"/>
  <c r="F13" i="13"/>
  <c r="G13" i="13" s="1"/>
  <c r="F12" i="13"/>
  <c r="G12" i="13" s="1"/>
  <c r="I9" i="13"/>
  <c r="J9" i="13" s="1"/>
  <c r="I11" i="13"/>
  <c r="J11" i="13" s="1"/>
  <c r="T31" i="84" l="1"/>
  <c r="P20" i="61" s="1"/>
  <c r="G70" i="89" s="1"/>
  <c r="G84" i="89" s="1"/>
  <c r="S27" i="85"/>
  <c r="P24" i="61" s="1"/>
  <c r="G71" i="89" s="1"/>
  <c r="G85" i="89" s="1"/>
  <c r="Z11" i="61"/>
  <c r="AC11" i="61" s="1"/>
  <c r="F69" i="89"/>
  <c r="Z16" i="61"/>
  <c r="AC16" i="61" s="1"/>
  <c r="Z10" i="61"/>
  <c r="AC10" i="61" s="1"/>
  <c r="F68" i="89"/>
  <c r="O26" i="61"/>
  <c r="T35" i="86"/>
  <c r="Q26" i="61" s="1"/>
  <c r="F86" i="89" s="1"/>
  <c r="S35" i="87"/>
  <c r="S33" i="87"/>
  <c r="K35" i="86"/>
  <c r="K33" i="84"/>
  <c r="K36" i="83"/>
  <c r="K32" i="82"/>
  <c r="Q20" i="61"/>
  <c r="F84" i="89" s="1"/>
  <c r="O20" i="61"/>
  <c r="J29" i="85"/>
  <c r="Q24" i="61"/>
  <c r="F85" i="89" s="1"/>
  <c r="O24" i="61"/>
  <c r="N10" i="61"/>
  <c r="F8" i="13"/>
  <c r="G8" i="13" s="1"/>
  <c r="I8" i="13"/>
  <c r="J8" i="13" s="1"/>
  <c r="I14" i="13"/>
  <c r="J14" i="13" s="1"/>
  <c r="F14" i="13"/>
  <c r="G14" i="13" s="1"/>
  <c r="I10" i="13"/>
  <c r="J10" i="13" s="1"/>
  <c r="AC14" i="61" l="1"/>
  <c r="F72" i="89"/>
  <c r="Z13" i="61"/>
  <c r="AC13" i="61" s="1"/>
  <c r="F71" i="89"/>
  <c r="Z12" i="61"/>
  <c r="AC12" i="61" s="1"/>
  <c r="F70" i="89"/>
  <c r="P10" i="61"/>
  <c r="G67" i="89" s="1"/>
  <c r="G81" i="89" s="1"/>
  <c r="O10" i="61"/>
  <c r="Z9" i="61" s="1"/>
  <c r="AC9" i="61" s="1"/>
  <c r="Q10" i="61"/>
  <c r="F81" i="89" s="1"/>
  <c r="F7" i="13"/>
  <c r="G7" i="13" s="1"/>
  <c r="E17" i="13"/>
  <c r="I7" i="13"/>
  <c r="J7" i="13" s="1"/>
  <c r="F67" i="89" l="1"/>
  <c r="I16" i="13"/>
  <c r="J16" i="13" s="1"/>
  <c r="I34" i="43"/>
  <c r="L36" i="61"/>
  <c r="I36" i="43"/>
  <c r="F17" i="13" l="1"/>
  <c r="L34" i="43"/>
  <c r="M36" i="61"/>
  <c r="I17" i="13"/>
  <c r="N36" i="61"/>
  <c r="L36" i="43" l="1"/>
  <c r="G17" i="13"/>
  <c r="J17" i="13"/>
  <c r="O36" i="61" l="1"/>
  <c r="Z18" i="61" l="1"/>
  <c r="F74" i="89"/>
  <c r="O39" i="61"/>
  <c r="P39" i="61" s="1"/>
  <c r="P36" i="61"/>
  <c r="AA18" i="61" l="1"/>
  <c r="G74" i="89"/>
  <c r="G88" i="89" s="1"/>
  <c r="A1" i="79"/>
  <c r="A1" i="73"/>
  <c r="A1" i="13" l="1"/>
  <c r="A1" i="43"/>
  <c r="C17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D. Tolliver</author>
  </authors>
  <commentList>
    <comment ref="L4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Robert D. Tolliver:</t>
        </r>
        <r>
          <rPr>
            <sz val="9"/>
            <color indexed="81"/>
            <rFont val="Tahoma"/>
            <family val="2"/>
          </rPr>
          <t xml:space="preserve">
Fuel included in kWh revenue Jan-March and not included April-Dec.</t>
        </r>
      </text>
    </comment>
    <comment ref="L22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Robert D. Tolliver:</t>
        </r>
        <r>
          <rPr>
            <sz val="9"/>
            <color indexed="81"/>
            <rFont val="Tahoma"/>
            <family val="2"/>
          </rPr>
          <t xml:space="preserve">
Fuel included in kWh revenue Jan-March and not included April-Dec.</t>
        </r>
      </text>
    </comment>
    <comment ref="F229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Robert D. Tolliver:</t>
        </r>
        <r>
          <rPr>
            <sz val="9"/>
            <color indexed="81"/>
            <rFont val="Tahoma"/>
            <family val="2"/>
          </rPr>
          <t xml:space="preserve">
Fuel included in kWh revenue Jan-March and not included April-Dec.</t>
        </r>
      </text>
    </comment>
  </commentList>
</comments>
</file>

<file path=xl/sharedStrings.xml><?xml version="1.0" encoding="utf-8"?>
<sst xmlns="http://schemas.openxmlformats.org/spreadsheetml/2006/main" count="1936" uniqueCount="444">
  <si>
    <t>Proposed Rate</t>
  </si>
  <si>
    <t>Billing</t>
  </si>
  <si>
    <t>Calculated</t>
  </si>
  <si>
    <t>Description</t>
  </si>
  <si>
    <t>Units</t>
  </si>
  <si>
    <t>Rate</t>
  </si>
  <si>
    <t>Billings</t>
  </si>
  <si>
    <t>Energy Charge</t>
  </si>
  <si>
    <t>kWh</t>
  </si>
  <si>
    <t>Customer Months</t>
  </si>
  <si>
    <t>Customer Charge</t>
  </si>
  <si>
    <t>Per kWh</t>
  </si>
  <si>
    <t>Per Customer</t>
  </si>
  <si>
    <t>Difference</t>
  </si>
  <si>
    <t>Customer Class</t>
  </si>
  <si>
    <t>Current  Rate Calculated Billings</t>
  </si>
  <si>
    <t>Lights</t>
  </si>
  <si>
    <t>Per Light</t>
  </si>
  <si>
    <t>Minimum Bills</t>
  </si>
  <si>
    <t>Revenue Per Books</t>
  </si>
  <si>
    <t>Percentage Difference</t>
  </si>
  <si>
    <t>All Kwh's</t>
  </si>
  <si>
    <t>Percent Change</t>
  </si>
  <si>
    <t>All kWh</t>
  </si>
  <si>
    <t>Cust</t>
  </si>
  <si>
    <t>MO-YR</t>
  </si>
  <si>
    <t>Percent Difference</t>
  </si>
  <si>
    <t>Distribution Demand</t>
  </si>
  <si>
    <t>Residential Service</t>
  </si>
  <si>
    <t>All Cust. Months</t>
  </si>
  <si>
    <t>Test Year Rate</t>
  </si>
  <si>
    <t>Purchased Power Demand</t>
  </si>
  <si>
    <t>Purchased Power Energy</t>
  </si>
  <si>
    <t>Test Year Rate Calculated Billings</t>
  </si>
  <si>
    <t>Facility Charge</t>
  </si>
  <si>
    <t>Total Rate 11</t>
  </si>
  <si>
    <t>Total Rate 10 &amp; 13</t>
  </si>
  <si>
    <t xml:space="preserve">No. Consumers </t>
  </si>
  <si>
    <t>On Peak</t>
  </si>
  <si>
    <t>Off Peak</t>
  </si>
  <si>
    <t>All Months</t>
  </si>
  <si>
    <t>Revenue</t>
  </si>
  <si>
    <t>Cost Based Rate @ 7% ROR</t>
  </si>
  <si>
    <t>All Customers</t>
  </si>
  <si>
    <t>kWh Sold</t>
  </si>
  <si>
    <t>kWh Revenue</t>
  </si>
  <si>
    <t>Service Revenue</t>
  </si>
  <si>
    <t>Cost Based Rates - 7% ROR</t>
  </si>
  <si>
    <t xml:space="preserve">Purchased Power Energy </t>
  </si>
  <si>
    <t>On Peak Energy</t>
  </si>
  <si>
    <t>Off Peak Energy</t>
  </si>
  <si>
    <t>Cost Based TOU Rates - 7% ROR</t>
  </si>
  <si>
    <t>Present and Proposed Rates</t>
  </si>
  <si>
    <t>Rate Class</t>
  </si>
  <si>
    <t>Rates</t>
  </si>
  <si>
    <t xml:space="preserve">Billing  </t>
  </si>
  <si>
    <t>Present</t>
  </si>
  <si>
    <t>Proposed</t>
  </si>
  <si>
    <t>Increase</t>
  </si>
  <si>
    <t>Classification</t>
  </si>
  <si>
    <t>Code</t>
  </si>
  <si>
    <t>Unit</t>
  </si>
  <si>
    <t>$</t>
  </si>
  <si>
    <t>%</t>
  </si>
  <si>
    <t>TOTAL</t>
  </si>
  <si>
    <t>Intermountain Rural Electric Association</t>
  </si>
  <si>
    <t>Service $</t>
  </si>
  <si>
    <t>Energy $</t>
  </si>
  <si>
    <t>Residential - Overhead A02</t>
  </si>
  <si>
    <t>Residential - Underground A03</t>
  </si>
  <si>
    <t>Residential TOU - Overhead A02T</t>
  </si>
  <si>
    <t>Residential TOU - Underground A03T</t>
  </si>
  <si>
    <t>Residential TOU Service</t>
  </si>
  <si>
    <t>On Peak Kwh - Rural</t>
  </si>
  <si>
    <t>Off Peak Kwh - Rural</t>
  </si>
  <si>
    <t>On Peak Kwh - City</t>
  </si>
  <si>
    <t>Off Peak Kwh - City</t>
  </si>
  <si>
    <t>Residential TOU - City Overhead CS2T</t>
  </si>
  <si>
    <t>Residential TOU - City Underground CS3T</t>
  </si>
  <si>
    <t>Total Rate Revenue</t>
  </si>
  <si>
    <t>Rate Code</t>
  </si>
  <si>
    <t>A02 &amp; A03</t>
  </si>
  <si>
    <t>A02T, A03T, C02T, C03T</t>
  </si>
  <si>
    <t>Total</t>
  </si>
  <si>
    <t>Avg Incr/(Decr) Per Customer Per Month</t>
  </si>
  <si>
    <t>Revenues</t>
  </si>
  <si>
    <t xml:space="preserve">Present </t>
  </si>
  <si>
    <t>Proposed Rates</t>
  </si>
  <si>
    <t>Avg Incr/(Decr) Per Light Per Month</t>
  </si>
  <si>
    <t>Avg Bill</t>
  </si>
  <si>
    <t>FAC</t>
  </si>
  <si>
    <t>Customers</t>
  </si>
  <si>
    <t>per Customer</t>
  </si>
  <si>
    <t>Demand Charge</t>
  </si>
  <si>
    <t>kW</t>
  </si>
  <si>
    <t>Per kW</t>
  </si>
  <si>
    <t>Other</t>
  </si>
  <si>
    <t>ES</t>
  </si>
  <si>
    <t>Annual</t>
  </si>
  <si>
    <t>Monthly</t>
  </si>
  <si>
    <t xml:space="preserve">Test Year </t>
  </si>
  <si>
    <t>Test Year</t>
  </si>
  <si>
    <t>Present Rate</t>
  </si>
  <si>
    <t>Difference from Present Rates</t>
  </si>
  <si>
    <t>Percent Change from Present Rates</t>
  </si>
  <si>
    <t>Incr (Decr)</t>
  </si>
  <si>
    <t>Over Pres</t>
  </si>
  <si>
    <t>Customer</t>
  </si>
  <si>
    <t>Energy</t>
  </si>
  <si>
    <t>#</t>
  </si>
  <si>
    <t xml:space="preserve">Energy </t>
  </si>
  <si>
    <t xml:space="preserve">Customer </t>
  </si>
  <si>
    <t>Jan</t>
  </si>
  <si>
    <t>Feb</t>
  </si>
  <si>
    <t>Mar</t>
  </si>
  <si>
    <t>May</t>
  </si>
  <si>
    <t>Aug</t>
  </si>
  <si>
    <t>Oct</t>
  </si>
  <si>
    <t>Nov</t>
  </si>
  <si>
    <t>Dec</t>
  </si>
  <si>
    <t>All Hours</t>
  </si>
  <si>
    <t>NCP</t>
  </si>
  <si>
    <t>Contract</t>
  </si>
  <si>
    <t>KWH</t>
  </si>
  <si>
    <t xml:space="preserve">Residential </t>
  </si>
  <si>
    <t>List of Rate Schedules</t>
  </si>
  <si>
    <t>Reconciliation of Actual vs. Calculated Billings</t>
  </si>
  <si>
    <t>Cumberland Valley Electric</t>
  </si>
  <si>
    <t>R</t>
  </si>
  <si>
    <t>C1</t>
  </si>
  <si>
    <t>C2</t>
  </si>
  <si>
    <t>E1</t>
  </si>
  <si>
    <t>L1</t>
  </si>
  <si>
    <t>IB</t>
  </si>
  <si>
    <t>Sch I - Residential, Schools &amp; Churches</t>
  </si>
  <si>
    <t>Sch VII - Inclining Block Rate</t>
  </si>
  <si>
    <t>Sch II - Small Commercial  Small Power</t>
  </si>
  <si>
    <t>Sch III - All 3Phase Schools &amp; Churches</t>
  </si>
  <si>
    <t>Sch IV-A - Large Power 50-2500 kW</t>
  </si>
  <si>
    <t>Sch VI - Outdoor Lighting - Security Lights</t>
  </si>
  <si>
    <t>S</t>
  </si>
  <si>
    <t>TOD</t>
  </si>
  <si>
    <t>Sch I - Res TOD</t>
  </si>
  <si>
    <t>All Members</t>
  </si>
  <si>
    <t>Prepay Members</t>
  </si>
  <si>
    <t>1st Block</t>
  </si>
  <si>
    <t>2nd Block</t>
  </si>
  <si>
    <t>Block 1</t>
  </si>
  <si>
    <t>Block 2</t>
  </si>
  <si>
    <t>Block 3</t>
  </si>
  <si>
    <t>Billing Determinants</t>
  </si>
  <si>
    <t>Not</t>
  </si>
  <si>
    <t>Included</t>
  </si>
  <si>
    <t>Cust Charge</t>
  </si>
  <si>
    <t>No</t>
  </si>
  <si>
    <t>Demand</t>
  </si>
  <si>
    <t>KVA</t>
  </si>
  <si>
    <t>Fuel</t>
  </si>
  <si>
    <t>Enviro</t>
  </si>
  <si>
    <t>Device</t>
  </si>
  <si>
    <t xml:space="preserve">Device </t>
  </si>
  <si>
    <t>RATE</t>
  </si>
  <si>
    <t>MONTH</t>
  </si>
  <si>
    <t># of ACCTS</t>
  </si>
  <si>
    <t>Steps</t>
  </si>
  <si>
    <t>Charge/Rev</t>
  </si>
  <si>
    <t>Min Up</t>
  </si>
  <si>
    <t>Quantity</t>
  </si>
  <si>
    <t>April</t>
  </si>
  <si>
    <t>June</t>
  </si>
  <si>
    <t>July</t>
  </si>
  <si>
    <t>Sept</t>
  </si>
  <si>
    <t>On-kWh</t>
  </si>
  <si>
    <t>Off-kWh</t>
  </si>
  <si>
    <t>On Fuel</t>
  </si>
  <si>
    <t>Off Fuel</t>
  </si>
  <si>
    <t>Cust Chg</t>
  </si>
  <si>
    <t>First 3000</t>
  </si>
  <si>
    <t>Over 3000</t>
  </si>
  <si>
    <t xml:space="preserve">Demand </t>
  </si>
  <si>
    <t># of Accts</t>
  </si>
  <si>
    <t>Charge</t>
  </si>
  <si>
    <t>First 200</t>
  </si>
  <si>
    <t>Next 300</t>
  </si>
  <si>
    <t>Over 500</t>
  </si>
  <si>
    <t>Type</t>
  </si>
  <si>
    <t>Rate S Security Light Only</t>
  </si>
  <si>
    <t>Rev</t>
  </si>
  <si>
    <t>kwh</t>
  </si>
  <si>
    <t>001 - 175W MV</t>
  </si>
  <si>
    <t>002 - 100W Sod Open B</t>
  </si>
  <si>
    <t>003 - 100W Sod Dir Flood</t>
  </si>
  <si>
    <t>004 - 175W MH Dir</t>
  </si>
  <si>
    <t>005 - 400W Sod Cobra</t>
  </si>
  <si>
    <t>006 - 400W Sod Dir</t>
  </si>
  <si>
    <t>008 - LED Open Bottom 6200 L</t>
  </si>
  <si>
    <t>009 - LED Cobra Head 13,650 L</t>
  </si>
  <si>
    <t>010 - LED Dir 18,800 L</t>
  </si>
  <si>
    <t>5 - 400W MH Dir</t>
  </si>
  <si>
    <t>Totals</t>
  </si>
  <si>
    <t>R1</t>
  </si>
  <si>
    <t>PREPD</t>
  </si>
  <si>
    <t>Count</t>
  </si>
  <si>
    <t>Total kWh</t>
  </si>
  <si>
    <t>Min Bill</t>
  </si>
  <si>
    <t>AVG</t>
  </si>
  <si>
    <t>KW</t>
  </si>
  <si>
    <t>Variance</t>
  </si>
  <si>
    <t>Various</t>
  </si>
  <si>
    <t>REVENUE</t>
  </si>
  <si>
    <t>Total Lighting</t>
  </si>
  <si>
    <t>TOTAL SYSTEM REVENUE</t>
  </si>
  <si>
    <t xml:space="preserve">Total </t>
  </si>
  <si>
    <t>Total Device</t>
  </si>
  <si>
    <t>Target Increase:</t>
  </si>
  <si>
    <t>Avg</t>
  </si>
  <si>
    <t>Customer Charge ($ per month)</t>
  </si>
  <si>
    <t>Energy Charge ($ per kWh)</t>
  </si>
  <si>
    <t>Demand Charge ($ per kW)</t>
  </si>
  <si>
    <t>Energy Charge On Peak ($per kWh)</t>
  </si>
  <si>
    <t>Energy Charge Off Peak ($ per kWh)</t>
  </si>
  <si>
    <t>Energy Charge 1st 3000 ($ per kWh)</t>
  </si>
  <si>
    <t>Energy Charge &gt;3000 ($ per kWh)</t>
  </si>
  <si>
    <t>Energy Charge 1st 200 ($ per kWh)</t>
  </si>
  <si>
    <t>Energy Charge Next 300 ($ per kWh)</t>
  </si>
  <si>
    <t>Energy Charge 500+ ($ per kWh)</t>
  </si>
  <si>
    <t>Sch V-B - Large Power Rate</t>
  </si>
  <si>
    <t xml:space="preserve">Sch V-C - Large Power Rate </t>
  </si>
  <si>
    <t>Apr</t>
  </si>
  <si>
    <t>Jun</t>
  </si>
  <si>
    <t>Jul</t>
  </si>
  <si>
    <t>Sep</t>
  </si>
  <si>
    <t>Billed</t>
  </si>
  <si>
    <t>Check</t>
  </si>
  <si>
    <t>VB</t>
  </si>
  <si>
    <t>BTE2</t>
  </si>
  <si>
    <t xml:space="preserve"> </t>
  </si>
  <si>
    <t>VC</t>
  </si>
  <si>
    <t>BTE</t>
  </si>
  <si>
    <t>Riders</t>
  </si>
  <si>
    <t>Present Bills</t>
  </si>
  <si>
    <t>Proposed Bills</t>
  </si>
  <si>
    <t>Monthly Estimated Increase by Usage</t>
  </si>
  <si>
    <t xml:space="preserve">Variance: </t>
  </si>
  <si>
    <t xml:space="preserve">COS </t>
  </si>
  <si>
    <t>Target</t>
  </si>
  <si>
    <t>Diff</t>
  </si>
  <si>
    <t>FAC Roll In</t>
  </si>
  <si>
    <t>Present &amp; Proposed Rates</t>
  </si>
  <si>
    <t>Item</t>
  </si>
  <si>
    <t>Incr(Decr)</t>
  </si>
  <si>
    <t>The amount of the change requested in both dollar amounts and percentage change for each customer classification to which the proposed rates will apply is set forth below:</t>
  </si>
  <si>
    <t>Dollars</t>
  </si>
  <si>
    <t>Percent</t>
  </si>
  <si>
    <t>The amount of the average usage and the effect upon the average bill for each customer classification to which the proposed rates will apply is set forth below:</t>
  </si>
  <si>
    <t>Average</t>
  </si>
  <si>
    <t>Usage (kWh)</t>
  </si>
  <si>
    <t>NA</t>
  </si>
  <si>
    <t>Sch IV - Large Power 2500 + kW</t>
  </si>
  <si>
    <t>Sch V - Large Power 1000-2500 kW</t>
  </si>
  <si>
    <t>Demand Charge - Contract ($ per kW)</t>
  </si>
  <si>
    <t>Demand Charge - Excess ($ per kW)</t>
  </si>
  <si>
    <t>Sch V-A - Large Power Rate</t>
  </si>
  <si>
    <t>10) LED Directional ~Lumens 18,800</t>
  </si>
  <si>
    <t>Tariff Description</t>
  </si>
  <si>
    <t>Internal Coding Descriptor</t>
  </si>
  <si>
    <t>same as 6)</t>
  </si>
  <si>
    <t>same as 1)</t>
  </si>
  <si>
    <t>1) 175-Watt -Approx. Lumens 7,000</t>
  </si>
  <si>
    <t>2) 400-Watt -Approx. Lumens 22,000</t>
  </si>
  <si>
    <t>7) 400-Watt Cobra Head -Approx. Lumens 50,000</t>
  </si>
  <si>
    <t>6) 400-Watt Directional Flood -Approx. Lumens 50,000</t>
  </si>
  <si>
    <t>8) LED Open Bottom -Approx. Lumens 6,200</t>
  </si>
  <si>
    <t>9) LED Cobra Head -Approx. Lumens 13,650</t>
  </si>
  <si>
    <t>5) 100-Watt Directional Flood -Approx. Lumens 9,500</t>
  </si>
  <si>
    <t>4) 100-Watt Colonial Post -Approx. Lumens 9.500</t>
  </si>
  <si>
    <t>3) 100-Watt Open Bottom -Approx. Lumens 9,500</t>
  </si>
  <si>
    <t>P1</t>
  </si>
  <si>
    <t>V</t>
  </si>
  <si>
    <t>VA</t>
  </si>
  <si>
    <t>Scalars</t>
  </si>
  <si>
    <t>R Cust Chg</t>
  </si>
  <si>
    <t>Rate of Return Target/Diff Info for COSS</t>
  </si>
  <si>
    <t>VACANT RATE CLASSES</t>
  </si>
  <si>
    <t>Customer Charge $5,726.70</t>
  </si>
  <si>
    <t>Kwh Charge 7,473,600 kWh @ .039780 $297,299.81</t>
  </si>
  <si>
    <t>Demand Charge 12000.000 kW @ 7.30 $87,600.00</t>
  </si>
  <si>
    <t>Fuel Adjustment 7,473,600 kWh @ .0112062 $83,750.66</t>
  </si>
  <si>
    <t>Fuel Charge BTE -.0112062 -$1,447.42</t>
  </si>
  <si>
    <t>Environmental Surcharge $57,532.00</t>
  </si>
  <si>
    <t>Interruptible Credit -$61,600.00</t>
  </si>
  <si>
    <t>Buy-Through Energy 129,162 kWh @ .04540 $5,863.95</t>
  </si>
  <si>
    <t>Buy-Through Credit 129,162 kWh @ -.03978 -$5,138.06</t>
  </si>
  <si>
    <t>Current Charges $469,587.64</t>
  </si>
  <si>
    <t>Kwh Charge 2,995,200 kWh @ .039780 $119,149.06</t>
  </si>
  <si>
    <t>Fuel Charge .0121818 $36,486.93</t>
  </si>
  <si>
    <t>Rate Min Up Charge $24,436.99</t>
  </si>
  <si>
    <t>Environmental Surcharge $30,271.00</t>
  </si>
  <si>
    <t>Current Charges $242,070.68</t>
  </si>
  <si>
    <t>Kwh Charge 1,972,800 kWh @ .039780 $78,477.98</t>
  </si>
  <si>
    <t>Fuel Adjustment 1,972,800 kWh @ .0107622 $21,231.67</t>
  </si>
  <si>
    <t>Rate Min Up Charge $38,280.29</t>
  </si>
  <si>
    <t>Environmental Surcharge $26,578.00</t>
  </si>
  <si>
    <t>Current Charges $196,294.64</t>
  </si>
  <si>
    <t>Kwh Charge 7,365,600 kWh @ .039780 $293,003.57</t>
  </si>
  <si>
    <t>Fuel Adjustment 7,365,600 kWh @ .0063249 $46,586.68</t>
  </si>
  <si>
    <t>Fuel Charge BTE -.0063249 -$12.18</t>
  </si>
  <si>
    <t>Environmental Surcharge $68,618.00</t>
  </si>
  <si>
    <t>Buy-Through Energy 1,926 kWh @ .06490 $125.00</t>
  </si>
  <si>
    <t>Buy-Through Credit 1,926 kWh @ -.03978 -$76.62</t>
  </si>
  <si>
    <t>Current Charges $439,971.15</t>
  </si>
  <si>
    <t>Kwh Charge 3,772,800 kWh @ .03978 $150,081.98</t>
  </si>
  <si>
    <t>Fuel Charge .0141365 $53,334.19</t>
  </si>
  <si>
    <t>Rate Min Up Charge $13,908.29</t>
  </si>
  <si>
    <t>Environmental Surcharge $37,243.00</t>
  </si>
  <si>
    <t>Current Charges $286,294.16</t>
  </si>
  <si>
    <t>Kwh Charge 8,640,000 kWh @ .039780 $343,699.20</t>
  </si>
  <si>
    <t>Fuel Adjustment 8,640,000 kWh @ .0064682 $55,885.25</t>
  </si>
  <si>
    <t>Environmental Surcharge $73,074.00</t>
  </si>
  <si>
    <t>Annual Deposit Interest -$52,084.80</t>
  </si>
  <si>
    <t>Current Charges $452,300.35</t>
  </si>
  <si>
    <t>Kwh Charge 7,876,800 kWh @ .039780 $313,339.10</t>
  </si>
  <si>
    <t>Fuel Adjustment 7,876,800 kWh @ .0054477 $42,910.44</t>
  </si>
  <si>
    <t>Environmental Surcharge $79,780.00</t>
  </si>
  <si>
    <t>Current Charges $467,756.24</t>
  </si>
  <si>
    <t>Kwh Charge 1,958,400 kWh @ .039780 $77,905.15</t>
  </si>
  <si>
    <t>Fuel Charge .0262219 $51,352.97</t>
  </si>
  <si>
    <t>Fuel Charge BTE -.0262219 -$49.24</t>
  </si>
  <si>
    <t>Rate Min Up Charge $38,549.98</t>
  </si>
  <si>
    <t>Environmental Surcharge $14,959.00</t>
  </si>
  <si>
    <t>Buy-Through Energy 1,878 kWh @ .02396 $45.00</t>
  </si>
  <si>
    <t>Buy-Through Credit 1,878 kWh @ -.03978 -$74.71</t>
  </si>
  <si>
    <t>Current Charges $214,414.85</t>
  </si>
  <si>
    <t>Kwh Charge 2,390,400 kWh @ .039780 $95,090.11</t>
  </si>
  <si>
    <t>Fuel Charge .0142428 $34,045.99</t>
  </si>
  <si>
    <t>Rate Min Up Charge $32,625.99</t>
  </si>
  <si>
    <t>Environmental Surcharge $19,790.00</t>
  </si>
  <si>
    <t>Current Charges $213,278.79</t>
  </si>
  <si>
    <t>Kwh Charge 8,380,800 kWh @ .039780 $333,388.22</t>
  </si>
  <si>
    <t>Fuel Adjustment 8,380,800 kWh @ .0115703 $96,968.37</t>
  </si>
  <si>
    <t>Environmental Surcharge $71,664.00</t>
  </si>
  <si>
    <t>Current Charges $533,747.29</t>
  </si>
  <si>
    <t>Kwh Charge 8,330,400 kWh @ .039780 $331,383.31</t>
  </si>
  <si>
    <t>Fuel Adjustment 8,330,400 kWh @ .0126388 $105,286.26</t>
  </si>
  <si>
    <t>Fuel Charge BTE -.0126388 -$158.43</t>
  </si>
  <si>
    <t>Environmental Surcharge $63,952.00</t>
  </si>
  <si>
    <t>Buy-Through Energy 12,535 kWh @ .06055 $759.01</t>
  </si>
  <si>
    <t>Buy-Through Credit 12,535 kWh @ -.03978 -$498.64</t>
  </si>
  <si>
    <t>Current Charges $532,450.21</t>
  </si>
  <si>
    <t>Kwh Charge 2,239,200 kWh @ .039780 $89,075.38</t>
  </si>
  <si>
    <t>Fuel Charge .0090659 $20,300.36</t>
  </si>
  <si>
    <t>Rate Min Up Charge $34,673.23</t>
  </si>
  <si>
    <t>Environmental Surcharge $26,284.00</t>
  </si>
  <si>
    <t>Current Charges $202,059.67</t>
  </si>
  <si>
    <t>Kwh Charge</t>
  </si>
  <si>
    <t>Fuel Charge</t>
  </si>
  <si>
    <t>Fuel Charge BTE</t>
  </si>
  <si>
    <t xml:space="preserve">Rate Min Up Charge </t>
  </si>
  <si>
    <t>Environmental Surcharge</t>
  </si>
  <si>
    <t xml:space="preserve">Interruptible Credit </t>
  </si>
  <si>
    <t>Buy-Through Energy</t>
  </si>
  <si>
    <t>Buy-Through Credit</t>
  </si>
  <si>
    <t>Current Charges</t>
  </si>
  <si>
    <t xml:space="preserve">kWh   </t>
  </si>
  <si>
    <t>Annual Deposit Interest</t>
  </si>
  <si>
    <t>Customer Charge $3,025.05</t>
  </si>
  <si>
    <t>Kwh Charge 4,858,200 kWh @ .042884 $208,339.05</t>
  </si>
  <si>
    <t>Demand Charge 8310.600 kW @ 7.49 $62,246.39</t>
  </si>
  <si>
    <t>Fuel Charge .0142428 $69,194.37</t>
  </si>
  <si>
    <t>Environmental Surcharge $30,865.00</t>
  </si>
  <si>
    <t>Interruptible Credit -$40,939.36</t>
  </si>
  <si>
    <t>Current Charges $332,730.50</t>
  </si>
  <si>
    <t>Kwh Charge 1,436,400 kWh @ .042884 $61,598.58</t>
  </si>
  <si>
    <t>Demand Charge 8000.000 kW @ 7.49 $59,920.00</t>
  </si>
  <si>
    <t>Fuel Adjustment 1,436,400 kWh @ .0107622 $15,458.82</t>
  </si>
  <si>
    <t>Rate Min Up Charge $29,353.36</t>
  </si>
  <si>
    <t>Environmental Surcharge $20,320.00</t>
  </si>
  <si>
    <t>Interruptible Credit -$39,200.00</t>
  </si>
  <si>
    <t>Current Charges $150,475.81</t>
  </si>
  <si>
    <t>Kwh Charge 4,208,400 kWh @ .042884 $180,473.03</t>
  </si>
  <si>
    <t>Demand Charge 8407.800 kW @ 7.49 $62,974.42</t>
  </si>
  <si>
    <t>Fuel Charge .0262219 $110,352.24</t>
  </si>
  <si>
    <t>Fuel Charge BTE -.0262219 -$79.85</t>
  </si>
  <si>
    <t>Environmental Surcharge $22,266.00</t>
  </si>
  <si>
    <t>Interruptible Credit -$41,483.68</t>
  </si>
  <si>
    <t>Buy-Through Energy 3,045 kWh @ .02430 $74.00</t>
  </si>
  <si>
    <t>Buy-Through Credit 3,045 kWh @ -.04288 -$130.58</t>
  </si>
  <si>
    <t>Current Charges $337,470.63</t>
  </si>
  <si>
    <t>Kwh Charge 4,458,600 kWh @ .042884 $191,202.60</t>
  </si>
  <si>
    <t>Fuel Adjustment 4,458,600 kWh @ .0063249 $28,200.20</t>
  </si>
  <si>
    <t>Environmental Surcharge $44,344.00</t>
  </si>
  <si>
    <t>Current Charges $287,491.85</t>
  </si>
  <si>
    <t>Kwh Charge 4,824,000 kWh @ .042884 $206,872.42</t>
  </si>
  <si>
    <t>Demand Charge 8155.800 kW @ 7.49 $61,086.94</t>
  </si>
  <si>
    <t>Fuel Charge .0090659 $43,733.90</t>
  </si>
  <si>
    <t>Environmental Surcharge $42,203.00</t>
  </si>
  <si>
    <t>Interruptible Credit -$40,072.48</t>
  </si>
  <si>
    <t>Current Charges $316,848.83</t>
  </si>
  <si>
    <t>Kwh Charge 3,799,800 kWh @ .04288 $162,950.62</t>
  </si>
  <si>
    <t>Fuel Charge .0141365 $53,715.87</t>
  </si>
  <si>
    <t>Environmental Surcharge $36,223.00</t>
  </si>
  <si>
    <t>Current Charges $277,405.28</t>
  </si>
  <si>
    <t>Kwh Charge 5,646,600 kWh @ .042884 $242,148.79</t>
  </si>
  <si>
    <t>Fuel Adjustment 5,646,600 kWh @ .0064682 $36,523.34</t>
  </si>
  <si>
    <t>Environmental Surcharge $50,550.00</t>
  </si>
  <si>
    <t>Annual Deposit Interest -$36,719.76</t>
  </si>
  <si>
    <t>Current Charges $316,247.42</t>
  </si>
  <si>
    <t>Kwh Charge 5,329,800 kWh @ .042884 $228,563.14</t>
  </si>
  <si>
    <t>Fuel Adjustment 5,329,800 kWh @ .0115703 $61,667.38</t>
  </si>
  <si>
    <t>Environmental Surcharge $48,262.00</t>
  </si>
  <si>
    <t>Current Charges $362,237.57</t>
  </si>
  <si>
    <t>Kwh Charge 5,290,200 kWh @ .042884 $226,864.94</t>
  </si>
  <si>
    <t>Fuel Adjustment 5,290,200 kWh @ .0054477 $28,819.42</t>
  </si>
  <si>
    <t>Environmental Surcharge $56,388.00</t>
  </si>
  <si>
    <t>Current Charges $335,817.41</t>
  </si>
  <si>
    <t>Kwh Charge 5,380,200 kWh @ .042884 $230,724.50</t>
  </si>
  <si>
    <t>Fuel Adjustment 5,380,200 kWh @ .0126388 $67,999.27</t>
  </si>
  <si>
    <t>Fuel Charge BTE -.0126388 -$60.68</t>
  </si>
  <si>
    <t>Environmental Surcharge $43,584.00</t>
  </si>
  <si>
    <t>Buy-Through Energy 4,801 kWh @ .05291 $254.00</t>
  </si>
  <si>
    <t>Buy-Through Credit 4,801 kWh @ -.04288 -$205.89</t>
  </si>
  <si>
    <t>Current Charges $366,040.25</t>
  </si>
  <si>
    <t>Kwh Charge 4,548,600 kWh @ .042884 $195,062.16</t>
  </si>
  <si>
    <t>Fuel Charge .0121818 $55,410.14</t>
  </si>
  <si>
    <t>Environmental Surcharge $40,061.00</t>
  </si>
  <si>
    <t>Current Charges $314,278.35</t>
  </si>
  <si>
    <t>Kwh Charge 5,387,400 kWh @ .042884 $231,033.26</t>
  </si>
  <si>
    <t>Fuel Adjustment 5,387,400 kWh @ .0112062 $60,372.28</t>
  </si>
  <si>
    <t>Fuel Charge BTE -.0112062 -$1,448.84</t>
  </si>
  <si>
    <t>Environmental Surcharge $43,152.00</t>
  </si>
  <si>
    <t>Buy-Through Energy 129,289 kWh @ .04536 $5,864.03</t>
  </si>
  <si>
    <t>Buy-Through Credit 129,289 kWh @ -.04288 -$5,544.43</t>
  </si>
  <si>
    <t>Current Charges $357,173.35</t>
  </si>
  <si>
    <t xml:space="preserve">Fuel Charge </t>
  </si>
  <si>
    <t>Interruptible Credit</t>
  </si>
  <si>
    <t xml:space="preserve">Buy-Through Energy </t>
  </si>
  <si>
    <t xml:space="preserve">Buy-Through Credit </t>
  </si>
  <si>
    <t>Rate Min Up Charge</t>
  </si>
  <si>
    <t>BITCOIN RETAIL BILLING DATA</t>
  </si>
  <si>
    <t>Incr/Decr</t>
  </si>
  <si>
    <t>Prepay Service</t>
  </si>
  <si>
    <t>Consumer Facility Charge ($ per month)</t>
  </si>
  <si>
    <t>Consumer Facility Charge ($ per day)</t>
  </si>
  <si>
    <t>Sch V-C - Large Power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</si>
</sst>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00"/>
    <numFmt numFmtId="166" formatCode="&quot;$&quot;#,##0.00000"/>
    <numFmt numFmtId="167" formatCode="0.0%"/>
    <numFmt numFmtId="168" formatCode="0.000%"/>
    <numFmt numFmtId="169" formatCode="_(* #,##0_);_(* \(#,##0\);_(* &quot;-&quot;??_);_(@_)"/>
    <numFmt numFmtId="170" formatCode="_(* #,##0.0000_);_(* \(#,##0.0000\);_(* &quot;-&quot;??_);_(@_)"/>
    <numFmt numFmtId="171" formatCode="_(* #,##0.00000_);_(* \(#,##0.00000\);_(* &quot;-&quot;??_);_(@_)"/>
    <numFmt numFmtId="172" formatCode="_(&quot;$&quot;* #,##0.0000_);_(&quot;$&quot;* \(#,##0.0000\);_(&quot;$&quot;* &quot;-&quot;??_);_(@_)"/>
    <numFmt numFmtId="173" formatCode="_(&quot;$&quot;* #,##0.00000_);_(&quot;$&quot;* \(#,##0.00000\);_(&quot;$&quot;* &quot;-&quot;??_);_(@_)"/>
    <numFmt numFmtId="174" formatCode="&quot;$&quot;#,##0.00"/>
    <numFmt numFmtId="175" formatCode="0.000000"/>
    <numFmt numFmtId="176" formatCode="[$-409]mmmm\-yy;@"/>
    <numFmt numFmtId="177" formatCode="0.000"/>
    <numFmt numFmtId="178" formatCode="#,##0.00000"/>
    <numFmt numFmtId="179" formatCode="_(* #,##0.000_);_(* \(#,##0.000\);_(* &quot;-&quot;_);_(@_)"/>
    <numFmt numFmtId="180" formatCode="0.00000"/>
    <numFmt numFmtId="181" formatCode="#,##0.000"/>
    <numFmt numFmtId="182" formatCode="_(* #,##0.000000_);_(* \(#,##0.000000\);_(* &quot;-&quot;??_);_(@_)"/>
    <numFmt numFmtId="183" formatCode="&quot;$&quot;#,##0"/>
    <numFmt numFmtId="184" formatCode="&quot;$&quot;#,##0.000000"/>
    <numFmt numFmtId="185" formatCode="_(&quot;$&quot;* #,##0.000000_);_(&quot;$&quot;* \(#,##0.000000\);_(&quot;$&quot;* &quot;-&quot;??_);_(@_)"/>
    <numFmt numFmtId="186" formatCode="_(* #,##0.0000000_);_(* \(#,##0.0000000\);_(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i/>
      <u/>
      <sz val="12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2"/>
      <color rgb="FF000099"/>
      <name val="Times New Roman"/>
      <family val="1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7030A0"/>
      <name val="Times New Roman"/>
      <family val="1"/>
    </font>
    <font>
      <sz val="10"/>
      <color rgb="FF0000CC"/>
      <name val="Arial"/>
      <family val="2"/>
    </font>
    <font>
      <u/>
      <sz val="12"/>
      <name val="Times New Roman"/>
      <family val="1"/>
    </font>
    <font>
      <u val="singleAccounting"/>
      <sz val="12"/>
      <name val="Times New Roman"/>
      <family val="1"/>
    </font>
    <font>
      <sz val="10"/>
      <color rgb="FF7030A0"/>
      <name val="Arial"/>
      <family val="2"/>
    </font>
    <font>
      <sz val="8"/>
      <name val="Arial"/>
      <family val="2"/>
    </font>
    <font>
      <sz val="12"/>
      <color rgb="FF0000FF"/>
      <name val="Times New Roman"/>
      <family val="1"/>
    </font>
    <font>
      <sz val="10"/>
      <color theme="1"/>
      <name val="Arial"/>
      <family val="2"/>
    </font>
    <font>
      <sz val="12"/>
      <color theme="9" tint="-0.499984740745262"/>
      <name val="Times New Roman"/>
      <family val="1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9" fillId="0" borderId="0"/>
    <xf numFmtId="0" fontId="12" fillId="0" borderId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1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8" fillId="0" borderId="2" xfId="0" applyFont="1" applyBorder="1" applyAlignment="1">
      <alignment wrapText="1"/>
    </xf>
    <xf numFmtId="0" fontId="7" fillId="0" borderId="2" xfId="0" applyFont="1" applyBorder="1"/>
    <xf numFmtId="41" fontId="7" fillId="0" borderId="0" xfId="0" applyNumberFormat="1" applyFont="1"/>
    <xf numFmtId="44" fontId="7" fillId="0" borderId="0" xfId="4" applyFont="1"/>
    <xf numFmtId="44" fontId="7" fillId="0" borderId="0" xfId="0" applyNumberFormat="1" applyFont="1"/>
    <xf numFmtId="164" fontId="7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9" fontId="7" fillId="0" borderId="0" xfId="1" applyNumberFormat="1" applyFont="1"/>
    <xf numFmtId="165" fontId="7" fillId="0" borderId="0" xfId="0" applyNumberFormat="1" applyFont="1"/>
    <xf numFmtId="0" fontId="8" fillId="0" borderId="0" xfId="0" applyFont="1"/>
    <xf numFmtId="41" fontId="7" fillId="0" borderId="2" xfId="0" applyNumberFormat="1" applyFont="1" applyBorder="1"/>
    <xf numFmtId="166" fontId="7" fillId="0" borderId="0" xfId="0" applyNumberFormat="1" applyFont="1"/>
    <xf numFmtId="169" fontId="7" fillId="0" borderId="0" xfId="0" applyNumberFormat="1" applyFont="1"/>
    <xf numFmtId="43" fontId="7" fillId="0" borderId="0" xfId="0" applyNumberFormat="1" applyFont="1"/>
    <xf numFmtId="172" fontId="7" fillId="0" borderId="0" xfId="0" applyNumberFormat="1" applyFont="1"/>
    <xf numFmtId="164" fontId="7" fillId="0" borderId="0" xfId="9" applyNumberFormat="1" applyFont="1"/>
    <xf numFmtId="10" fontId="7" fillId="0" borderId="0" xfId="9" applyNumberFormat="1" applyFont="1" applyBorder="1"/>
    <xf numFmtId="164" fontId="7" fillId="0" borderId="3" xfId="0" applyNumberFormat="1" applyFont="1" applyBorder="1"/>
    <xf numFmtId="10" fontId="7" fillId="0" borderId="0" xfId="9" applyNumberFormat="1" applyFont="1"/>
    <xf numFmtId="43" fontId="7" fillId="0" borderId="0" xfId="1" applyFont="1"/>
    <xf numFmtId="173" fontId="7" fillId="0" borderId="0" xfId="0" applyNumberFormat="1" applyFont="1"/>
    <xf numFmtId="166" fontId="7" fillId="0" borderId="2" xfId="0" applyNumberFormat="1" applyFont="1" applyBorder="1"/>
    <xf numFmtId="0" fontId="6" fillId="0" borderId="2" xfId="0" applyFont="1" applyBorder="1"/>
    <xf numFmtId="0" fontId="6" fillId="0" borderId="2" xfId="0" applyFont="1" applyBorder="1" applyAlignment="1">
      <alignment horizontal="right" wrapText="1"/>
    </xf>
    <xf numFmtId="164" fontId="7" fillId="0" borderId="0" xfId="4" applyNumberFormat="1" applyFont="1"/>
    <xf numFmtId="169" fontId="7" fillId="0" borderId="2" xfId="1" applyNumberFormat="1" applyFont="1" applyBorder="1" applyAlignment="1">
      <alignment horizontal="right"/>
    </xf>
    <xf numFmtId="44" fontId="7" fillId="0" borderId="0" xfId="4" applyFont="1" applyBorder="1"/>
    <xf numFmtId="43" fontId="7" fillId="0" borderId="0" xfId="1" applyFont="1" applyBorder="1"/>
    <xf numFmtId="164" fontId="7" fillId="0" borderId="0" xfId="4" applyNumberFormat="1" applyFont="1" applyBorder="1" applyAlignment="1">
      <alignment horizontal="right"/>
    </xf>
    <xf numFmtId="169" fontId="7" fillId="0" borderId="0" xfId="1" applyNumberFormat="1" applyFont="1" applyBorder="1"/>
    <xf numFmtId="169" fontId="7" fillId="0" borderId="2" xfId="1" applyNumberFormat="1" applyFont="1" applyBorder="1"/>
    <xf numFmtId="41" fontId="7" fillId="0" borderId="0" xfId="0" applyNumberFormat="1" applyFont="1" applyAlignment="1">
      <alignment horizontal="right"/>
    </xf>
    <xf numFmtId="164" fontId="7" fillId="0" borderId="0" xfId="4" applyNumberFormat="1" applyFont="1" applyBorder="1"/>
    <xf numFmtId="169" fontId="7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69" fontId="7" fillId="0" borderId="0" xfId="1" applyNumberFormat="1" applyFont="1" applyAlignment="1">
      <alignment horizontal="right"/>
    </xf>
    <xf numFmtId="17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1" xfId="0" applyFont="1" applyBorder="1"/>
    <xf numFmtId="0" fontId="7" fillId="0" borderId="1" xfId="0" applyFont="1" applyBorder="1"/>
    <xf numFmtId="169" fontId="7" fillId="0" borderId="0" xfId="1" applyNumberFormat="1" applyFont="1" applyFill="1"/>
    <xf numFmtId="169" fontId="7" fillId="0" borderId="0" xfId="1" applyNumberFormat="1" applyFont="1" applyFill="1" applyBorder="1"/>
    <xf numFmtId="164" fontId="7" fillId="0" borderId="0" xfId="9" applyNumberFormat="1" applyFont="1" applyFill="1"/>
    <xf numFmtId="10" fontId="7" fillId="0" borderId="0" xfId="9" applyNumberFormat="1" applyFont="1" applyFill="1" applyBorder="1"/>
    <xf numFmtId="164" fontId="7" fillId="0" borderId="0" xfId="9" applyNumberFormat="1" applyFont="1" applyFill="1" applyBorder="1"/>
    <xf numFmtId="168" fontId="7" fillId="0" borderId="0" xfId="9" applyNumberFormat="1" applyFont="1" applyFill="1" applyBorder="1"/>
    <xf numFmtId="173" fontId="7" fillId="0" borderId="0" xfId="4" applyNumberFormat="1" applyFont="1" applyBorder="1"/>
    <xf numFmtId="173" fontId="7" fillId="0" borderId="0" xfId="4" applyNumberFormat="1" applyFont="1"/>
    <xf numFmtId="175" fontId="7" fillId="0" borderId="0" xfId="0" applyNumberFormat="1" applyFont="1"/>
    <xf numFmtId="164" fontId="7" fillId="0" borderId="0" xfId="1" applyNumberFormat="1" applyFont="1"/>
    <xf numFmtId="164" fontId="7" fillId="0" borderId="0" xfId="4" applyNumberFormat="1" applyFont="1" applyFill="1" applyBorder="1"/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center"/>
    </xf>
    <xf numFmtId="2" fontId="7" fillId="0" borderId="0" xfId="0" applyNumberFormat="1" applyFont="1"/>
    <xf numFmtId="169" fontId="7" fillId="0" borderId="2" xfId="0" applyNumberFormat="1" applyFont="1" applyBorder="1"/>
    <xf numFmtId="41" fontId="7" fillId="0" borderId="3" xfId="0" applyNumberFormat="1" applyFont="1" applyBorder="1"/>
    <xf numFmtId="10" fontId="7" fillId="0" borderId="3" xfId="9" applyNumberFormat="1" applyFont="1" applyFill="1" applyBorder="1"/>
    <xf numFmtId="164" fontId="7" fillId="0" borderId="3" xfId="4" applyNumberFormat="1" applyFont="1" applyFill="1" applyBorder="1"/>
    <xf numFmtId="8" fontId="7" fillId="0" borderId="0" xfId="0" applyNumberFormat="1" applyFont="1"/>
    <xf numFmtId="2" fontId="7" fillId="0" borderId="0" xfId="0" applyNumberFormat="1" applyFont="1" applyAlignment="1">
      <alignment horizontal="right"/>
    </xf>
    <xf numFmtId="169" fontId="7" fillId="0" borderId="0" xfId="1" applyNumberFormat="1" applyFont="1" applyFill="1" applyBorder="1" applyAlignment="1">
      <alignment horizontal="right"/>
    </xf>
    <xf numFmtId="169" fontId="7" fillId="0" borderId="0" xfId="1" applyNumberFormat="1" applyFont="1" applyFill="1" applyAlignment="1">
      <alignment horizontal="right"/>
    </xf>
    <xf numFmtId="0" fontId="6" fillId="0" borderId="0" xfId="0" applyFont="1" applyAlignment="1">
      <alignment horizontal="left"/>
    </xf>
    <xf numFmtId="1" fontId="7" fillId="0" borderId="0" xfId="0" applyNumberFormat="1" applyFont="1"/>
    <xf numFmtId="170" fontId="7" fillId="0" borderId="0" xfId="1" applyNumberFormat="1" applyFont="1" applyBorder="1" applyAlignment="1">
      <alignment horizontal="right"/>
    </xf>
    <xf numFmtId="44" fontId="7" fillId="0" borderId="0" xfId="4" applyFont="1" applyBorder="1" applyAlignment="1">
      <alignment horizontal="right"/>
    </xf>
    <xf numFmtId="0" fontId="6" fillId="0" borderId="0" xfId="0" applyFont="1" applyAlignment="1">
      <alignment horizontal="right" wrapText="1"/>
    </xf>
    <xf numFmtId="174" fontId="7" fillId="0" borderId="0" xfId="0" applyNumberFormat="1" applyFont="1"/>
    <xf numFmtId="171" fontId="7" fillId="0" borderId="2" xfId="1" applyNumberFormat="1" applyFont="1" applyBorder="1"/>
    <xf numFmtId="1" fontId="7" fillId="0" borderId="0" xfId="0" applyNumberFormat="1" applyFont="1" applyAlignment="1">
      <alignment horizontal="right"/>
    </xf>
    <xf numFmtId="44" fontId="7" fillId="0" borderId="0" xfId="4" applyFont="1" applyFill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171" fontId="7" fillId="0" borderId="0" xfId="1" applyNumberFormat="1" applyFont="1" applyBorder="1"/>
    <xf numFmtId="171" fontId="7" fillId="0" borderId="0" xfId="1" applyNumberFormat="1" applyFont="1"/>
    <xf numFmtId="41" fontId="8" fillId="0" borderId="0" xfId="0" applyNumberFormat="1" applyFont="1" applyAlignment="1">
      <alignment horizontal="left"/>
    </xf>
    <xf numFmtId="0" fontId="6" fillId="0" borderId="0" xfId="0" quotePrefix="1" applyFont="1"/>
    <xf numFmtId="0" fontId="10" fillId="0" borderId="0" xfId="0" applyFont="1"/>
    <xf numFmtId="0" fontId="6" fillId="0" borderId="2" xfId="0" applyFont="1" applyBorder="1" applyAlignment="1">
      <alignment horizontal="center"/>
    </xf>
    <xf numFmtId="164" fontId="7" fillId="0" borderId="0" xfId="5" applyNumberFormat="1" applyFont="1"/>
    <xf numFmtId="164" fontId="7" fillId="0" borderId="0" xfId="4" applyNumberFormat="1" applyFont="1" applyFill="1" applyAlignment="1">
      <alignment horizontal="right"/>
    </xf>
    <xf numFmtId="164" fontId="7" fillId="0" borderId="0" xfId="4" applyNumberFormat="1" applyFont="1" applyFill="1"/>
    <xf numFmtId="10" fontId="7" fillId="0" borderId="0" xfId="9" applyNumberFormat="1" applyFont="1" applyFill="1"/>
    <xf numFmtId="176" fontId="7" fillId="0" borderId="0" xfId="0" applyNumberFormat="1" applyFont="1"/>
    <xf numFmtId="2" fontId="7" fillId="0" borderId="2" xfId="0" applyNumberFormat="1" applyFont="1" applyBorder="1" applyAlignment="1">
      <alignment horizontal="right"/>
    </xf>
    <xf numFmtId="44" fontId="7" fillId="0" borderId="0" xfId="4" applyFont="1" applyFill="1" applyBorder="1"/>
    <xf numFmtId="44" fontId="7" fillId="0" borderId="2" xfId="4" applyFont="1" applyBorder="1"/>
    <xf numFmtId="44" fontId="7" fillId="0" borderId="2" xfId="4" applyFont="1" applyFill="1" applyBorder="1"/>
    <xf numFmtId="44" fontId="7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44" fontId="7" fillId="0" borderId="0" xfId="4" applyFont="1" applyAlignment="1">
      <alignment horizontal="center"/>
    </xf>
    <xf numFmtId="9" fontId="7" fillId="0" borderId="0" xfId="9" applyFont="1"/>
    <xf numFmtId="0" fontId="7" fillId="0" borderId="0" xfId="8" applyFont="1"/>
    <xf numFmtId="0" fontId="10" fillId="0" borderId="0" xfId="8" applyFont="1"/>
    <xf numFmtId="0" fontId="6" fillId="0" borderId="0" xfId="8" applyFont="1" applyAlignment="1">
      <alignment horizontal="right"/>
    </xf>
    <xf numFmtId="0" fontId="6" fillId="0" borderId="0" xfId="8" applyFont="1"/>
    <xf numFmtId="0" fontId="6" fillId="0" borderId="0" xfId="8" applyFont="1" applyAlignment="1">
      <alignment horizontal="center"/>
    </xf>
    <xf numFmtId="0" fontId="6" fillId="0" borderId="2" xfId="8" applyFont="1" applyBorder="1"/>
    <xf numFmtId="0" fontId="6" fillId="0" borderId="2" xfId="8" applyFont="1" applyBorder="1" applyAlignment="1">
      <alignment horizontal="right"/>
    </xf>
    <xf numFmtId="0" fontId="7" fillId="0" borderId="0" xfId="7" applyFont="1"/>
    <xf numFmtId="43" fontId="7" fillId="0" borderId="0" xfId="3" applyFont="1"/>
    <xf numFmtId="164" fontId="7" fillId="0" borderId="0" xfId="8" applyNumberFormat="1" applyFont="1"/>
    <xf numFmtId="171" fontId="7" fillId="0" borderId="0" xfId="3" applyNumberFormat="1" applyFont="1"/>
    <xf numFmtId="0" fontId="7" fillId="2" borderId="0" xfId="8" applyFont="1" applyFill="1"/>
    <xf numFmtId="0" fontId="7" fillId="0" borderId="0" xfId="8" applyFont="1" applyAlignment="1">
      <alignment horizontal="center"/>
    </xf>
    <xf numFmtId="167" fontId="7" fillId="0" borderId="0" xfId="12" applyNumberFormat="1" applyFont="1"/>
    <xf numFmtId="0" fontId="7" fillId="0" borderId="3" xfId="8" applyFont="1" applyBorder="1" applyAlignment="1">
      <alignment vertical="center"/>
    </xf>
    <xf numFmtId="164" fontId="7" fillId="0" borderId="3" xfId="8" applyNumberFormat="1" applyFont="1" applyBorder="1" applyAlignment="1">
      <alignment vertical="center"/>
    </xf>
    <xf numFmtId="167" fontId="7" fillId="0" borderId="3" xfId="12" applyNumberFormat="1" applyFont="1" applyBorder="1" applyAlignment="1">
      <alignment vertical="center"/>
    </xf>
    <xf numFmtId="0" fontId="7" fillId="0" borderId="0" xfId="8" applyFont="1" applyAlignment="1">
      <alignment vertical="center"/>
    </xf>
    <xf numFmtId="41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167" fontId="7" fillId="0" borderId="0" xfId="8" applyNumberFormat="1" applyFont="1"/>
    <xf numFmtId="5" fontId="7" fillId="0" borderId="0" xfId="4" applyNumberFormat="1" applyFont="1" applyFill="1"/>
    <xf numFmtId="0" fontId="7" fillId="0" borderId="0" xfId="1" applyNumberFormat="1" applyFont="1" applyFill="1" applyAlignment="1">
      <alignment horizontal="center"/>
    </xf>
    <xf numFmtId="0" fontId="7" fillId="0" borderId="0" xfId="11" applyNumberFormat="1" applyFont="1" applyFill="1" applyAlignment="1">
      <alignment horizontal="center"/>
    </xf>
    <xf numFmtId="0" fontId="7" fillId="0" borderId="3" xfId="8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7" fillId="0" borderId="5" xfId="0" applyFont="1" applyBorder="1"/>
    <xf numFmtId="164" fontId="7" fillId="0" borderId="5" xfId="0" applyNumberFormat="1" applyFont="1" applyBorder="1"/>
    <xf numFmtId="44" fontId="7" fillId="0" borderId="5" xfId="0" applyNumberFormat="1" applyFont="1" applyBorder="1"/>
    <xf numFmtId="164" fontId="7" fillId="0" borderId="5" xfId="9" applyNumberFormat="1" applyFont="1" applyBorder="1"/>
    <xf numFmtId="10" fontId="7" fillId="0" borderId="5" xfId="9" applyNumberFormat="1" applyFont="1" applyBorder="1"/>
    <xf numFmtId="0" fontId="8" fillId="0" borderId="0" xfId="0" applyFont="1" applyAlignment="1">
      <alignment horizontal="right"/>
    </xf>
    <xf numFmtId="41" fontId="8" fillId="0" borderId="0" xfId="0" applyNumberFormat="1" applyFont="1" applyAlignment="1">
      <alignment horizontal="right"/>
    </xf>
    <xf numFmtId="44" fontId="8" fillId="0" borderId="0" xfId="4" applyFont="1" applyFill="1"/>
    <xf numFmtId="169" fontId="7" fillId="0" borderId="5" xfId="1" applyNumberFormat="1" applyFont="1" applyBorder="1"/>
    <xf numFmtId="164" fontId="7" fillId="0" borderId="0" xfId="5" applyNumberFormat="1" applyFont="1" applyFill="1"/>
    <xf numFmtId="41" fontId="6" fillId="0" borderId="0" xfId="0" applyNumberFormat="1" applyFont="1" applyAlignment="1">
      <alignment horizontal="right" wrapText="1"/>
    </xf>
    <xf numFmtId="164" fontId="7" fillId="0" borderId="0" xfId="9" applyNumberFormat="1" applyFont="1" applyBorder="1"/>
    <xf numFmtId="0" fontId="8" fillId="0" borderId="2" xfId="0" applyFont="1" applyBorder="1" applyAlignment="1">
      <alignment horizontal="right" wrapText="1"/>
    </xf>
    <xf numFmtId="166" fontId="7" fillId="0" borderId="0" xfId="0" applyNumberFormat="1" applyFont="1" applyAlignment="1">
      <alignment horizontal="right"/>
    </xf>
    <xf numFmtId="44" fontId="7" fillId="0" borderId="0" xfId="4" applyFont="1" applyAlignment="1">
      <alignment horizontal="right"/>
    </xf>
    <xf numFmtId="174" fontId="7" fillId="0" borderId="0" xfId="0" applyNumberFormat="1" applyFont="1" applyAlignment="1">
      <alignment horizontal="right"/>
    </xf>
    <xf numFmtId="167" fontId="7" fillId="0" borderId="0" xfId="9" applyNumberFormat="1" applyFont="1" applyFill="1"/>
    <xf numFmtId="169" fontId="6" fillId="0" borderId="0" xfId="0" applyNumberFormat="1" applyFont="1" applyAlignment="1">
      <alignment horizontal="right" wrapText="1"/>
    </xf>
    <xf numFmtId="0" fontId="7" fillId="0" borderId="0" xfId="8" applyFont="1" applyAlignment="1">
      <alignment horizontal="right"/>
    </xf>
    <xf numFmtId="0" fontId="7" fillId="0" borderId="0" xfId="8" applyFont="1" applyAlignment="1">
      <alignment horizontal="center" vertical="center"/>
    </xf>
    <xf numFmtId="164" fontId="7" fillId="0" borderId="0" xfId="8" applyNumberFormat="1" applyFont="1" applyAlignment="1">
      <alignment vertical="center"/>
    </xf>
    <xf numFmtId="167" fontId="7" fillId="0" borderId="0" xfId="12" applyNumberFormat="1" applyFont="1" applyBorder="1" applyAlignment="1">
      <alignment vertical="center"/>
    </xf>
    <xf numFmtId="7" fontId="7" fillId="0" borderId="0" xfId="4" applyNumberFormat="1" applyFont="1" applyFill="1"/>
    <xf numFmtId="169" fontId="0" fillId="0" borderId="0" xfId="1" applyNumberFormat="1" applyFont="1"/>
    <xf numFmtId="0" fontId="1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4" applyNumberFormat="1" applyFont="1" applyFill="1" applyBorder="1" applyAlignment="1">
      <alignment horizontal="right"/>
    </xf>
    <xf numFmtId="169" fontId="13" fillId="0" borderId="0" xfId="1" applyNumberFormat="1" applyFont="1" applyFill="1"/>
    <xf numFmtId="0" fontId="10" fillId="0" borderId="0" xfId="15" applyFont="1"/>
    <xf numFmtId="0" fontId="5" fillId="0" borderId="0" xfId="15" applyAlignment="1">
      <alignment horizontal="center"/>
    </xf>
    <xf numFmtId="0" fontId="5" fillId="0" borderId="0" xfId="15"/>
    <xf numFmtId="0" fontId="10" fillId="0" borderId="0" xfId="15" applyFont="1" applyAlignment="1">
      <alignment horizontal="left"/>
    </xf>
    <xf numFmtId="0" fontId="14" fillId="0" borderId="7" xfId="15" applyFont="1" applyBorder="1" applyAlignment="1">
      <alignment horizontal="center" vertical="center"/>
    </xf>
    <xf numFmtId="0" fontId="14" fillId="0" borderId="8" xfId="15" applyFont="1" applyBorder="1" applyAlignment="1">
      <alignment horizontal="center" vertical="center"/>
    </xf>
    <xf numFmtId="0" fontId="14" fillId="0" borderId="27" xfId="15" applyFont="1" applyBorder="1" applyAlignment="1">
      <alignment horizontal="center" vertical="center"/>
    </xf>
    <xf numFmtId="0" fontId="14" fillId="0" borderId="28" xfId="15" applyFont="1" applyBorder="1" applyAlignment="1">
      <alignment horizontal="center" vertical="center"/>
    </xf>
    <xf numFmtId="0" fontId="14" fillId="0" borderId="29" xfId="15" applyFont="1" applyBorder="1" applyAlignment="1">
      <alignment horizontal="center" vertical="center"/>
    </xf>
    <xf numFmtId="0" fontId="14" fillId="0" borderId="30" xfId="15" applyFont="1" applyBorder="1" applyAlignment="1">
      <alignment horizontal="center" vertical="center"/>
    </xf>
    <xf numFmtId="0" fontId="14" fillId="0" borderId="0" xfId="15" applyFont="1"/>
    <xf numFmtId="0" fontId="14" fillId="0" borderId="9" xfId="15" applyFont="1" applyBorder="1" applyAlignment="1">
      <alignment horizontal="center" vertical="center"/>
    </xf>
    <xf numFmtId="0" fontId="14" fillId="0" borderId="10" xfId="15" applyFont="1" applyBorder="1" applyAlignment="1">
      <alignment horizontal="center" vertical="center"/>
    </xf>
    <xf numFmtId="44" fontId="18" fillId="0" borderId="10" xfId="15" applyNumberFormat="1" applyFont="1" applyBorder="1" applyAlignment="1">
      <alignment horizontal="center" vertical="center"/>
    </xf>
    <xf numFmtId="0" fontId="18" fillId="0" borderId="10" xfId="15" applyFont="1" applyBorder="1" applyAlignment="1">
      <alignment horizontal="center" vertical="center"/>
    </xf>
    <xf numFmtId="0" fontId="14" fillId="0" borderId="31" xfId="15" applyFont="1" applyBorder="1" applyAlignment="1">
      <alignment horizontal="center" vertical="center"/>
    </xf>
    <xf numFmtId="0" fontId="5" fillId="0" borderId="11" xfId="15" applyBorder="1" applyAlignment="1">
      <alignment horizontal="center"/>
    </xf>
    <xf numFmtId="169" fontId="0" fillId="0" borderId="12" xfId="16" applyNumberFormat="1" applyFont="1" applyBorder="1"/>
    <xf numFmtId="44" fontId="5" fillId="0" borderId="13" xfId="15" applyNumberFormat="1" applyBorder="1"/>
    <xf numFmtId="44" fontId="5" fillId="0" borderId="0" xfId="15" applyNumberFormat="1"/>
    <xf numFmtId="44" fontId="5" fillId="0" borderId="5" xfId="15" applyNumberFormat="1" applyBorder="1"/>
    <xf numFmtId="44" fontId="5" fillId="0" borderId="13" xfId="17" applyFont="1" applyBorder="1"/>
    <xf numFmtId="44" fontId="5" fillId="0" borderId="5" xfId="17" applyFont="1" applyBorder="1"/>
    <xf numFmtId="167" fontId="5" fillId="0" borderId="14" xfId="18" applyNumberFormat="1" applyFont="1" applyBorder="1"/>
    <xf numFmtId="0" fontId="5" fillId="0" borderId="9" xfId="15" applyBorder="1" applyAlignment="1">
      <alignment horizontal="center"/>
    </xf>
    <xf numFmtId="44" fontId="5" fillId="0" borderId="15" xfId="15" applyNumberFormat="1" applyBorder="1"/>
    <xf numFmtId="44" fontId="5" fillId="0" borderId="17" xfId="15" applyNumberFormat="1" applyBorder="1"/>
    <xf numFmtId="44" fontId="5" fillId="0" borderId="15" xfId="17" applyFont="1" applyBorder="1"/>
    <xf numFmtId="167" fontId="5" fillId="0" borderId="16" xfId="18" applyNumberFormat="1" applyFont="1" applyBorder="1"/>
    <xf numFmtId="169" fontId="5" fillId="0" borderId="15" xfId="1" applyNumberFormat="1" applyFont="1" applyBorder="1"/>
    <xf numFmtId="173" fontId="18" fillId="0" borderId="10" xfId="4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6" fillId="0" borderId="2" xfId="8" applyFont="1" applyBorder="1" applyAlignment="1">
      <alignment horizontal="center"/>
    </xf>
    <xf numFmtId="43" fontId="7" fillId="0" borderId="0" xfId="1" applyFont="1" applyFill="1"/>
    <xf numFmtId="43" fontId="7" fillId="0" borderId="0" xfId="3" applyFont="1" applyFill="1"/>
    <xf numFmtId="171" fontId="7" fillId="0" borderId="0" xfId="3" applyNumberFormat="1" applyFont="1" applyFill="1"/>
    <xf numFmtId="43" fontId="17" fillId="0" borderId="0" xfId="3" applyFont="1" applyFill="1"/>
    <xf numFmtId="171" fontId="17" fillId="0" borderId="0" xfId="3" applyNumberFormat="1" applyFont="1" applyFill="1"/>
    <xf numFmtId="0" fontId="14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4" xfId="0" applyBorder="1" applyAlignment="1">
      <alignment horizontal="center"/>
    </xf>
    <xf numFmtId="177" fontId="0" fillId="0" borderId="29" xfId="0" applyNumberForma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177" fontId="14" fillId="0" borderId="29" xfId="0" applyNumberFormat="1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16" fontId="5" fillId="0" borderId="29" xfId="0" applyNumberFormat="1" applyFon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14" fillId="0" borderId="29" xfId="0" applyNumberFormat="1" applyFont="1" applyBorder="1" applyAlignment="1">
      <alignment horizontal="center"/>
    </xf>
    <xf numFmtId="0" fontId="14" fillId="0" borderId="29" xfId="0" applyFont="1" applyBorder="1"/>
    <xf numFmtId="3" fontId="0" fillId="0" borderId="29" xfId="0" applyNumberFormat="1" applyBorder="1"/>
    <xf numFmtId="3" fontId="14" fillId="0" borderId="29" xfId="0" applyNumberFormat="1" applyFont="1" applyBorder="1"/>
    <xf numFmtId="0" fontId="0" fillId="0" borderId="29" xfId="0" applyBorder="1"/>
    <xf numFmtId="3" fontId="0" fillId="0" borderId="0" xfId="0" applyNumberFormat="1"/>
    <xf numFmtId="3" fontId="14" fillId="0" borderId="32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0" fontId="19" fillId="0" borderId="0" xfId="0" applyFont="1" applyAlignment="1">
      <alignment horizontal="center"/>
    </xf>
    <xf numFmtId="3" fontId="0" fillId="3" borderId="29" xfId="0" applyNumberFormat="1" applyFill="1" applyBorder="1"/>
    <xf numFmtId="0" fontId="14" fillId="0" borderId="0" xfId="0" applyFont="1"/>
    <xf numFmtId="3" fontId="14" fillId="0" borderId="0" xfId="0" applyNumberFormat="1" applyFont="1"/>
    <xf numFmtId="0" fontId="14" fillId="4" borderId="0" xfId="0" applyFont="1" applyFill="1" applyAlignment="1">
      <alignment horizontal="center"/>
    </xf>
    <xf numFmtId="0" fontId="14" fillId="4" borderId="0" xfId="0" applyFont="1" applyFill="1"/>
    <xf numFmtId="3" fontId="14" fillId="4" borderId="0" xfId="0" applyNumberFormat="1" applyFont="1" applyFill="1"/>
    <xf numFmtId="0" fontId="0" fillId="4" borderId="0" xfId="0" applyFill="1"/>
    <xf numFmtId="0" fontId="5" fillId="0" borderId="29" xfId="0" applyFont="1" applyBorder="1"/>
    <xf numFmtId="0" fontId="21" fillId="0" borderId="35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" fontId="0" fillId="0" borderId="29" xfId="0" applyNumberFormat="1" applyBorder="1" applyAlignment="1">
      <alignment horizontal="center"/>
    </xf>
    <xf numFmtId="4" fontId="0" fillId="0" borderId="29" xfId="0" applyNumberFormat="1" applyBorder="1"/>
    <xf numFmtId="3" fontId="14" fillId="3" borderId="29" xfId="0" applyNumberFormat="1" applyFont="1" applyFill="1" applyBorder="1"/>
    <xf numFmtId="0" fontId="16" fillId="0" borderId="29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0" fillId="0" borderId="32" xfId="0" applyNumberForma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14" fillId="0" borderId="0" xfId="0" applyNumberFormat="1" applyFont="1" applyAlignment="1">
      <alignment horizontal="center"/>
    </xf>
    <xf numFmtId="3" fontId="5" fillId="0" borderId="29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3" fontId="5" fillId="0" borderId="32" xfId="0" applyNumberFormat="1" applyFont="1" applyBorder="1" applyAlignment="1">
      <alignment horizontal="center"/>
    </xf>
    <xf numFmtId="0" fontId="6" fillId="0" borderId="5" xfId="0" applyFont="1" applyBorder="1"/>
    <xf numFmtId="178" fontId="0" fillId="0" borderId="29" xfId="0" applyNumberFormat="1" applyBorder="1"/>
    <xf numFmtId="169" fontId="7" fillId="0" borderId="4" xfId="1" applyNumberFormat="1" applyFont="1" applyFill="1" applyBorder="1"/>
    <xf numFmtId="9" fontId="7" fillId="0" borderId="0" xfId="8" applyNumberFormat="1" applyFont="1"/>
    <xf numFmtId="2" fontId="6" fillId="0" borderId="0" xfId="8" applyNumberFormat="1" applyFont="1" applyAlignment="1">
      <alignment horizontal="center"/>
    </xf>
    <xf numFmtId="41" fontId="24" fillId="0" borderId="0" xfId="0" applyNumberFormat="1" applyFont="1"/>
    <xf numFmtId="0" fontId="5" fillId="0" borderId="0" xfId="15" applyAlignment="1">
      <alignment vertical="center"/>
    </xf>
    <xf numFmtId="0" fontId="5" fillId="0" borderId="36" xfId="15" applyBorder="1" applyAlignment="1">
      <alignment horizontal="center" vertical="center"/>
    </xf>
    <xf numFmtId="169" fontId="0" fillId="0" borderId="37" xfId="16" applyNumberFormat="1" applyFont="1" applyBorder="1" applyAlignment="1">
      <alignment vertical="center"/>
    </xf>
    <xf numFmtId="44" fontId="5" fillId="0" borderId="38" xfId="15" applyNumberFormat="1" applyBorder="1" applyAlignment="1">
      <alignment vertical="center"/>
    </xf>
    <xf numFmtId="44" fontId="5" fillId="0" borderId="39" xfId="15" applyNumberFormat="1" applyBorder="1" applyAlignment="1">
      <alignment vertical="center"/>
    </xf>
    <xf numFmtId="44" fontId="5" fillId="0" borderId="40" xfId="15" applyNumberFormat="1" applyBorder="1" applyAlignment="1">
      <alignment vertical="center"/>
    </xf>
    <xf numFmtId="44" fontId="5" fillId="0" borderId="38" xfId="17" applyFont="1" applyBorder="1" applyAlignment="1">
      <alignment vertical="center"/>
    </xf>
    <xf numFmtId="44" fontId="5" fillId="0" borderId="40" xfId="17" applyFont="1" applyBorder="1" applyAlignment="1">
      <alignment vertical="center"/>
    </xf>
    <xf numFmtId="167" fontId="5" fillId="0" borderId="41" xfId="18" applyNumberFormat="1" applyFont="1" applyBorder="1" applyAlignment="1">
      <alignment vertical="center"/>
    </xf>
    <xf numFmtId="169" fontId="8" fillId="0" borderId="0" xfId="1" applyNumberFormat="1" applyFont="1"/>
    <xf numFmtId="169" fontId="8" fillId="0" borderId="0" xfId="0" applyNumberFormat="1" applyFont="1"/>
    <xf numFmtId="0" fontId="0" fillId="5" borderId="0" xfId="0" applyFill="1"/>
    <xf numFmtId="3" fontId="5" fillId="0" borderId="29" xfId="0" applyNumberFormat="1" applyFont="1" applyBorder="1"/>
    <xf numFmtId="43" fontId="5" fillId="0" borderId="0" xfId="1" applyFont="1"/>
    <xf numFmtId="3" fontId="0" fillId="0" borderId="4" xfId="0" applyNumberFormat="1" applyBorder="1"/>
    <xf numFmtId="0" fontId="0" fillId="0" borderId="4" xfId="0" applyBorder="1"/>
    <xf numFmtId="177" fontId="0" fillId="7" borderId="29" xfId="0" applyNumberFormat="1" applyFill="1" applyBorder="1" applyAlignment="1">
      <alignment horizontal="center"/>
    </xf>
    <xf numFmtId="0" fontId="14" fillId="7" borderId="29" xfId="0" applyFont="1" applyFill="1" applyBorder="1" applyAlignment="1">
      <alignment horizontal="center"/>
    </xf>
    <xf numFmtId="3" fontId="0" fillId="7" borderId="29" xfId="0" applyNumberFormat="1" applyFill="1" applyBorder="1"/>
    <xf numFmtId="3" fontId="14" fillId="7" borderId="29" xfId="0" applyNumberFormat="1" applyFont="1" applyFill="1" applyBorder="1"/>
    <xf numFmtId="0" fontId="14" fillId="7" borderId="0" xfId="0" applyFont="1" applyFill="1" applyAlignment="1">
      <alignment horizontal="center"/>
    </xf>
    <xf numFmtId="169" fontId="0" fillId="7" borderId="0" xfId="1" applyNumberFormat="1" applyFont="1" applyFill="1"/>
    <xf numFmtId="169" fontId="0" fillId="7" borderId="4" xfId="1" applyNumberFormat="1" applyFont="1" applyFill="1" applyBorder="1"/>
    <xf numFmtId="0" fontId="25" fillId="7" borderId="0" xfId="0" applyFont="1" applyFill="1"/>
    <xf numFmtId="0" fontId="26" fillId="0" borderId="0" xfId="8" applyFont="1"/>
    <xf numFmtId="164" fontId="7" fillId="0" borderId="4" xfId="0" applyNumberFormat="1" applyFont="1" applyBorder="1"/>
    <xf numFmtId="41" fontId="7" fillId="0" borderId="4" xfId="0" applyNumberFormat="1" applyFont="1" applyBorder="1" applyAlignment="1">
      <alignment horizontal="right"/>
    </xf>
    <xf numFmtId="169" fontId="27" fillId="0" borderId="0" xfId="1" applyNumberFormat="1" applyFont="1" applyFill="1" applyAlignment="1">
      <alignment horizontal="right"/>
    </xf>
    <xf numFmtId="179" fontId="8" fillId="0" borderId="0" xfId="0" applyNumberFormat="1" applyFont="1" applyAlignment="1">
      <alignment horizontal="right"/>
    </xf>
    <xf numFmtId="171" fontId="0" fillId="0" borderId="0" xfId="1" applyNumberFormat="1" applyFont="1"/>
    <xf numFmtId="171" fontId="8" fillId="0" borderId="0" xfId="0" applyNumberFormat="1" applyFont="1"/>
    <xf numFmtId="0" fontId="14" fillId="0" borderId="0" xfId="0" applyFont="1" applyAlignment="1">
      <alignment horizontal="right"/>
    </xf>
    <xf numFmtId="0" fontId="14" fillId="0" borderId="13" xfId="0" applyFont="1" applyBorder="1" applyAlignment="1">
      <alignment horizontal="right"/>
    </xf>
    <xf numFmtId="3" fontId="28" fillId="0" borderId="0" xfId="0" applyNumberFormat="1" applyFont="1"/>
    <xf numFmtId="3" fontId="14" fillId="0" borderId="0" xfId="1" applyNumberFormat="1" applyFont="1" applyBorder="1"/>
    <xf numFmtId="1" fontId="5" fillId="0" borderId="0" xfId="0" applyNumberFormat="1" applyFont="1"/>
    <xf numFmtId="164" fontId="7" fillId="0" borderId="0" xfId="8" applyNumberFormat="1" applyFont="1" applyAlignment="1">
      <alignment horizontal="right"/>
    </xf>
    <xf numFmtId="167" fontId="7" fillId="0" borderId="0" xfId="9" applyNumberFormat="1" applyFont="1"/>
    <xf numFmtId="164" fontId="7" fillId="0" borderId="0" xfId="4" applyNumberFormat="1" applyFont="1" applyAlignment="1">
      <alignment horizontal="right"/>
    </xf>
    <xf numFmtId="10" fontId="7" fillId="0" borderId="0" xfId="9" applyNumberFormat="1" applyFont="1" applyAlignment="1">
      <alignment horizontal="right"/>
    </xf>
    <xf numFmtId="0" fontId="26" fillId="0" borderId="0" xfId="8" applyFont="1" applyAlignment="1">
      <alignment horizontal="right"/>
    </xf>
    <xf numFmtId="10" fontId="7" fillId="0" borderId="0" xfId="8" applyNumberFormat="1" applyFont="1"/>
    <xf numFmtId="169" fontId="8" fillId="0" borderId="0" xfId="1" applyNumberFormat="1" applyFont="1" applyAlignment="1">
      <alignment horizontal="right"/>
    </xf>
    <xf numFmtId="0" fontId="7" fillId="0" borderId="4" xfId="8" applyFont="1" applyBorder="1"/>
    <xf numFmtId="180" fontId="17" fillId="0" borderId="0" xfId="8" applyNumberFormat="1" applyFont="1"/>
    <xf numFmtId="0" fontId="5" fillId="0" borderId="4" xfId="0" applyFont="1" applyBorder="1"/>
    <xf numFmtId="169" fontId="0" fillId="0" borderId="0" xfId="1" applyNumberFormat="1" applyFont="1" applyFill="1" applyBorder="1"/>
    <xf numFmtId="177" fontId="19" fillId="0" borderId="29" xfId="0" applyNumberFormat="1" applyFont="1" applyBorder="1" applyAlignment="1">
      <alignment horizontal="center"/>
    </xf>
    <xf numFmtId="174" fontId="0" fillId="0" borderId="29" xfId="0" applyNumberFormat="1" applyBorder="1"/>
    <xf numFmtId="181" fontId="0" fillId="0" borderId="0" xfId="0" applyNumberFormat="1"/>
    <xf numFmtId="174" fontId="0" fillId="0" borderId="0" xfId="0" applyNumberFormat="1"/>
    <xf numFmtId="0" fontId="0" fillId="0" borderId="0" xfId="1" applyNumberFormat="1" applyFont="1"/>
    <xf numFmtId="3" fontId="0" fillId="0" borderId="0" xfId="1" applyNumberFormat="1" applyFont="1"/>
    <xf numFmtId="182" fontId="7" fillId="0" borderId="0" xfId="1" applyNumberFormat="1" applyFont="1"/>
    <xf numFmtId="164" fontId="24" fillId="0" borderId="0" xfId="0" applyNumberFormat="1" applyFont="1"/>
    <xf numFmtId="164" fontId="24" fillId="0" borderId="0" xfId="4" applyNumberFormat="1" applyFont="1" applyBorder="1"/>
    <xf numFmtId="171" fontId="0" fillId="0" borderId="29" xfId="1" applyNumberFormat="1" applyFont="1" applyBorder="1" applyAlignment="1">
      <alignment horizontal="center"/>
    </xf>
    <xf numFmtId="0" fontId="7" fillId="0" borderId="4" xfId="8" applyFont="1" applyBorder="1" applyAlignment="1">
      <alignment horizontal="center"/>
    </xf>
    <xf numFmtId="0" fontId="7" fillId="0" borderId="4" xfId="0" applyFont="1" applyBorder="1"/>
    <xf numFmtId="0" fontId="7" fillId="0" borderId="4" xfId="11" applyNumberFormat="1" applyFont="1" applyFill="1" applyBorder="1" applyAlignment="1">
      <alignment horizontal="center"/>
    </xf>
    <xf numFmtId="0" fontId="7" fillId="2" borderId="4" xfId="8" applyFont="1" applyFill="1" applyBorder="1"/>
    <xf numFmtId="43" fontId="7" fillId="0" borderId="4" xfId="1" applyFont="1" applyBorder="1"/>
    <xf numFmtId="43" fontId="7" fillId="0" borderId="4" xfId="3" applyFont="1" applyBorder="1"/>
    <xf numFmtId="164" fontId="7" fillId="0" borderId="4" xfId="5" applyNumberFormat="1" applyFont="1" applyBorder="1"/>
    <xf numFmtId="44" fontId="7" fillId="0" borderId="4" xfId="4" applyFont="1" applyFill="1" applyBorder="1"/>
    <xf numFmtId="0" fontId="7" fillId="0" borderId="4" xfId="1" applyNumberFormat="1" applyFont="1" applyFill="1" applyBorder="1" applyAlignment="1">
      <alignment horizontal="center"/>
    </xf>
    <xf numFmtId="7" fontId="7" fillId="0" borderId="4" xfId="4" applyNumberFormat="1" applyFont="1" applyFill="1" applyBorder="1"/>
    <xf numFmtId="164" fontId="7" fillId="0" borderId="4" xfId="5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8" applyFont="1" applyAlignment="1">
      <alignment horizontal="left"/>
    </xf>
    <xf numFmtId="0" fontId="7" fillId="0" borderId="0" xfId="8" applyFont="1" applyAlignment="1">
      <alignment horizontal="left"/>
    </xf>
    <xf numFmtId="0" fontId="7" fillId="0" borderId="0" xfId="8" applyFont="1" applyAlignment="1">
      <alignment horizontal="left" vertical="center"/>
    </xf>
    <xf numFmtId="0" fontId="26" fillId="0" borderId="0" xfId="8" applyFont="1" applyAlignment="1">
      <alignment horizontal="left"/>
    </xf>
    <xf numFmtId="170" fontId="7" fillId="0" borderId="0" xfId="1" applyNumberFormat="1" applyFont="1"/>
    <xf numFmtId="170" fontId="30" fillId="6" borderId="0" xfId="1" applyNumberFormat="1" applyFont="1" applyFill="1"/>
    <xf numFmtId="164" fontId="7" fillId="0" borderId="4" xfId="8" applyNumberFormat="1" applyFont="1" applyBorder="1"/>
    <xf numFmtId="164" fontId="32" fillId="0" borderId="0" xfId="0" applyNumberFormat="1" applyFont="1"/>
    <xf numFmtId="0" fontId="33" fillId="0" borderId="0" xfId="23" applyFont="1"/>
    <xf numFmtId="0" fontId="31" fillId="0" borderId="0" xfId="23" applyFont="1"/>
    <xf numFmtId="0" fontId="31" fillId="0" borderId="0" xfId="23" applyFont="1" applyAlignment="1">
      <alignment horizontal="center"/>
    </xf>
    <xf numFmtId="0" fontId="33" fillId="0" borderId="2" xfId="23" applyFont="1" applyBorder="1" applyAlignment="1">
      <alignment horizontal="left"/>
    </xf>
    <xf numFmtId="0" fontId="33" fillId="0" borderId="2" xfId="23" applyFont="1" applyBorder="1"/>
    <xf numFmtId="0" fontId="33" fillId="0" borderId="2" xfId="23" applyFont="1" applyBorder="1" applyAlignment="1">
      <alignment horizontal="right"/>
    </xf>
    <xf numFmtId="0" fontId="34" fillId="0" borderId="0" xfId="23" applyFont="1"/>
    <xf numFmtId="0" fontId="35" fillId="0" borderId="0" xfId="23" applyFont="1"/>
    <xf numFmtId="44" fontId="31" fillId="0" borderId="0" xfId="24" applyFont="1"/>
    <xf numFmtId="44" fontId="31" fillId="0" borderId="0" xfId="23" applyNumberFormat="1" applyFont="1"/>
    <xf numFmtId="44" fontId="34" fillId="0" borderId="0" xfId="24" applyFont="1" applyFill="1"/>
    <xf numFmtId="9" fontId="34" fillId="0" borderId="0" xfId="25" applyFont="1" applyFill="1"/>
    <xf numFmtId="173" fontId="31" fillId="0" borderId="0" xfId="23" applyNumberFormat="1" applyFont="1"/>
    <xf numFmtId="173" fontId="34" fillId="0" borderId="0" xfId="24" applyNumberFormat="1" applyFont="1" applyFill="1"/>
    <xf numFmtId="0" fontId="14" fillId="0" borderId="2" xfId="23" applyFont="1" applyBorder="1" applyAlignment="1">
      <alignment horizontal="left"/>
    </xf>
    <xf numFmtId="0" fontId="14" fillId="0" borderId="2" xfId="23" applyFont="1" applyBorder="1"/>
    <xf numFmtId="0" fontId="31" fillId="0" borderId="2" xfId="23" applyFont="1" applyBorder="1"/>
    <xf numFmtId="0" fontId="33" fillId="0" borderId="42" xfId="23" applyFont="1" applyBorder="1" applyAlignment="1">
      <alignment horizontal="right"/>
    </xf>
    <xf numFmtId="0" fontId="5" fillId="0" borderId="0" xfId="23" applyFont="1" applyAlignment="1">
      <alignment horizontal="center"/>
    </xf>
    <xf numFmtId="0" fontId="31" fillId="0" borderId="0" xfId="23" applyFont="1" applyAlignment="1">
      <alignment horizontal="left"/>
    </xf>
    <xf numFmtId="164" fontId="31" fillId="0" borderId="0" xfId="23" applyNumberFormat="1" applyFont="1"/>
    <xf numFmtId="0" fontId="5" fillId="0" borderId="4" xfId="23" applyFont="1" applyBorder="1" applyAlignment="1">
      <alignment horizontal="center"/>
    </xf>
    <xf numFmtId="0" fontId="31" fillId="0" borderId="4" xfId="23" applyFont="1" applyBorder="1"/>
    <xf numFmtId="183" fontId="31" fillId="0" borderId="0" xfId="23" applyNumberFormat="1" applyFont="1"/>
    <xf numFmtId="10" fontId="31" fillId="0" borderId="0" xfId="25" applyNumberFormat="1" applyFont="1" applyBorder="1"/>
    <xf numFmtId="0" fontId="14" fillId="0" borderId="0" xfId="23" applyFont="1" applyAlignment="1">
      <alignment horizontal="center"/>
    </xf>
    <xf numFmtId="0" fontId="14" fillId="0" borderId="2" xfId="23" applyFont="1" applyBorder="1" applyAlignment="1">
      <alignment horizontal="center"/>
    </xf>
    <xf numFmtId="0" fontId="5" fillId="0" borderId="0" xfId="23" applyFont="1" applyAlignment="1">
      <alignment horizontal="left"/>
    </xf>
    <xf numFmtId="167" fontId="31" fillId="0" borderId="0" xfId="9" applyNumberFormat="1" applyFont="1" applyBorder="1" applyAlignment="1">
      <alignment horizontal="right"/>
    </xf>
    <xf numFmtId="167" fontId="31" fillId="0" borderId="4" xfId="9" applyNumberFormat="1" applyFont="1" applyBorder="1"/>
    <xf numFmtId="167" fontId="7" fillId="0" borderId="0" xfId="11" applyNumberFormat="1" applyFont="1" applyFill="1"/>
    <xf numFmtId="167" fontId="7" fillId="0" borderId="0" xfId="11" applyNumberFormat="1" applyFont="1"/>
    <xf numFmtId="167" fontId="7" fillId="0" borderId="4" xfId="11" applyNumberFormat="1" applyFont="1" applyBorder="1"/>
    <xf numFmtId="167" fontId="7" fillId="0" borderId="4" xfId="11" applyNumberFormat="1" applyFont="1" applyFill="1" applyBorder="1"/>
    <xf numFmtId="169" fontId="5" fillId="0" borderId="0" xfId="1" applyNumberFormat="1" applyFont="1"/>
    <xf numFmtId="169" fontId="31" fillId="0" borderId="0" xfId="1" applyNumberFormat="1" applyFont="1" applyAlignment="1">
      <alignment horizontal="right"/>
    </xf>
    <xf numFmtId="169" fontId="31" fillId="0" borderId="0" xfId="1" applyNumberFormat="1" applyFont="1"/>
    <xf numFmtId="0" fontId="31" fillId="0" borderId="4" xfId="23" applyFont="1" applyBorder="1" applyAlignment="1">
      <alignment horizontal="right"/>
    </xf>
    <xf numFmtId="164" fontId="31" fillId="0" borderId="4" xfId="24" applyNumberFormat="1" applyFont="1" applyBorder="1" applyAlignment="1">
      <alignment horizontal="right"/>
    </xf>
    <xf numFmtId="174" fontId="31" fillId="0" borderId="0" xfId="24" applyNumberFormat="1" applyFont="1"/>
    <xf numFmtId="174" fontId="31" fillId="0" borderId="0" xfId="24" applyNumberFormat="1" applyFont="1" applyAlignment="1">
      <alignment horizontal="right"/>
    </xf>
    <xf numFmtId="174" fontId="31" fillId="0" borderId="0" xfId="23" applyNumberFormat="1" applyFont="1"/>
    <xf numFmtId="183" fontId="31" fillId="0" borderId="0" xfId="24" applyNumberFormat="1" applyFont="1" applyBorder="1" applyAlignment="1">
      <alignment horizontal="right"/>
    </xf>
    <xf numFmtId="183" fontId="31" fillId="0" borderId="4" xfId="24" applyNumberFormat="1" applyFont="1" applyBorder="1"/>
    <xf numFmtId="169" fontId="27" fillId="0" borderId="0" xfId="1" applyNumberFormat="1" applyFont="1" applyFill="1" applyAlignment="1">
      <alignment horizontal="left"/>
    </xf>
    <xf numFmtId="0" fontId="7" fillId="0" borderId="4" xfId="0" applyFont="1" applyBorder="1" applyAlignment="1">
      <alignment horizontal="left"/>
    </xf>
    <xf numFmtId="43" fontId="7" fillId="0" borderId="0" xfId="1" applyFont="1" applyAlignment="1">
      <alignment horizontal="right"/>
    </xf>
    <xf numFmtId="173" fontId="31" fillId="0" borderId="0" xfId="24" applyNumberFormat="1" applyFont="1"/>
    <xf numFmtId="172" fontId="34" fillId="0" borderId="0" xfId="24" applyNumberFormat="1" applyFont="1" applyFill="1"/>
    <xf numFmtId="184" fontId="7" fillId="0" borderId="0" xfId="0" applyNumberFormat="1" applyFont="1"/>
    <xf numFmtId="0" fontId="7" fillId="0" borderId="2" xfId="8" applyFont="1" applyBorder="1"/>
    <xf numFmtId="0" fontId="7" fillId="0" borderId="32" xfId="8" applyFont="1" applyBorder="1"/>
    <xf numFmtId="0" fontId="7" fillId="0" borderId="34" xfId="8" applyFont="1" applyBorder="1"/>
    <xf numFmtId="0" fontId="7" fillId="0" borderId="13" xfId="8" applyFont="1" applyBorder="1"/>
    <xf numFmtId="43" fontId="30" fillId="0" borderId="5" xfId="1" applyFont="1" applyBorder="1"/>
    <xf numFmtId="43" fontId="7" fillId="0" borderId="5" xfId="1" applyFont="1" applyBorder="1"/>
    <xf numFmtId="0" fontId="7" fillId="0" borderId="5" xfId="8" applyFont="1" applyBorder="1"/>
    <xf numFmtId="9" fontId="30" fillId="0" borderId="13" xfId="8" applyNumberFormat="1" applyFont="1" applyBorder="1"/>
    <xf numFmtId="43" fontId="7" fillId="0" borderId="5" xfId="8" applyNumberFormat="1" applyFont="1" applyBorder="1"/>
    <xf numFmtId="9" fontId="7" fillId="0" borderId="35" xfId="9" applyFont="1" applyBorder="1"/>
    <xf numFmtId="43" fontId="30" fillId="0" borderId="43" xfId="1" applyFont="1" applyBorder="1"/>
    <xf numFmtId="43" fontId="30" fillId="0" borderId="0" xfId="1" applyFont="1" applyBorder="1"/>
    <xf numFmtId="43" fontId="7" fillId="0" borderId="0" xfId="8" applyNumberFormat="1" applyFont="1"/>
    <xf numFmtId="0" fontId="7" fillId="0" borderId="33" xfId="8" applyFont="1" applyBorder="1"/>
    <xf numFmtId="0" fontId="26" fillId="0" borderId="4" xfId="8" applyFont="1" applyBorder="1"/>
    <xf numFmtId="0" fontId="7" fillId="0" borderId="44" xfId="8" applyFont="1" applyBorder="1"/>
    <xf numFmtId="0" fontId="6" fillId="0" borderId="5" xfId="8" applyFont="1" applyBorder="1"/>
    <xf numFmtId="0" fontId="7" fillId="0" borderId="13" xfId="8" applyFont="1" applyBorder="1" applyAlignment="1">
      <alignment horizontal="right"/>
    </xf>
    <xf numFmtId="43" fontId="17" fillId="0" borderId="0" xfId="3" applyFont="1" applyFill="1" applyBorder="1"/>
    <xf numFmtId="169" fontId="30" fillId="0" borderId="0" xfId="3" applyNumberFormat="1" applyFont="1" applyFill="1" applyBorder="1"/>
    <xf numFmtId="169" fontId="7" fillId="0" borderId="0" xfId="3" applyNumberFormat="1" applyFont="1" applyFill="1" applyBorder="1"/>
    <xf numFmtId="43" fontId="17" fillId="0" borderId="5" xfId="3" applyFont="1" applyFill="1" applyBorder="1"/>
    <xf numFmtId="171" fontId="17" fillId="0" borderId="0" xfId="3" applyNumberFormat="1" applyFont="1" applyFill="1" applyBorder="1"/>
    <xf numFmtId="171" fontId="17" fillId="0" borderId="5" xfId="3" applyNumberFormat="1" applyFont="1" applyFill="1" applyBorder="1"/>
    <xf numFmtId="169" fontId="30" fillId="0" borderId="0" xfId="8" applyNumberFormat="1" applyFont="1"/>
    <xf numFmtId="0" fontId="7" fillId="0" borderId="35" xfId="8" applyFont="1" applyBorder="1"/>
    <xf numFmtId="0" fontId="7" fillId="0" borderId="43" xfId="8" applyFont="1" applyBorder="1"/>
    <xf numFmtId="0" fontId="8" fillId="0" borderId="0" xfId="8" applyFont="1"/>
    <xf numFmtId="184" fontId="7" fillId="0" borderId="0" xfId="0" applyNumberFormat="1" applyFont="1" applyAlignment="1">
      <alignment horizontal="right"/>
    </xf>
    <xf numFmtId="41" fontId="7" fillId="4" borderId="0" xfId="0" applyNumberFormat="1" applyFont="1" applyFill="1"/>
    <xf numFmtId="164" fontId="7" fillId="4" borderId="0" xfId="0" applyNumberFormat="1" applyFont="1" applyFill="1"/>
    <xf numFmtId="171" fontId="7" fillId="0" borderId="0" xfId="8" applyNumberFormat="1" applyFont="1"/>
    <xf numFmtId="44" fontId="0" fillId="0" borderId="0" xfId="4" applyFont="1"/>
    <xf numFmtId="169" fontId="0" fillId="0" borderId="0" xfId="0" applyNumberFormat="1"/>
    <xf numFmtId="43" fontId="7" fillId="0" borderId="4" xfId="3" applyFont="1" applyFill="1" applyBorder="1"/>
    <xf numFmtId="43" fontId="34" fillId="0" borderId="0" xfId="1" applyFont="1" applyFill="1"/>
    <xf numFmtId="43" fontId="7" fillId="0" borderId="4" xfId="16" applyFont="1" applyBorder="1"/>
    <xf numFmtId="43" fontId="7" fillId="0" borderId="0" xfId="16" applyFont="1"/>
    <xf numFmtId="182" fontId="7" fillId="0" borderId="0" xfId="16" applyNumberFormat="1" applyFont="1"/>
    <xf numFmtId="185" fontId="7" fillId="0" borderId="0" xfId="8" applyNumberFormat="1" applyFont="1"/>
    <xf numFmtId="186" fontId="7" fillId="0" borderId="0" xfId="8" applyNumberFormat="1" applyFont="1" applyAlignment="1">
      <alignment horizontal="center"/>
    </xf>
    <xf numFmtId="166" fontId="8" fillId="0" borderId="0" xfId="0" applyNumberFormat="1" applyFont="1"/>
    <xf numFmtId="170" fontId="7" fillId="0" borderId="0" xfId="8" applyNumberFormat="1" applyFont="1"/>
    <xf numFmtId="43" fontId="8" fillId="0" borderId="0" xfId="0" applyNumberFormat="1" applyFont="1" applyAlignment="1">
      <alignment horizontal="right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32" xfId="8" applyFont="1" applyBorder="1" applyAlignment="1">
      <alignment horizontal="center"/>
    </xf>
    <xf numFmtId="0" fontId="6" fillId="0" borderId="42" xfId="8" applyFont="1" applyBorder="1" applyAlignment="1">
      <alignment horizontal="center"/>
    </xf>
    <xf numFmtId="0" fontId="6" fillId="0" borderId="34" xfId="8" applyFont="1" applyBorder="1" applyAlignment="1">
      <alignment horizontal="center"/>
    </xf>
    <xf numFmtId="0" fontId="6" fillId="0" borderId="0" xfId="0" applyFont="1" applyAlignment="1">
      <alignment horizontal="center"/>
    </xf>
    <xf numFmtId="0" fontId="14" fillId="0" borderId="23" xfId="15" applyFont="1" applyBorder="1" applyAlignment="1">
      <alignment horizontal="center" vertical="center"/>
    </xf>
    <xf numFmtId="0" fontId="14" fillId="0" borderId="24" xfId="15" applyFont="1" applyBorder="1" applyAlignment="1">
      <alignment horizontal="center" vertical="center"/>
    </xf>
    <xf numFmtId="0" fontId="14" fillId="0" borderId="25" xfId="15" applyFont="1" applyBorder="1" applyAlignment="1">
      <alignment horizontal="center" vertical="center"/>
    </xf>
    <xf numFmtId="0" fontId="14" fillId="0" borderId="26" xfId="15" applyFont="1" applyBorder="1" applyAlignment="1">
      <alignment horizontal="center" vertical="center"/>
    </xf>
    <xf numFmtId="0" fontId="21" fillId="0" borderId="3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0" xfId="23" applyFont="1" applyAlignment="1">
      <alignment horizontal="left" vertical="top" wrapText="1"/>
    </xf>
    <xf numFmtId="0" fontId="33" fillId="0" borderId="2" xfId="23" applyFont="1" applyBorder="1" applyAlignment="1">
      <alignment horizontal="center"/>
    </xf>
  </cellXfs>
  <cellStyles count="27">
    <cellStyle name="Comma" xfId="1" builtinId="3"/>
    <cellStyle name="Comma 2" xfId="2" xr:uid="{00000000-0005-0000-0000-000001000000}"/>
    <cellStyle name="Comma 3" xfId="3" xr:uid="{00000000-0005-0000-0000-000002000000}"/>
    <cellStyle name="Comma 3 2" xfId="16" xr:uid="{00000000-0005-0000-0000-000003000000}"/>
    <cellStyle name="Comma 4" xfId="14" xr:uid="{00000000-0005-0000-0000-000004000000}"/>
    <cellStyle name="Comma 5" xfId="26" xr:uid="{142A845D-C6DD-42D4-9931-02478DD7B95B}"/>
    <cellStyle name="Currency" xfId="4" builtinId="4"/>
    <cellStyle name="Currency 2" xfId="5" xr:uid="{00000000-0005-0000-0000-000006000000}"/>
    <cellStyle name="Currency 2 2" xfId="17" xr:uid="{00000000-0005-0000-0000-000007000000}"/>
    <cellStyle name="Currency 3" xfId="6" xr:uid="{00000000-0005-0000-0000-000008000000}"/>
    <cellStyle name="Currency 4" xfId="21" xr:uid="{00000000-0005-0000-0000-000009000000}"/>
    <cellStyle name="Currency 5" xfId="24" xr:uid="{2F918C26-A208-4909-80F7-89BC77950B99}"/>
    <cellStyle name="Normal" xfId="0" builtinId="0"/>
    <cellStyle name="Normal 2" xfId="7" xr:uid="{00000000-0005-0000-0000-00000B000000}"/>
    <cellStyle name="Normal 2 2" xfId="15" xr:uid="{00000000-0005-0000-0000-00000C000000}"/>
    <cellStyle name="Normal 3" xfId="8" xr:uid="{00000000-0005-0000-0000-00000D000000}"/>
    <cellStyle name="Normal 4" xfId="13" xr:uid="{00000000-0005-0000-0000-00000E000000}"/>
    <cellStyle name="Normal 5" xfId="20" xr:uid="{00000000-0005-0000-0000-00000F000000}"/>
    <cellStyle name="Normal 6" xfId="23" xr:uid="{C59F8CB1-5BE1-40B1-87A0-A733E789A029}"/>
    <cellStyle name="Percent" xfId="9" builtinId="5"/>
    <cellStyle name="Percent 2" xfId="10" xr:uid="{00000000-0005-0000-0000-000011000000}"/>
    <cellStyle name="Percent 2 2" xfId="11" xr:uid="{00000000-0005-0000-0000-000012000000}"/>
    <cellStyle name="Percent 3" xfId="12" xr:uid="{00000000-0005-0000-0000-000013000000}"/>
    <cellStyle name="Percent 3 2" xfId="18" xr:uid="{00000000-0005-0000-0000-000014000000}"/>
    <cellStyle name="Percent 4" xfId="19" xr:uid="{00000000-0005-0000-0000-000015000000}"/>
    <cellStyle name="Percent 5" xfId="22" xr:uid="{00000000-0005-0000-0000-000016000000}"/>
    <cellStyle name="Percent 6" xfId="25" xr:uid="{BCFC9BEC-4D8C-4EFF-99FD-DDFEE0D33164}"/>
  </cellStyles>
  <dxfs count="0"/>
  <tableStyles count="0" defaultTableStyle="TableStyleMedium9" defaultPivotStyle="PivotStyleLight16"/>
  <colors>
    <mruColors>
      <color rgb="FF0000FF"/>
      <color rgb="FFFFFFCC"/>
      <color rgb="FF000099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olly\Local%20Settings\Temporary%20Internet%20Files\OLK2A\Clark%20Energy%20Model%202009%2007-29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Ledger Master"/>
      <sheetName val="Exec Drivers"/>
      <sheetName val="Global Inputs"/>
      <sheetName val="Start"/>
      <sheetName val="Revenue"/>
      <sheetName val="Purch Power"/>
      <sheetName val="Misc Revenue"/>
      <sheetName val="O&amp;M"/>
      <sheetName val="Misc Exp"/>
      <sheetName val="Cnst&amp;Plt"/>
      <sheetName val="RUS Debt (1)"/>
      <sheetName val="RUS Debt (2)"/>
      <sheetName val="CFC Debt"/>
      <sheetName val="FFB Debt"/>
      <sheetName val="End"/>
      <sheetName val="Consolidation"/>
      <sheetName val="Fin Rpts"/>
      <sheetName val="Var Rpt"/>
      <sheetName val="Budget Inc Rpt"/>
      <sheetName val="Actuals"/>
      <sheetName val="Variance"/>
      <sheetName val="Budget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W84"/>
  <sheetViews>
    <sheetView view="pageBreakPreview" zoomScale="85" zoomScaleNormal="85" zoomScaleSheetLayoutView="85" workbookViewId="0">
      <selection activeCell="Y26" sqref="Y26"/>
    </sheetView>
  </sheetViews>
  <sheetFormatPr defaultColWidth="9.140625" defaultRowHeight="15.75" x14ac:dyDescent="0.25"/>
  <cols>
    <col min="1" max="1" width="4.7109375" style="2" customWidth="1"/>
    <col min="2" max="2" width="14.7109375" style="2" bestFit="1" customWidth="1"/>
    <col min="3" max="3" width="16.85546875" style="2" customWidth="1"/>
    <col min="4" max="5" width="15" style="2" bestFit="1" customWidth="1"/>
    <col min="6" max="6" width="18.140625" style="2" bestFit="1" customWidth="1"/>
    <col min="7" max="7" width="18" style="2" bestFit="1" customWidth="1"/>
    <col min="8" max="8" width="5.7109375" style="2" customWidth="1"/>
    <col min="9" max="9" width="15.140625" style="2" hidden="1" customWidth="1"/>
    <col min="10" max="10" width="4.7109375" style="2" hidden="1" customWidth="1"/>
    <col min="11" max="11" width="21.85546875" style="2" hidden="1" customWidth="1"/>
    <col min="12" max="12" width="15.140625" style="2" hidden="1" customWidth="1"/>
    <col min="13" max="13" width="14" style="2" hidden="1" customWidth="1"/>
    <col min="14" max="14" width="13.42578125" style="2" hidden="1" customWidth="1"/>
    <col min="15" max="15" width="15.7109375" style="2" hidden="1" customWidth="1"/>
    <col min="16" max="16" width="5.85546875" style="2" hidden="1" customWidth="1"/>
    <col min="17" max="17" width="13" style="2" hidden="1" customWidth="1"/>
    <col min="18" max="18" width="15.5703125" style="2" hidden="1" customWidth="1"/>
    <col min="19" max="19" width="22.7109375" style="2" hidden="1" customWidth="1"/>
    <col min="20" max="20" width="14.42578125" style="2" hidden="1" customWidth="1"/>
    <col min="21" max="21" width="12.7109375" style="2" hidden="1" customWidth="1"/>
    <col min="22" max="22" width="2.85546875" style="2" hidden="1" customWidth="1"/>
    <col min="23" max="23" width="17.85546875" style="2" hidden="1" customWidth="1"/>
    <col min="24" max="16384" width="9.140625" style="2"/>
  </cols>
  <sheetData>
    <row r="1" spans="1:23" x14ac:dyDescent="0.25">
      <c r="A1" s="1" t="s">
        <v>65</v>
      </c>
      <c r="I1" s="1"/>
      <c r="Q1" s="1"/>
    </row>
    <row r="2" spans="1:23" x14ac:dyDescent="0.25">
      <c r="A2" s="2" t="s">
        <v>28</v>
      </c>
    </row>
    <row r="3" spans="1:23" ht="16.5" thickBot="1" x14ac:dyDescent="0.3">
      <c r="A3" s="2" t="s">
        <v>81</v>
      </c>
    </row>
    <row r="4" spans="1:23" x14ac:dyDescent="0.25">
      <c r="D4" s="421" t="s">
        <v>30</v>
      </c>
      <c r="E4" s="422"/>
      <c r="F4" s="422"/>
      <c r="G4" s="423"/>
      <c r="L4" s="421" t="s">
        <v>42</v>
      </c>
      <c r="M4" s="422"/>
      <c r="N4" s="422"/>
      <c r="O4" s="423"/>
      <c r="T4" s="421" t="s">
        <v>0</v>
      </c>
      <c r="U4" s="422"/>
      <c r="V4" s="422"/>
      <c r="W4" s="423"/>
    </row>
    <row r="5" spans="1:23" ht="16.5" thickBot="1" x14ac:dyDescent="0.3">
      <c r="A5" s="44"/>
      <c r="B5" s="59"/>
      <c r="C5" s="3"/>
      <c r="D5" s="424"/>
      <c r="E5" s="425"/>
      <c r="F5" s="425"/>
      <c r="G5" s="426"/>
      <c r="I5" s="3"/>
      <c r="J5" s="3"/>
      <c r="K5" s="3"/>
      <c r="L5" s="424"/>
      <c r="M5" s="425"/>
      <c r="N5" s="425"/>
      <c r="O5" s="426"/>
      <c r="Q5" s="3"/>
      <c r="R5" s="3"/>
      <c r="S5" s="3"/>
      <c r="T5" s="424"/>
      <c r="U5" s="425"/>
      <c r="V5" s="425"/>
      <c r="W5" s="426"/>
    </row>
    <row r="6" spans="1:23" x14ac:dyDescent="0.25">
      <c r="A6" s="4"/>
      <c r="B6" s="4"/>
      <c r="C6" s="4"/>
      <c r="D6" s="4" t="s">
        <v>1</v>
      </c>
      <c r="E6" s="4"/>
      <c r="F6" s="4"/>
      <c r="G6" s="4" t="s">
        <v>2</v>
      </c>
      <c r="I6" s="4"/>
      <c r="J6" s="4"/>
      <c r="K6" s="4"/>
      <c r="L6" s="4" t="s">
        <v>1</v>
      </c>
      <c r="M6" s="4"/>
      <c r="N6" s="4"/>
      <c r="O6" s="4" t="s">
        <v>2</v>
      </c>
      <c r="Q6" s="4"/>
      <c r="R6" s="4"/>
      <c r="S6" s="4"/>
      <c r="T6" s="4" t="s">
        <v>1</v>
      </c>
      <c r="U6" s="4"/>
      <c r="V6" s="4"/>
      <c r="W6" s="4" t="s">
        <v>2</v>
      </c>
    </row>
    <row r="7" spans="1:23" ht="16.5" thickBot="1" x14ac:dyDescent="0.3">
      <c r="A7" s="5"/>
      <c r="B7" s="5"/>
      <c r="C7" s="5"/>
      <c r="D7" s="5" t="s">
        <v>4</v>
      </c>
      <c r="E7" s="425" t="s">
        <v>5</v>
      </c>
      <c r="F7" s="425"/>
      <c r="G7" s="5" t="s">
        <v>6</v>
      </c>
      <c r="I7" s="5"/>
      <c r="J7" s="5"/>
      <c r="K7" s="5"/>
      <c r="L7" s="5" t="s">
        <v>4</v>
      </c>
      <c r="M7" s="425" t="s">
        <v>5</v>
      </c>
      <c r="N7" s="425"/>
      <c r="O7" s="5" t="s">
        <v>6</v>
      </c>
      <c r="Q7" s="5"/>
      <c r="R7" s="5"/>
      <c r="S7" s="5"/>
      <c r="T7" s="5" t="s">
        <v>4</v>
      </c>
      <c r="U7" s="425" t="s">
        <v>5</v>
      </c>
      <c r="V7" s="425"/>
      <c r="W7" s="5" t="s">
        <v>6</v>
      </c>
    </row>
    <row r="10" spans="1:23" x14ac:dyDescent="0.25">
      <c r="A10" s="1" t="s">
        <v>34</v>
      </c>
      <c r="I10" s="1" t="s">
        <v>10</v>
      </c>
      <c r="Q10" s="1" t="s">
        <v>10</v>
      </c>
    </row>
    <row r="11" spans="1:23" ht="31.5" x14ac:dyDescent="0.25">
      <c r="D11" s="6" t="s">
        <v>9</v>
      </c>
      <c r="E11" s="6" t="s">
        <v>12</v>
      </c>
      <c r="L11" s="6" t="s">
        <v>9</v>
      </c>
      <c r="M11" s="6" t="s">
        <v>12</v>
      </c>
      <c r="T11" s="6" t="s">
        <v>9</v>
      </c>
      <c r="U11" s="6" t="s">
        <v>12</v>
      </c>
    </row>
    <row r="12" spans="1:23" x14ac:dyDescent="0.25">
      <c r="B12" s="2" t="s">
        <v>43</v>
      </c>
      <c r="D12" s="8">
        <f>C46+C66</f>
        <v>878829</v>
      </c>
      <c r="E12" s="33">
        <v>0</v>
      </c>
      <c r="G12" s="11">
        <f>D12*E12</f>
        <v>0</v>
      </c>
      <c r="J12" s="2" t="s">
        <v>29</v>
      </c>
      <c r="L12" s="8">
        <f>D12</f>
        <v>878829</v>
      </c>
      <c r="M12" s="33">
        <v>28.14</v>
      </c>
      <c r="O12" s="11">
        <f>L12*M12</f>
        <v>24730248.059999999</v>
      </c>
      <c r="R12" s="2" t="s">
        <v>9</v>
      </c>
      <c r="T12" s="8">
        <f>L12</f>
        <v>878829</v>
      </c>
      <c r="U12" s="33" t="e">
        <f>#REF!</f>
        <v>#REF!</v>
      </c>
      <c r="W12" s="11" t="e">
        <f>T12*U12</f>
        <v>#REF!</v>
      </c>
    </row>
    <row r="13" spans="1:23" x14ac:dyDescent="0.25">
      <c r="D13" s="70"/>
      <c r="G13" s="11"/>
      <c r="O13" s="11"/>
      <c r="W13" s="11"/>
    </row>
    <row r="14" spans="1:23" x14ac:dyDescent="0.25">
      <c r="A14" s="1" t="s">
        <v>7</v>
      </c>
      <c r="D14" s="8"/>
      <c r="G14" s="11"/>
      <c r="I14" s="1" t="s">
        <v>7</v>
      </c>
      <c r="L14" s="8"/>
      <c r="O14" s="11"/>
      <c r="Q14" s="1" t="s">
        <v>7</v>
      </c>
      <c r="T14" s="8"/>
      <c r="W14" s="11"/>
    </row>
    <row r="15" spans="1:23" x14ac:dyDescent="0.25">
      <c r="D15" s="13" t="s">
        <v>8</v>
      </c>
      <c r="E15" s="12" t="s">
        <v>11</v>
      </c>
      <c r="G15" s="11"/>
      <c r="L15" s="13" t="s">
        <v>8</v>
      </c>
      <c r="M15" s="12" t="s">
        <v>11</v>
      </c>
      <c r="O15" s="11"/>
      <c r="T15" s="13" t="s">
        <v>8</v>
      </c>
      <c r="U15" s="12" t="s">
        <v>11</v>
      </c>
      <c r="W15" s="11"/>
    </row>
    <row r="16" spans="1:23" x14ac:dyDescent="0.25">
      <c r="B16" s="2" t="s">
        <v>23</v>
      </c>
      <c r="D16" s="8">
        <f>D46+D66</f>
        <v>822412365</v>
      </c>
      <c r="E16" s="18">
        <v>0.11964</v>
      </c>
      <c r="G16" s="33">
        <f>D16*E16</f>
        <v>98393415.3486</v>
      </c>
      <c r="J16" s="2" t="s">
        <v>32</v>
      </c>
      <c r="L16" s="8">
        <f>D18</f>
        <v>4587729</v>
      </c>
      <c r="M16" s="53">
        <v>3.0599472934085808E-2</v>
      </c>
      <c r="O16" s="11">
        <f>L16*M16</f>
        <v>140382.08936442054</v>
      </c>
      <c r="R16" s="2" t="s">
        <v>32</v>
      </c>
      <c r="T16" s="8">
        <f>L18</f>
        <v>4587729</v>
      </c>
      <c r="U16" s="53">
        <v>0</v>
      </c>
      <c r="W16" s="11">
        <f>T16*U16</f>
        <v>0</v>
      </c>
    </row>
    <row r="17" spans="1:23" x14ac:dyDescent="0.25">
      <c r="D17" s="8"/>
      <c r="E17" s="18"/>
      <c r="G17" s="34"/>
      <c r="J17" s="2" t="s">
        <v>31</v>
      </c>
      <c r="L17" s="8">
        <f>L16</f>
        <v>4587729</v>
      </c>
      <c r="M17" s="80">
        <v>4.7909326518313644E-2</v>
      </c>
      <c r="O17" s="36">
        <f>L17*M17</f>
        <v>219795.00663853655</v>
      </c>
      <c r="R17" s="2" t="s">
        <v>31</v>
      </c>
      <c r="T17" s="8">
        <f>T16</f>
        <v>4587729</v>
      </c>
      <c r="U17" s="80">
        <v>0</v>
      </c>
      <c r="W17" s="36">
        <f>T17*U17</f>
        <v>0</v>
      </c>
    </row>
    <row r="18" spans="1:23" x14ac:dyDescent="0.25">
      <c r="B18" s="2" t="s">
        <v>18</v>
      </c>
      <c r="C18" s="16"/>
      <c r="D18" s="8">
        <v>4587729</v>
      </c>
      <c r="E18" s="18">
        <f>E16</f>
        <v>0.11964</v>
      </c>
      <c r="G18" s="33">
        <f>D18*E18</f>
        <v>548875.89755999995</v>
      </c>
      <c r="J18" s="7" t="s">
        <v>27</v>
      </c>
      <c r="K18" s="7"/>
      <c r="L18" s="17">
        <f>L16</f>
        <v>4587729</v>
      </c>
      <c r="M18" s="75">
        <v>1.994013128609894E-2</v>
      </c>
      <c r="N18" s="7"/>
      <c r="O18" s="37">
        <f>L18*M18</f>
        <v>91479.918565043408</v>
      </c>
      <c r="R18" s="7" t="s">
        <v>27</v>
      </c>
      <c r="S18" s="7"/>
      <c r="T18" s="17">
        <f>T16</f>
        <v>4587729</v>
      </c>
      <c r="U18" s="75">
        <v>0</v>
      </c>
      <c r="V18" s="7"/>
      <c r="W18" s="37">
        <f>T18*U18</f>
        <v>0</v>
      </c>
    </row>
    <row r="19" spans="1:23" x14ac:dyDescent="0.25">
      <c r="A19" s="1"/>
      <c r="G19" s="11"/>
      <c r="K19" s="16"/>
      <c r="L19" s="8"/>
      <c r="M19" s="53">
        <f>SUM(M16:M18)</f>
        <v>9.8448930738498391E-2</v>
      </c>
      <c r="O19" s="11">
        <f>SUM(O16:O18)</f>
        <v>451657.01456800051</v>
      </c>
      <c r="S19" s="16"/>
      <c r="T19" s="8"/>
      <c r="U19" s="53">
        <f>SUM(U16:U18)</f>
        <v>0</v>
      </c>
      <c r="W19" s="11">
        <f>SUM(W16:W18)</f>
        <v>0</v>
      </c>
    </row>
    <row r="20" spans="1:23" x14ac:dyDescent="0.25">
      <c r="A20" s="1"/>
      <c r="E20" s="65"/>
      <c r="G20" s="11"/>
      <c r="H20" s="15"/>
      <c r="P20" s="15"/>
    </row>
    <row r="21" spans="1:23" x14ac:dyDescent="0.25">
      <c r="A21" s="1"/>
      <c r="G21" s="11"/>
      <c r="H21" s="11"/>
      <c r="I21" s="1"/>
      <c r="L21" s="8"/>
      <c r="M21" s="74"/>
      <c r="O21" s="11"/>
      <c r="P21" s="11"/>
      <c r="Q21" s="1"/>
      <c r="T21" s="8"/>
      <c r="U21" s="74"/>
      <c r="W21" s="11"/>
    </row>
    <row r="22" spans="1:23" ht="16.5" thickBot="1" x14ac:dyDescent="0.3">
      <c r="A22" s="1" t="s">
        <v>79</v>
      </c>
      <c r="G22" s="24">
        <f>G12+G16+G18</f>
        <v>98942291.246160001</v>
      </c>
      <c r="H22" s="11"/>
      <c r="I22" s="1"/>
      <c r="L22" s="8"/>
      <c r="M22" s="18"/>
      <c r="O22" s="11"/>
      <c r="P22" s="11"/>
      <c r="Q22" s="1"/>
      <c r="T22" s="8"/>
      <c r="U22" s="18"/>
      <c r="W22" s="11"/>
    </row>
    <row r="23" spans="1:23" ht="17.25" thickTop="1" thickBot="1" x14ac:dyDescent="0.3">
      <c r="A23" s="1"/>
      <c r="B23" s="1"/>
      <c r="G23" s="11"/>
      <c r="H23" s="11"/>
      <c r="I23" s="1" t="s">
        <v>36</v>
      </c>
      <c r="O23" s="24">
        <f>O12+O19+O21</f>
        <v>25181905.074568</v>
      </c>
      <c r="P23" s="11"/>
      <c r="Q23" s="1" t="s">
        <v>36</v>
      </c>
      <c r="W23" s="24" t="e">
        <f>W12+W19+W21</f>
        <v>#REF!</v>
      </c>
    </row>
    <row r="24" spans="1:23" ht="16.5" thickTop="1" x14ac:dyDescent="0.25">
      <c r="A24" s="1" t="s">
        <v>19</v>
      </c>
      <c r="B24" s="10"/>
      <c r="G24" s="11">
        <f>E46+F46+E66+F66</f>
        <v>99247908.379999995</v>
      </c>
      <c r="I24" s="1"/>
      <c r="J24" s="1"/>
      <c r="O24" s="10"/>
      <c r="Q24" s="1"/>
      <c r="R24" s="1"/>
      <c r="W24" s="10"/>
    </row>
    <row r="25" spans="1:23" x14ac:dyDescent="0.25">
      <c r="A25" s="10"/>
      <c r="B25" s="11"/>
      <c r="G25" s="10"/>
      <c r="I25" s="1" t="s">
        <v>13</v>
      </c>
      <c r="J25" s="10"/>
      <c r="O25" s="22">
        <f>O23-G22</f>
        <v>-73760386.171591997</v>
      </c>
      <c r="Q25" s="1" t="s">
        <v>13</v>
      </c>
      <c r="R25" s="10"/>
      <c r="W25" s="22" t="e">
        <f>W23-G22</f>
        <v>#REF!</v>
      </c>
    </row>
    <row r="26" spans="1:23" x14ac:dyDescent="0.25">
      <c r="A26" s="1" t="s">
        <v>13</v>
      </c>
      <c r="B26" s="10"/>
      <c r="G26" s="22">
        <f>G22-G24</f>
        <v>-305617.13383999467</v>
      </c>
      <c r="H26" s="15"/>
      <c r="I26" s="10"/>
      <c r="J26" s="22"/>
      <c r="O26" s="11"/>
      <c r="P26" s="15"/>
      <c r="Q26" s="10"/>
      <c r="R26" s="22"/>
      <c r="W26" s="11"/>
    </row>
    <row r="27" spans="1:23" x14ac:dyDescent="0.25">
      <c r="A27" s="10"/>
      <c r="B27" s="22"/>
      <c r="G27" s="11"/>
      <c r="I27" s="1" t="s">
        <v>26</v>
      </c>
      <c r="J27" s="11"/>
      <c r="O27" s="23">
        <f>O25/G24</f>
        <v>-0.74319335667184572</v>
      </c>
      <c r="Q27" s="1" t="s">
        <v>26</v>
      </c>
      <c r="R27" s="11"/>
      <c r="W27" s="23" t="e">
        <f>W25/G22</f>
        <v>#REF!</v>
      </c>
    </row>
    <row r="28" spans="1:23" x14ac:dyDescent="0.25">
      <c r="A28" s="1" t="s">
        <v>26</v>
      </c>
      <c r="B28" s="11"/>
      <c r="G28" s="23">
        <f>G26/G24</f>
        <v>-3.0793307267479031E-3</v>
      </c>
    </row>
    <row r="29" spans="1:23" x14ac:dyDescent="0.25">
      <c r="I29" s="1"/>
      <c r="O29" s="11"/>
      <c r="W29" s="11"/>
    </row>
    <row r="30" spans="1:23" x14ac:dyDescent="0.25">
      <c r="E30" s="11"/>
    </row>
    <row r="31" spans="1:23" x14ac:dyDescent="0.25">
      <c r="C31" s="41" t="s">
        <v>68</v>
      </c>
      <c r="D31" s="41"/>
      <c r="E31" s="41"/>
      <c r="F31" s="41"/>
      <c r="G31" s="41"/>
      <c r="H31" s="41"/>
      <c r="I31" s="41"/>
      <c r="R31" s="41"/>
    </row>
    <row r="32" spans="1:23" x14ac:dyDescent="0.25">
      <c r="C32" s="41"/>
      <c r="D32" s="41"/>
      <c r="E32" s="41"/>
      <c r="F32" s="41"/>
      <c r="G32" s="41"/>
      <c r="H32" s="41"/>
      <c r="I32" s="41"/>
      <c r="R32" s="59"/>
      <c r="S32" s="41"/>
    </row>
    <row r="33" spans="1:19" x14ac:dyDescent="0.25">
      <c r="A33" s="11"/>
      <c r="C33" s="41" t="s">
        <v>37</v>
      </c>
      <c r="D33" s="41" t="s">
        <v>44</v>
      </c>
      <c r="E33" s="41" t="s">
        <v>66</v>
      </c>
      <c r="F33" s="41" t="s">
        <v>67</v>
      </c>
      <c r="H33" s="41"/>
      <c r="I33" s="41"/>
      <c r="R33" s="59"/>
      <c r="S33" s="41"/>
    </row>
    <row r="34" spans="1:19" x14ac:dyDescent="0.25">
      <c r="A34" s="11"/>
      <c r="B34" s="90">
        <v>40544</v>
      </c>
      <c r="C34" s="41">
        <v>40453</v>
      </c>
      <c r="D34" s="41">
        <v>47254873</v>
      </c>
      <c r="F34" s="66">
        <v>5708372.1200000001</v>
      </c>
      <c r="G34" s="66"/>
      <c r="H34" s="41"/>
      <c r="I34" s="76"/>
      <c r="R34" s="41"/>
      <c r="S34" s="41"/>
    </row>
    <row r="35" spans="1:19" x14ac:dyDescent="0.25">
      <c r="A35" s="11"/>
      <c r="B35" s="90">
        <v>40575</v>
      </c>
      <c r="C35" s="41">
        <v>40440</v>
      </c>
      <c r="D35" s="41">
        <v>44903940</v>
      </c>
      <c r="F35" s="66">
        <v>5426631.7800000003</v>
      </c>
      <c r="G35" s="66"/>
      <c r="H35" s="41"/>
      <c r="I35" s="76"/>
      <c r="R35" s="41"/>
      <c r="S35" s="41"/>
    </row>
    <row r="36" spans="1:19" x14ac:dyDescent="0.25">
      <c r="A36" s="10"/>
      <c r="B36" s="90">
        <v>40603</v>
      </c>
      <c r="C36" s="41">
        <v>40430</v>
      </c>
      <c r="D36" s="41">
        <v>37832486</v>
      </c>
      <c r="F36" s="66">
        <v>4587610.34</v>
      </c>
      <c r="G36" s="66"/>
      <c r="H36" s="41"/>
      <c r="I36" s="76"/>
      <c r="R36" s="41"/>
      <c r="S36" s="41"/>
    </row>
    <row r="37" spans="1:19" x14ac:dyDescent="0.25">
      <c r="A37" s="22"/>
      <c r="B37" s="90">
        <v>40634</v>
      </c>
      <c r="C37" s="41">
        <v>40432</v>
      </c>
      <c r="D37" s="41">
        <v>36808941</v>
      </c>
      <c r="F37" s="66">
        <v>4463624.74</v>
      </c>
      <c r="G37" s="66"/>
      <c r="H37" s="41"/>
      <c r="I37" s="76"/>
      <c r="R37" s="41"/>
      <c r="S37" s="41"/>
    </row>
    <row r="38" spans="1:19" x14ac:dyDescent="0.25">
      <c r="A38" s="11"/>
      <c r="B38" s="90">
        <v>40664</v>
      </c>
      <c r="C38" s="41">
        <v>40421</v>
      </c>
      <c r="D38" s="41">
        <v>31736684</v>
      </c>
      <c r="F38" s="66">
        <v>3860643.03</v>
      </c>
      <c r="G38" s="66"/>
      <c r="H38" s="41"/>
      <c r="I38" s="76"/>
      <c r="R38" s="41"/>
      <c r="S38" s="41"/>
    </row>
    <row r="39" spans="1:19" x14ac:dyDescent="0.25">
      <c r="A39" s="23"/>
      <c r="B39" s="90">
        <v>40695</v>
      </c>
      <c r="C39" s="41">
        <v>40422</v>
      </c>
      <c r="D39" s="41">
        <v>30238497</v>
      </c>
      <c r="F39" s="66">
        <v>3678583.0100000002</v>
      </c>
      <c r="G39" s="66"/>
      <c r="H39" s="41"/>
      <c r="I39" s="76"/>
      <c r="R39" s="41"/>
      <c r="S39" s="41"/>
    </row>
    <row r="40" spans="1:19" x14ac:dyDescent="0.25">
      <c r="B40" s="90">
        <v>40725</v>
      </c>
      <c r="C40" s="41">
        <v>40485</v>
      </c>
      <c r="D40" s="41">
        <v>30153828</v>
      </c>
      <c r="F40" s="66">
        <v>3667109.75</v>
      </c>
      <c r="G40" s="66"/>
      <c r="H40" s="41"/>
      <c r="I40" s="76"/>
      <c r="R40" s="41"/>
      <c r="S40" s="41"/>
    </row>
    <row r="41" spans="1:19" x14ac:dyDescent="0.25">
      <c r="B41" s="90">
        <v>40756</v>
      </c>
      <c r="C41" s="41">
        <v>40486</v>
      </c>
      <c r="D41" s="41">
        <v>27740784</v>
      </c>
      <c r="F41" s="66">
        <v>3383060.9699999997</v>
      </c>
      <c r="G41" s="66"/>
      <c r="H41" s="41"/>
      <c r="I41" s="76"/>
      <c r="R41" s="41"/>
      <c r="S41" s="41"/>
    </row>
    <row r="42" spans="1:19" x14ac:dyDescent="0.25">
      <c r="B42" s="90">
        <v>40422</v>
      </c>
      <c r="C42" s="41">
        <v>40415</v>
      </c>
      <c r="D42" s="41">
        <v>30072287</v>
      </c>
      <c r="F42" s="66">
        <v>3656481.8000000003</v>
      </c>
      <c r="G42" s="66"/>
      <c r="H42" s="41"/>
      <c r="I42" s="76"/>
      <c r="R42" s="41"/>
      <c r="S42" s="41"/>
    </row>
    <row r="43" spans="1:19" x14ac:dyDescent="0.25">
      <c r="B43" s="90">
        <v>40452</v>
      </c>
      <c r="C43" s="41">
        <v>40462</v>
      </c>
      <c r="D43" s="41">
        <v>27603624</v>
      </c>
      <c r="F43" s="66">
        <v>3366388.23</v>
      </c>
      <c r="G43" s="66"/>
      <c r="H43" s="41"/>
      <c r="I43" s="76"/>
      <c r="R43" s="41"/>
      <c r="S43" s="41"/>
    </row>
    <row r="44" spans="1:19" ht="16.5" customHeight="1" x14ac:dyDescent="0.25">
      <c r="B44" s="90">
        <v>40483</v>
      </c>
      <c r="C44" s="41">
        <v>40451</v>
      </c>
      <c r="D44" s="41">
        <v>32012599</v>
      </c>
      <c r="F44" s="66">
        <v>3891371.3200000003</v>
      </c>
      <c r="G44" s="66"/>
      <c r="H44" s="41"/>
      <c r="I44" s="76"/>
      <c r="R44" s="41"/>
      <c r="S44" s="41"/>
    </row>
    <row r="45" spans="1:19" x14ac:dyDescent="0.25">
      <c r="B45" s="90">
        <v>40513</v>
      </c>
      <c r="C45" s="58">
        <v>40449</v>
      </c>
      <c r="D45" s="58">
        <v>40242704</v>
      </c>
      <c r="E45" s="7"/>
      <c r="F45" s="91">
        <v>4872298.49</v>
      </c>
      <c r="G45" s="66"/>
      <c r="H45" s="41"/>
      <c r="I45" s="76"/>
      <c r="R45" s="41"/>
      <c r="S45" s="41"/>
    </row>
    <row r="46" spans="1:19" x14ac:dyDescent="0.25">
      <c r="C46" s="41">
        <f>SUM(C34:C45)</f>
        <v>485346</v>
      </c>
      <c r="D46" s="41">
        <f>SUM(D34:D45)</f>
        <v>416601247</v>
      </c>
      <c r="E46" s="72">
        <f>SUM(E34:E45)</f>
        <v>0</v>
      </c>
      <c r="F46" s="72">
        <f>SUM(F34:F45)</f>
        <v>50562175.579999998</v>
      </c>
      <c r="G46" s="66"/>
      <c r="H46" s="41"/>
      <c r="I46" s="76"/>
      <c r="R46" s="41"/>
      <c r="S46" s="41"/>
    </row>
    <row r="47" spans="1:19" x14ac:dyDescent="0.25">
      <c r="C47" s="41"/>
      <c r="D47" s="41"/>
      <c r="F47" s="41"/>
      <c r="G47" s="41"/>
      <c r="H47" s="41"/>
      <c r="I47" s="41"/>
      <c r="R47" s="41"/>
      <c r="S47" s="41"/>
    </row>
    <row r="48" spans="1:19" x14ac:dyDescent="0.25">
      <c r="C48" s="41"/>
      <c r="D48" s="41"/>
      <c r="F48" s="41"/>
      <c r="G48" s="41"/>
      <c r="H48" s="41"/>
      <c r="I48" s="41"/>
      <c r="R48" s="41"/>
      <c r="S48" s="41"/>
    </row>
    <row r="51" spans="2:19" x14ac:dyDescent="0.25">
      <c r="C51" s="41" t="s">
        <v>69</v>
      </c>
      <c r="D51" s="41"/>
      <c r="F51" s="41"/>
      <c r="G51" s="41"/>
      <c r="H51" s="41"/>
      <c r="I51" s="41"/>
      <c r="R51" s="41"/>
      <c r="S51" s="41"/>
    </row>
    <row r="52" spans="2:19" x14ac:dyDescent="0.25">
      <c r="C52" s="41"/>
      <c r="D52" s="41"/>
      <c r="E52" s="41"/>
      <c r="F52" s="41"/>
      <c r="G52" s="41"/>
      <c r="H52" s="41"/>
      <c r="I52" s="41"/>
      <c r="R52" s="59"/>
      <c r="S52" s="41"/>
    </row>
    <row r="53" spans="2:19" x14ac:dyDescent="0.25">
      <c r="C53" s="41" t="s">
        <v>37</v>
      </c>
      <c r="D53" s="41" t="s">
        <v>44</v>
      </c>
      <c r="E53" s="41" t="s">
        <v>66</v>
      </c>
      <c r="F53" s="41" t="s">
        <v>67</v>
      </c>
      <c r="H53" s="41"/>
      <c r="I53" s="41"/>
      <c r="R53" s="59"/>
      <c r="S53" s="41"/>
    </row>
    <row r="54" spans="2:19" x14ac:dyDescent="0.25">
      <c r="B54" s="90">
        <v>40544</v>
      </c>
      <c r="C54" s="41">
        <v>32711</v>
      </c>
      <c r="D54" s="76">
        <v>38739095</v>
      </c>
      <c r="E54" s="70"/>
      <c r="F54" s="41">
        <v>4642858.4400000004</v>
      </c>
      <c r="G54" s="41"/>
      <c r="H54" s="74"/>
      <c r="I54" s="66"/>
      <c r="R54" s="41"/>
      <c r="S54" s="41"/>
    </row>
    <row r="55" spans="2:19" x14ac:dyDescent="0.25">
      <c r="B55" s="90">
        <v>40575</v>
      </c>
      <c r="C55" s="41">
        <v>32658</v>
      </c>
      <c r="D55" s="76">
        <v>33796946</v>
      </c>
      <c r="E55" s="70"/>
      <c r="F55" s="41">
        <v>4051304.51</v>
      </c>
      <c r="G55" s="41"/>
      <c r="H55" s="74"/>
      <c r="I55" s="66"/>
      <c r="R55" s="41"/>
      <c r="S55" s="41"/>
    </row>
    <row r="56" spans="2:19" x14ac:dyDescent="0.25">
      <c r="B56" s="90">
        <v>40603</v>
      </c>
      <c r="C56" s="41">
        <v>32654</v>
      </c>
      <c r="D56" s="76">
        <v>29219051</v>
      </c>
      <c r="E56" s="70"/>
      <c r="F56" s="41">
        <v>3506038.41</v>
      </c>
      <c r="G56" s="41"/>
      <c r="H56" s="74"/>
      <c r="I56" s="66"/>
      <c r="R56" s="41"/>
      <c r="S56" s="41"/>
    </row>
    <row r="57" spans="2:19" x14ac:dyDescent="0.25">
      <c r="B57" s="90">
        <v>40634</v>
      </c>
      <c r="C57" s="41">
        <v>32666</v>
      </c>
      <c r="D57" s="76">
        <v>29963026</v>
      </c>
      <c r="E57" s="70"/>
      <c r="F57" s="41">
        <v>3595041.32</v>
      </c>
      <c r="G57" s="41"/>
      <c r="H57" s="74"/>
      <c r="I57" s="66"/>
      <c r="R57" s="41"/>
      <c r="S57" s="41"/>
    </row>
    <row r="58" spans="2:19" x14ac:dyDescent="0.25">
      <c r="B58" s="90">
        <v>40664</v>
      </c>
      <c r="C58" s="41">
        <v>32663</v>
      </c>
      <c r="D58" s="76">
        <v>27226378</v>
      </c>
      <c r="E58" s="70"/>
      <c r="F58" s="41">
        <v>3269294.02</v>
      </c>
      <c r="G58" s="41"/>
      <c r="H58" s="74"/>
      <c r="I58" s="66"/>
      <c r="R58" s="41"/>
      <c r="S58" s="41"/>
    </row>
    <row r="59" spans="2:19" x14ac:dyDescent="0.25">
      <c r="B59" s="90">
        <v>40695</v>
      </c>
      <c r="C59" s="41">
        <v>32674</v>
      </c>
      <c r="D59" s="76">
        <v>29585978</v>
      </c>
      <c r="E59" s="70"/>
      <c r="F59" s="41">
        <v>3553380.98</v>
      </c>
      <c r="G59" s="41"/>
      <c r="H59" s="74"/>
      <c r="I59" s="66"/>
      <c r="R59" s="41"/>
      <c r="S59" s="41"/>
    </row>
    <row r="60" spans="2:19" x14ac:dyDescent="0.25">
      <c r="B60" s="90">
        <v>40725</v>
      </c>
      <c r="C60" s="41">
        <v>32708</v>
      </c>
      <c r="D60" s="76">
        <v>40545480</v>
      </c>
      <c r="E60" s="70"/>
      <c r="F60" s="41">
        <v>4862924.8499999996</v>
      </c>
      <c r="G60" s="41"/>
      <c r="H60" s="74"/>
      <c r="I60" s="66"/>
      <c r="R60" s="41"/>
      <c r="S60" s="41"/>
    </row>
    <row r="61" spans="2:19" x14ac:dyDescent="0.25">
      <c r="B61" s="90">
        <v>40756</v>
      </c>
      <c r="C61" s="41">
        <v>32723</v>
      </c>
      <c r="D61" s="76">
        <v>42893395</v>
      </c>
      <c r="E61" s="70"/>
      <c r="F61" s="41">
        <v>5143921.6100000003</v>
      </c>
      <c r="G61" s="41"/>
      <c r="H61" s="74"/>
      <c r="I61" s="66"/>
      <c r="R61" s="41"/>
      <c r="S61" s="41"/>
    </row>
    <row r="62" spans="2:19" x14ac:dyDescent="0.25">
      <c r="B62" s="90">
        <v>40422</v>
      </c>
      <c r="C62" s="41">
        <v>32970</v>
      </c>
      <c r="D62" s="76">
        <v>41034418</v>
      </c>
      <c r="E62" s="70"/>
      <c r="F62" s="41">
        <v>4921012.88</v>
      </c>
      <c r="G62" s="41"/>
      <c r="H62" s="74"/>
      <c r="I62" s="66"/>
      <c r="R62" s="41"/>
      <c r="S62" s="41"/>
    </row>
    <row r="63" spans="2:19" x14ac:dyDescent="0.25">
      <c r="B63" s="90">
        <v>40452</v>
      </c>
      <c r="C63" s="41">
        <v>32979</v>
      </c>
      <c r="D63" s="76">
        <v>30703514</v>
      </c>
      <c r="E63" s="70"/>
      <c r="F63" s="41">
        <v>3686879.15</v>
      </c>
      <c r="G63" s="41"/>
      <c r="H63" s="74"/>
      <c r="I63" s="66"/>
      <c r="R63" s="41"/>
      <c r="S63" s="41"/>
    </row>
    <row r="64" spans="2:19" x14ac:dyDescent="0.25">
      <c r="B64" s="90">
        <v>40483</v>
      </c>
      <c r="C64" s="41">
        <v>33022</v>
      </c>
      <c r="D64" s="76">
        <v>28826499</v>
      </c>
      <c r="E64" s="70"/>
      <c r="F64" s="41">
        <v>3461400.44</v>
      </c>
      <c r="G64" s="41"/>
      <c r="H64" s="74"/>
      <c r="I64" s="66"/>
      <c r="R64" s="41"/>
      <c r="S64" s="41"/>
    </row>
    <row r="65" spans="2:19" x14ac:dyDescent="0.25">
      <c r="B65" s="90">
        <v>40513</v>
      </c>
      <c r="C65" s="58">
        <v>33055</v>
      </c>
      <c r="D65" s="78">
        <v>33277338</v>
      </c>
      <c r="E65" s="79"/>
      <c r="F65" s="58">
        <v>3991676.19</v>
      </c>
      <c r="G65" s="41"/>
      <c r="H65" s="74"/>
      <c r="I65" s="66"/>
      <c r="R65" s="41"/>
      <c r="S65" s="41"/>
    </row>
    <row r="66" spans="2:19" x14ac:dyDescent="0.25">
      <c r="C66" s="41">
        <f>SUM(C54:C65)</f>
        <v>393483</v>
      </c>
      <c r="D66" s="76">
        <f>SUM(D54:D65)</f>
        <v>405811118</v>
      </c>
      <c r="E66" s="72">
        <f>SUM(E54:E65)</f>
        <v>0</v>
      </c>
      <c r="F66" s="72">
        <f>SUM(F54:F65)</f>
        <v>48685732.799999997</v>
      </c>
      <c r="G66" s="72"/>
      <c r="H66" s="41"/>
      <c r="I66" s="41"/>
      <c r="R66" s="41"/>
      <c r="S66" s="41"/>
    </row>
    <row r="67" spans="2:19" x14ac:dyDescent="0.25">
      <c r="C67" s="41"/>
      <c r="D67" s="41"/>
      <c r="F67" s="41"/>
      <c r="G67" s="41"/>
      <c r="H67" s="41"/>
      <c r="I67" s="41"/>
      <c r="R67" s="41"/>
      <c r="S67" s="41"/>
    </row>
    <row r="68" spans="2:19" x14ac:dyDescent="0.25">
      <c r="C68" s="41"/>
      <c r="D68" s="76"/>
      <c r="F68" s="41"/>
      <c r="G68" s="41"/>
      <c r="H68" s="41"/>
      <c r="I68" s="41"/>
      <c r="R68" s="41"/>
      <c r="S68" s="41"/>
    </row>
    <row r="71" spans="2:19" x14ac:dyDescent="0.25">
      <c r="C71" s="41"/>
      <c r="D71" s="41"/>
    </row>
    <row r="72" spans="2:19" x14ac:dyDescent="0.25">
      <c r="C72" s="43"/>
      <c r="D72" s="55"/>
      <c r="E72" s="60"/>
    </row>
    <row r="73" spans="2:19" x14ac:dyDescent="0.25">
      <c r="C73" s="43"/>
      <c r="D73" s="55"/>
      <c r="E73" s="60"/>
    </row>
    <row r="74" spans="2:19" x14ac:dyDescent="0.25">
      <c r="C74" s="43"/>
      <c r="D74" s="55"/>
      <c r="E74" s="60"/>
    </row>
    <row r="75" spans="2:19" x14ac:dyDescent="0.25">
      <c r="C75" s="43"/>
      <c r="D75" s="55"/>
      <c r="E75" s="60"/>
    </row>
    <row r="76" spans="2:19" x14ac:dyDescent="0.25">
      <c r="C76" s="43"/>
      <c r="D76" s="55"/>
      <c r="E76" s="60"/>
    </row>
    <row r="77" spans="2:19" x14ac:dyDescent="0.25">
      <c r="C77" s="43"/>
      <c r="D77" s="55"/>
      <c r="E77" s="60"/>
    </row>
    <row r="78" spans="2:19" x14ac:dyDescent="0.25">
      <c r="C78" s="43"/>
      <c r="D78" s="55"/>
      <c r="E78" s="60"/>
    </row>
    <row r="79" spans="2:19" x14ac:dyDescent="0.25">
      <c r="C79" s="43"/>
      <c r="D79" s="55"/>
      <c r="E79" s="60"/>
    </row>
    <row r="80" spans="2:19" x14ac:dyDescent="0.25">
      <c r="C80" s="43"/>
      <c r="D80" s="55"/>
      <c r="E80" s="60"/>
    </row>
    <row r="81" spans="3:5" x14ac:dyDescent="0.25">
      <c r="C81" s="43"/>
      <c r="D81" s="55"/>
      <c r="E81" s="60"/>
    </row>
    <row r="82" spans="3:5" x14ac:dyDescent="0.25">
      <c r="C82" s="43"/>
      <c r="D82" s="55"/>
      <c r="E82" s="60"/>
    </row>
    <row r="83" spans="3:5" x14ac:dyDescent="0.25">
      <c r="C83" s="43"/>
      <c r="D83" s="55"/>
      <c r="E83" s="60"/>
    </row>
    <row r="84" spans="3:5" x14ac:dyDescent="0.25">
      <c r="D84" s="55"/>
    </row>
  </sheetData>
  <mergeCells count="6">
    <mergeCell ref="D4:G5"/>
    <mergeCell ref="E7:F7"/>
    <mergeCell ref="T4:W5"/>
    <mergeCell ref="U7:V7"/>
    <mergeCell ref="L4:O5"/>
    <mergeCell ref="M7:N7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140"/>
  <sheetViews>
    <sheetView tabSelected="1" view="pageBreakPreview" zoomScale="75" zoomScaleNormal="85" zoomScaleSheetLayoutView="75" workbookViewId="0">
      <selection activeCell="C63" sqref="C63:G63"/>
    </sheetView>
  </sheetViews>
  <sheetFormatPr defaultColWidth="9.140625"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9" width="13.140625" style="2" bestFit="1" customWidth="1"/>
    <col min="10" max="11" width="14.42578125" style="2" customWidth="1"/>
    <col min="12" max="12" width="2" style="2" customWidth="1"/>
    <col min="13" max="13" width="2.85546875" style="2" customWidth="1"/>
    <col min="14" max="14" width="9.85546875" style="2" customWidth="1"/>
    <col min="15" max="15" width="18.28515625" style="2" customWidth="1"/>
    <col min="16" max="16" width="3.42578125" style="2" customWidth="1"/>
    <col min="17" max="17" width="12.7109375" style="2" bestFit="1" customWidth="1"/>
    <col min="18" max="18" width="14.5703125" style="2" bestFit="1" customWidth="1"/>
    <col min="19" max="19" width="4.28515625" style="2" customWidth="1"/>
    <col min="20" max="20" width="15.5703125" style="2" customWidth="1"/>
    <col min="21" max="21" width="12.42578125" style="2" customWidth="1"/>
    <col min="22" max="16384" width="9.140625" style="2"/>
  </cols>
  <sheetData>
    <row r="1" spans="1:21" x14ac:dyDescent="0.25">
      <c r="A1" s="1" t="str">
        <f>'Present and Proposed Rates'!A1</f>
        <v>Cumberland Valley Electric</v>
      </c>
      <c r="O1" s="1"/>
    </row>
    <row r="2" spans="1:21" x14ac:dyDescent="0.25">
      <c r="A2" s="1" t="str">
        <f>List!B12</f>
        <v>Sch IV-A - Large Power 50-2500 kW</v>
      </c>
    </row>
    <row r="3" spans="1:21" ht="16.5" thickBot="1" x14ac:dyDescent="0.3">
      <c r="A3" s="69" t="str">
        <f>List!C12</f>
        <v>L1</v>
      </c>
    </row>
    <row r="4" spans="1:21" x14ac:dyDescent="0.25">
      <c r="D4" s="421" t="s">
        <v>30</v>
      </c>
      <c r="E4" s="422"/>
      <c r="F4" s="422"/>
      <c r="G4" s="423"/>
      <c r="H4" s="3"/>
      <c r="I4" s="3"/>
      <c r="J4" s="421" t="s">
        <v>102</v>
      </c>
      <c r="K4" s="423"/>
      <c r="L4" s="127"/>
      <c r="M4" s="3"/>
      <c r="Q4" s="421" t="s">
        <v>87</v>
      </c>
      <c r="R4" s="422"/>
      <c r="S4" s="422"/>
      <c r="T4" s="423"/>
    </row>
    <row r="5" spans="1:21" ht="16.5" thickBot="1" x14ac:dyDescent="0.3">
      <c r="A5" s="44"/>
      <c r="B5" s="59"/>
      <c r="C5" s="3"/>
      <c r="D5" s="424"/>
      <c r="E5" s="425"/>
      <c r="F5" s="425"/>
      <c r="G5" s="426"/>
      <c r="H5" s="3"/>
      <c r="I5" s="3"/>
      <c r="J5" s="424"/>
      <c r="K5" s="426"/>
      <c r="L5" s="127"/>
      <c r="M5" s="3"/>
      <c r="N5" s="44"/>
      <c r="O5" s="59"/>
      <c r="P5" s="3"/>
      <c r="Q5" s="424"/>
      <c r="R5" s="425"/>
      <c r="S5" s="425"/>
      <c r="T5" s="426"/>
    </row>
    <row r="6" spans="1:21" x14ac:dyDescent="0.25">
      <c r="A6" s="4"/>
      <c r="B6" s="4"/>
      <c r="C6" s="4"/>
      <c r="D6" s="4" t="s">
        <v>1</v>
      </c>
      <c r="E6" s="4"/>
      <c r="F6" s="4"/>
      <c r="G6" s="4" t="s">
        <v>2</v>
      </c>
      <c r="H6" s="4"/>
      <c r="I6" s="4"/>
      <c r="J6" s="4"/>
      <c r="K6" s="4" t="s">
        <v>2</v>
      </c>
      <c r="L6" s="127"/>
      <c r="M6" s="4"/>
      <c r="N6" s="4"/>
      <c r="O6" s="4"/>
      <c r="P6" s="4"/>
      <c r="Q6" s="4" t="s">
        <v>1</v>
      </c>
      <c r="R6" s="4"/>
      <c r="S6" s="4"/>
      <c r="T6" s="4" t="s">
        <v>2</v>
      </c>
    </row>
    <row r="7" spans="1:21" ht="16.5" thickBot="1" x14ac:dyDescent="0.3">
      <c r="A7" s="5"/>
      <c r="B7" s="5"/>
      <c r="C7" s="5"/>
      <c r="D7" s="5" t="s">
        <v>4</v>
      </c>
      <c r="E7" s="425" t="s">
        <v>5</v>
      </c>
      <c r="F7" s="425"/>
      <c r="G7" s="5" t="s">
        <v>6</v>
      </c>
      <c r="H7" s="5"/>
      <c r="I7" s="5"/>
      <c r="J7" s="5" t="s">
        <v>5</v>
      </c>
      <c r="K7" s="5" t="s">
        <v>6</v>
      </c>
      <c r="L7" s="126"/>
      <c r="M7" s="5"/>
      <c r="N7" s="5"/>
      <c r="O7" s="5"/>
      <c r="P7" s="5"/>
      <c r="Q7" s="5" t="s">
        <v>4</v>
      </c>
      <c r="R7" s="425" t="s">
        <v>5</v>
      </c>
      <c r="S7" s="425"/>
      <c r="T7" s="5" t="s">
        <v>6</v>
      </c>
      <c r="U7" s="5" t="s">
        <v>58</v>
      </c>
    </row>
    <row r="8" spans="1:21" x14ac:dyDescent="0.25">
      <c r="L8" s="127"/>
    </row>
    <row r="9" spans="1:21" x14ac:dyDescent="0.25">
      <c r="L9" s="127"/>
    </row>
    <row r="10" spans="1:21" x14ac:dyDescent="0.25">
      <c r="A10" s="102" t="s">
        <v>10</v>
      </c>
      <c r="L10" s="127"/>
      <c r="N10" s="102" t="s">
        <v>10</v>
      </c>
    </row>
    <row r="11" spans="1:21" x14ac:dyDescent="0.25">
      <c r="D11" s="139" t="s">
        <v>91</v>
      </c>
      <c r="E11" s="139" t="s">
        <v>92</v>
      </c>
      <c r="I11" s="139" t="s">
        <v>91</v>
      </c>
      <c r="J11" s="139" t="s">
        <v>92</v>
      </c>
      <c r="L11" s="127"/>
      <c r="Q11" s="139" t="s">
        <v>91</v>
      </c>
      <c r="R11" s="139" t="s">
        <v>92</v>
      </c>
      <c r="U11" s="287"/>
    </row>
    <row r="12" spans="1:21" x14ac:dyDescent="0.25">
      <c r="B12" s="2" t="s">
        <v>101</v>
      </c>
      <c r="D12" s="8">
        <f>'Billing Determ'!C144</f>
        <v>736</v>
      </c>
      <c r="E12" s="9">
        <f>'Present and Proposed Rates'!G26</f>
        <v>67.37</v>
      </c>
      <c r="G12" s="11">
        <f>D12*E12</f>
        <v>49584.320000000007</v>
      </c>
      <c r="H12" s="11"/>
      <c r="I12" s="8">
        <f>Q12</f>
        <v>760</v>
      </c>
      <c r="J12" s="141">
        <f>'Present and Proposed Rates'!H26</f>
        <v>67.37</v>
      </c>
      <c r="K12" s="11">
        <f>J12*D12</f>
        <v>49584.320000000007</v>
      </c>
      <c r="L12" s="128"/>
      <c r="M12" s="11"/>
      <c r="O12" s="2" t="s">
        <v>98</v>
      </c>
      <c r="Q12" s="8">
        <f>D12+2*12</f>
        <v>760</v>
      </c>
      <c r="R12" s="9">
        <f>'Present and Proposed Rates'!I26</f>
        <v>67.37</v>
      </c>
      <c r="T12" s="11">
        <f>Q12*R12</f>
        <v>51201.200000000004</v>
      </c>
      <c r="U12" s="287">
        <f>IF(K12=0,0,T12/K12-1)</f>
        <v>3.2608695652173836E-2</v>
      </c>
    </row>
    <row r="13" spans="1:21" x14ac:dyDescent="0.25">
      <c r="D13" s="8"/>
      <c r="E13" s="9"/>
      <c r="G13" s="11"/>
      <c r="H13" s="11"/>
      <c r="I13" s="8"/>
      <c r="J13" s="141"/>
      <c r="K13" s="11"/>
      <c r="L13" s="128"/>
      <c r="M13" s="11"/>
      <c r="Q13" s="8"/>
      <c r="R13" s="9"/>
      <c r="T13" s="11"/>
    </row>
    <row r="14" spans="1:21" x14ac:dyDescent="0.25">
      <c r="D14" s="8"/>
      <c r="G14" s="11"/>
      <c r="H14" s="11"/>
      <c r="I14" s="8"/>
      <c r="J14" s="41"/>
      <c r="K14" s="11"/>
      <c r="L14" s="128"/>
      <c r="M14" s="11"/>
      <c r="Q14" s="8"/>
      <c r="T14" s="11"/>
    </row>
    <row r="15" spans="1:21" x14ac:dyDescent="0.25">
      <c r="A15" s="1" t="s">
        <v>7</v>
      </c>
      <c r="D15" s="8"/>
      <c r="G15" s="11"/>
      <c r="H15" s="11"/>
      <c r="I15" s="38"/>
      <c r="J15" s="41"/>
      <c r="K15" s="11"/>
      <c r="L15" s="128"/>
      <c r="M15" s="11"/>
      <c r="N15" s="1" t="s">
        <v>7</v>
      </c>
      <c r="Q15" s="38"/>
      <c r="R15" s="41"/>
      <c r="T15" s="11"/>
      <c r="U15" s="287"/>
    </row>
    <row r="16" spans="1:21" x14ac:dyDescent="0.25">
      <c r="D16" s="117" t="s">
        <v>8</v>
      </c>
      <c r="E16" s="118" t="s">
        <v>11</v>
      </c>
      <c r="G16" s="11"/>
      <c r="H16" s="11"/>
      <c r="I16" s="117" t="s">
        <v>8</v>
      </c>
      <c r="J16" s="118" t="s">
        <v>11</v>
      </c>
      <c r="K16" s="11"/>
      <c r="L16" s="128"/>
      <c r="M16" s="11"/>
      <c r="Q16" s="117" t="s">
        <v>8</v>
      </c>
      <c r="R16" s="118" t="s">
        <v>11</v>
      </c>
      <c r="T16" s="11"/>
      <c r="U16" s="287"/>
    </row>
    <row r="17" spans="1:22" x14ac:dyDescent="0.25">
      <c r="B17" s="2" t="s">
        <v>120</v>
      </c>
      <c r="D17" s="8">
        <f>'Billing Determ'!D144</f>
        <v>77310121</v>
      </c>
      <c r="E17" s="18">
        <f>'Present and Proposed Rates'!G27</f>
        <v>5.8770000000000003E-2</v>
      </c>
      <c r="G17" s="11">
        <f>D17*E17</f>
        <v>4543515.8111700006</v>
      </c>
      <c r="H17" s="11"/>
      <c r="I17" s="8">
        <f>Q17</f>
        <v>77497934</v>
      </c>
      <c r="J17" s="140">
        <f>'Present and Proposed Rates'!H27</f>
        <v>7.0559999999999998E-2</v>
      </c>
      <c r="K17" s="11">
        <f>J17*D17</f>
        <v>5455002.1377599994</v>
      </c>
      <c r="L17" s="128"/>
      <c r="M17" s="11"/>
      <c r="O17" s="2" t="s">
        <v>120</v>
      </c>
      <c r="Q17" s="8">
        <f>D17+187813</f>
        <v>77497934</v>
      </c>
      <c r="R17" s="18">
        <f>'Present and Proposed Rates'!I27</f>
        <v>7.0559999999999998E-2</v>
      </c>
      <c r="T17" s="11">
        <f>Q17*R17</f>
        <v>5468254.2230399996</v>
      </c>
      <c r="U17" s="287">
        <f>IF(K17=0,0,T17/K17-1)</f>
        <v>2.4293455704202938E-3</v>
      </c>
    </row>
    <row r="18" spans="1:22" x14ac:dyDescent="0.25">
      <c r="A18" s="1"/>
      <c r="B18" s="16"/>
      <c r="C18" s="132" t="s">
        <v>215</v>
      </c>
      <c r="D18" s="292">
        <f>D17/D12</f>
        <v>105040.92527173914</v>
      </c>
      <c r="L18" s="127"/>
    </row>
    <row r="19" spans="1:22" x14ac:dyDescent="0.25">
      <c r="A19" s="1" t="s">
        <v>93</v>
      </c>
      <c r="D19" s="38"/>
      <c r="E19" s="140"/>
      <c r="G19" s="11"/>
      <c r="H19" s="11"/>
      <c r="I19" s="8"/>
      <c r="J19" s="140"/>
      <c r="K19" s="11"/>
      <c r="L19" s="128"/>
      <c r="M19" s="11"/>
      <c r="N19" s="1" t="s">
        <v>93</v>
      </c>
      <c r="Q19" s="8"/>
      <c r="R19" s="18"/>
      <c r="T19" s="11"/>
      <c r="U19" s="287"/>
    </row>
    <row r="20" spans="1:22" x14ac:dyDescent="0.25">
      <c r="A20" s="1"/>
      <c r="D20" s="117" t="s">
        <v>94</v>
      </c>
      <c r="E20" s="118" t="s">
        <v>95</v>
      </c>
      <c r="G20" s="11"/>
      <c r="H20" s="11"/>
      <c r="I20" s="117" t="s">
        <v>94</v>
      </c>
      <c r="J20" s="118" t="s">
        <v>95</v>
      </c>
      <c r="K20" s="11"/>
      <c r="L20" s="128"/>
      <c r="M20" s="11"/>
      <c r="N20" s="1"/>
      <c r="Q20" s="117" t="s">
        <v>94</v>
      </c>
      <c r="R20" s="118" t="s">
        <v>95</v>
      </c>
      <c r="T20" s="11"/>
      <c r="U20" s="287"/>
    </row>
    <row r="21" spans="1:22" x14ac:dyDescent="0.25">
      <c r="A21" s="1"/>
      <c r="B21" s="2" t="s">
        <v>121</v>
      </c>
      <c r="D21" s="8">
        <f>'Billing Determ'!I144/'L1'!E21</f>
        <v>259768.94279176201</v>
      </c>
      <c r="E21" s="74">
        <f>'Present and Proposed Rates'!G28</f>
        <v>4.37</v>
      </c>
      <c r="G21" s="11">
        <f>D21*E21</f>
        <v>1135190.28</v>
      </c>
      <c r="H21" s="11"/>
      <c r="I21" s="8">
        <f>Q21</f>
        <v>259768.94279176201</v>
      </c>
      <c r="J21" s="142">
        <f>'Present and Proposed Rates'!H28</f>
        <v>4.37</v>
      </c>
      <c r="K21" s="11">
        <f>J21*D21</f>
        <v>1135190.28</v>
      </c>
      <c r="L21" s="135"/>
      <c r="M21" s="11"/>
      <c r="N21" s="1"/>
      <c r="O21" s="2" t="s">
        <v>121</v>
      </c>
      <c r="Q21" s="8">
        <f>D21</f>
        <v>259768.94279176201</v>
      </c>
      <c r="R21" s="74">
        <f>'Present and Proposed Rates'!I28</f>
        <v>6.6570912062657817</v>
      </c>
      <c r="T21" s="11">
        <f>Q21*R21</f>
        <v>1729305.5447199978</v>
      </c>
      <c r="U21" s="287">
        <f>IF(K21=0,0,T21/K21-1)</f>
        <v>0.52336183209743292</v>
      </c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44"/>
      <c r="M22" s="1"/>
      <c r="N22" s="1"/>
      <c r="O22" s="1"/>
      <c r="P22" s="1"/>
      <c r="Q22" s="1"/>
      <c r="R22" s="1"/>
      <c r="S22" s="1"/>
      <c r="T22" s="1"/>
      <c r="V22" s="1"/>
    </row>
    <row r="23" spans="1:22" x14ac:dyDescent="0.25">
      <c r="A23" s="1" t="s">
        <v>96</v>
      </c>
      <c r="B23" s="1"/>
      <c r="C23" s="16"/>
      <c r="D23" s="8"/>
      <c r="E23" s="18"/>
      <c r="G23" s="11"/>
      <c r="H23" s="11"/>
      <c r="I23" s="11"/>
      <c r="J23" s="11"/>
      <c r="K23" s="11"/>
      <c r="L23" s="128"/>
      <c r="M23" s="11"/>
      <c r="N23" s="1" t="s">
        <v>96</v>
      </c>
      <c r="O23" s="1"/>
      <c r="P23" s="16"/>
      <c r="Q23" s="8"/>
      <c r="R23" s="18"/>
      <c r="T23" s="11"/>
    </row>
    <row r="24" spans="1:22" x14ac:dyDescent="0.25">
      <c r="A24" s="1"/>
      <c r="B24" s="2" t="s">
        <v>90</v>
      </c>
      <c r="C24" s="16"/>
      <c r="D24" s="8"/>
      <c r="E24" s="18"/>
      <c r="G24" s="11">
        <f>'Billing Determ'!L144</f>
        <v>908212.01</v>
      </c>
      <c r="H24" s="11"/>
      <c r="I24" s="11"/>
      <c r="J24" s="11"/>
      <c r="K24" s="11">
        <f>G24-D17*'Present and Proposed Rates'!I56</f>
        <v>-3274.316589999944</v>
      </c>
      <c r="L24" s="128"/>
      <c r="M24" s="11"/>
      <c r="N24" s="1"/>
      <c r="O24" s="2" t="s">
        <v>90</v>
      </c>
      <c r="P24" s="16"/>
      <c r="Q24" s="8"/>
      <c r="R24" s="18"/>
      <c r="T24" s="11">
        <f>K24</f>
        <v>-3274.316589999944</v>
      </c>
      <c r="U24" s="287"/>
    </row>
    <row r="25" spans="1:22" x14ac:dyDescent="0.25">
      <c r="A25" s="1"/>
      <c r="B25" s="2" t="s">
        <v>97</v>
      </c>
      <c r="C25" s="16"/>
      <c r="D25" s="8"/>
      <c r="E25" s="18"/>
      <c r="G25" s="11">
        <f>'Billing Determ'!N144</f>
        <v>766669.56</v>
      </c>
      <c r="H25" s="11"/>
      <c r="I25" s="11"/>
      <c r="J25" s="11"/>
      <c r="K25" s="11">
        <f>G25</f>
        <v>766669.56</v>
      </c>
      <c r="L25" s="128"/>
      <c r="M25" s="11"/>
      <c r="N25" s="1"/>
      <c r="O25" s="2" t="s">
        <v>97</v>
      </c>
      <c r="P25" s="16"/>
      <c r="Q25" s="8"/>
      <c r="R25" s="18"/>
      <c r="T25" s="11">
        <f t="shared" ref="T25:T26" si="0">K25</f>
        <v>766669.56</v>
      </c>
    </row>
    <row r="26" spans="1:22" x14ac:dyDescent="0.25">
      <c r="B26" s="2" t="s">
        <v>204</v>
      </c>
      <c r="D26" s="8"/>
      <c r="E26" s="18"/>
      <c r="G26" s="39">
        <f>'Billing Determ'!K144</f>
        <v>-872.23999999999978</v>
      </c>
      <c r="H26" s="39"/>
      <c r="I26" s="39"/>
      <c r="J26" s="39"/>
      <c r="K26" s="39">
        <f>G26</f>
        <v>-872.23999999999978</v>
      </c>
      <c r="L26" s="128"/>
      <c r="M26" s="39"/>
      <c r="N26" s="102"/>
      <c r="O26" s="2" t="str">
        <f>B26</f>
        <v>Min Bill</v>
      </c>
      <c r="T26" s="11">
        <f t="shared" si="0"/>
        <v>-872.23999999999978</v>
      </c>
    </row>
    <row r="27" spans="1:22" x14ac:dyDescent="0.25">
      <c r="D27" s="8"/>
      <c r="E27" s="18"/>
      <c r="G27" s="39"/>
      <c r="H27" s="39"/>
      <c r="I27" s="39"/>
      <c r="J27" s="39"/>
      <c r="K27" s="39"/>
      <c r="L27" s="128"/>
      <c r="M27" s="39"/>
      <c r="N27" s="102"/>
      <c r="T27" s="11"/>
    </row>
    <row r="28" spans="1:22" x14ac:dyDescent="0.25">
      <c r="A28" s="1"/>
      <c r="D28" s="25"/>
      <c r="G28" s="11"/>
      <c r="H28" s="11"/>
      <c r="I28" s="11"/>
      <c r="J28" s="11"/>
      <c r="K28" s="11"/>
      <c r="L28" s="128"/>
      <c r="M28" s="11"/>
      <c r="N28" s="1"/>
      <c r="T28" s="11"/>
    </row>
    <row r="29" spans="1:22" ht="16.5" thickBot="1" x14ac:dyDescent="0.3">
      <c r="A29" s="1" t="s">
        <v>79</v>
      </c>
      <c r="G29" s="24">
        <f>SUM(G12:G27)</f>
        <v>7402299.7411700003</v>
      </c>
      <c r="H29" s="11"/>
      <c r="I29" s="11"/>
      <c r="J29" s="11"/>
      <c r="K29" s="24">
        <f>SUM(K12:K27)</f>
        <v>7402299.7411700003</v>
      </c>
      <c r="L29" s="128"/>
      <c r="M29" s="11"/>
      <c r="N29" s="1" t="s">
        <v>79</v>
      </c>
      <c r="T29" s="24">
        <f>SUM(T12:T27)</f>
        <v>8011283.971169997</v>
      </c>
    </row>
    <row r="30" spans="1:22" ht="16.5" thickTop="1" x14ac:dyDescent="0.25">
      <c r="A30" s="1"/>
      <c r="B30" s="1"/>
      <c r="G30" s="11"/>
      <c r="H30" s="11"/>
      <c r="I30" s="11"/>
      <c r="J30" s="11"/>
      <c r="K30" s="11"/>
      <c r="L30" s="128"/>
      <c r="M30" s="11"/>
      <c r="N30" s="1"/>
      <c r="O30" s="1"/>
      <c r="T30" s="11"/>
    </row>
    <row r="31" spans="1:22" x14ac:dyDescent="0.25">
      <c r="A31" s="1" t="s">
        <v>19</v>
      </c>
      <c r="B31" s="10"/>
      <c r="G31" s="11">
        <f>'Billing Determ'!G144+'Billing Determ'!I144+'Billing Determ'!J144+'Billing Determ'!O144*0+SUM('Billing Determ'!L132:L143)</f>
        <v>7414373.6000000006</v>
      </c>
      <c r="H31" s="11"/>
      <c r="I31" s="11"/>
      <c r="J31" s="11"/>
      <c r="K31" s="11"/>
      <c r="L31" s="129"/>
      <c r="M31" s="11"/>
      <c r="N31" s="1" t="s">
        <v>103</v>
      </c>
      <c r="O31" s="10"/>
      <c r="T31" s="31">
        <f>T29-K29</f>
        <v>608984.22999999672</v>
      </c>
    </row>
    <row r="32" spans="1:22" x14ac:dyDescent="0.25">
      <c r="A32" s="10"/>
      <c r="B32" s="10"/>
      <c r="G32" s="10"/>
      <c r="H32" s="10"/>
      <c r="I32" s="10"/>
      <c r="J32" s="10"/>
      <c r="K32" s="10"/>
      <c r="L32" s="130"/>
      <c r="M32" s="10"/>
      <c r="O32" s="10"/>
      <c r="T32" s="10"/>
    </row>
    <row r="33" spans="1:21" x14ac:dyDescent="0.25">
      <c r="A33" s="1" t="s">
        <v>13</v>
      </c>
      <c r="B33" s="10"/>
      <c r="G33" s="22">
        <f>G29-G31</f>
        <v>-12073.858830000274</v>
      </c>
      <c r="H33" s="22"/>
      <c r="I33" s="22"/>
      <c r="J33" s="22"/>
      <c r="K33" s="22">
        <f>K29-G29</f>
        <v>0</v>
      </c>
      <c r="L33" s="128"/>
      <c r="M33" s="22"/>
      <c r="N33" s="1" t="s">
        <v>104</v>
      </c>
      <c r="O33" s="10"/>
      <c r="T33" s="98">
        <f>T31/K29</f>
        <v>8.2269598813049585E-2</v>
      </c>
    </row>
    <row r="34" spans="1:21" x14ac:dyDescent="0.25">
      <c r="A34" s="10"/>
      <c r="B34" s="10"/>
      <c r="G34" s="11"/>
      <c r="H34" s="11"/>
      <c r="I34" s="11"/>
      <c r="J34" s="11"/>
      <c r="K34" s="11"/>
      <c r="L34" s="131"/>
      <c r="M34" s="11"/>
      <c r="O34" s="10"/>
      <c r="T34" s="11"/>
    </row>
    <row r="35" spans="1:21" x14ac:dyDescent="0.25">
      <c r="A35" s="1" t="s">
        <v>26</v>
      </c>
      <c r="B35" s="10"/>
      <c r="G35" s="23">
        <f>G33/G31</f>
        <v>-1.6284394989214291E-3</v>
      </c>
      <c r="H35" s="23"/>
      <c r="I35" s="23"/>
      <c r="J35" s="23"/>
      <c r="K35" s="23">
        <f>K33/G31</f>
        <v>0</v>
      </c>
      <c r="L35" s="128"/>
      <c r="M35" s="23"/>
      <c r="N35" s="1" t="s">
        <v>84</v>
      </c>
      <c r="O35" s="10"/>
      <c r="T35" s="39">
        <f>T31/Q12</f>
        <v>801.29503947367994</v>
      </c>
    </row>
    <row r="36" spans="1:21" x14ac:dyDescent="0.25">
      <c r="A36" s="1"/>
      <c r="B36" s="10"/>
      <c r="G36" s="23"/>
      <c r="H36" s="23"/>
      <c r="I36" s="23"/>
      <c r="J36" s="23"/>
      <c r="K36" s="23"/>
      <c r="L36" s="23"/>
      <c r="M36" s="23"/>
      <c r="N36" s="1"/>
      <c r="O36" s="10"/>
      <c r="T36" s="23"/>
    </row>
    <row r="37" spans="1:21" x14ac:dyDescent="0.25">
      <c r="A37" s="1"/>
      <c r="B37" s="10"/>
      <c r="G37" s="138"/>
      <c r="H37" s="23"/>
      <c r="I37" s="23"/>
      <c r="J37" s="23"/>
      <c r="K37" s="23"/>
      <c r="L37" s="23"/>
      <c r="M37" s="23"/>
      <c r="N37" s="1"/>
      <c r="O37" s="10"/>
      <c r="T37" s="23"/>
    </row>
    <row r="38" spans="1:21" x14ac:dyDescent="0.25">
      <c r="A38" s="1"/>
      <c r="B38" s="10"/>
      <c r="G38" s="138">
        <f>G12+G17+G21</f>
        <v>5728290.4111700011</v>
      </c>
      <c r="H38" s="23"/>
      <c r="I38" s="23"/>
      <c r="J38" s="23"/>
      <c r="K38" s="138"/>
      <c r="L38" s="23"/>
      <c r="M38" s="23"/>
      <c r="N38" s="1"/>
      <c r="O38" s="10"/>
      <c r="T38" s="23"/>
    </row>
    <row r="39" spans="1:21" x14ac:dyDescent="0.25">
      <c r="A39" s="1"/>
      <c r="B39" s="10"/>
      <c r="G39" s="138"/>
      <c r="H39" s="23"/>
      <c r="I39" s="23"/>
      <c r="J39" s="23"/>
      <c r="K39" s="23"/>
      <c r="L39" s="23"/>
      <c r="M39" s="23"/>
      <c r="N39" s="1"/>
      <c r="O39" s="10"/>
      <c r="T39" s="23"/>
    </row>
    <row r="40" spans="1:21" x14ac:dyDescent="0.25">
      <c r="A40" s="1"/>
      <c r="B40" s="10"/>
      <c r="G40" s="23"/>
      <c r="H40" s="23"/>
      <c r="I40" s="23"/>
      <c r="J40" s="23"/>
      <c r="K40" s="23"/>
      <c r="L40" s="23"/>
      <c r="M40" s="23"/>
      <c r="N40" s="1"/>
      <c r="O40" s="10"/>
      <c r="T40" s="23"/>
    </row>
    <row r="41" spans="1:21" x14ac:dyDescent="0.25">
      <c r="A41" s="1"/>
      <c r="B41" s="10"/>
      <c r="G41" s="23"/>
      <c r="H41" s="23"/>
      <c r="I41" s="23"/>
      <c r="J41" s="23"/>
      <c r="K41" s="23"/>
      <c r="L41" s="23"/>
      <c r="M41" s="23"/>
      <c r="N41" s="1"/>
      <c r="O41" s="10"/>
      <c r="T41" s="23"/>
    </row>
    <row r="42" spans="1:21" ht="18.75" customHeight="1" x14ac:dyDescent="0.25">
      <c r="A42" s="1"/>
      <c r="B42" s="11"/>
      <c r="G42" s="23"/>
      <c r="H42" s="23"/>
      <c r="I42" s="23"/>
      <c r="J42" s="23"/>
      <c r="K42" s="23"/>
      <c r="L42" s="23"/>
      <c r="M42" s="23"/>
    </row>
    <row r="43" spans="1:21" x14ac:dyDescent="0.25">
      <c r="E43" s="11"/>
      <c r="U43" s="66"/>
    </row>
    <row r="44" spans="1:21" x14ac:dyDescent="0.25">
      <c r="U44" s="66"/>
    </row>
    <row r="45" spans="1:21" x14ac:dyDescent="0.25">
      <c r="U45" s="66"/>
    </row>
    <row r="46" spans="1:21" x14ac:dyDescent="0.25">
      <c r="U46" s="66"/>
    </row>
    <row r="47" spans="1:21" x14ac:dyDescent="0.25">
      <c r="U47" s="66"/>
    </row>
    <row r="48" spans="1:21" x14ac:dyDescent="0.25">
      <c r="U48" s="66"/>
    </row>
    <row r="49" spans="21:21" x14ac:dyDescent="0.25">
      <c r="U49" s="66"/>
    </row>
    <row r="50" spans="21:21" x14ac:dyDescent="0.25">
      <c r="U50" s="66"/>
    </row>
    <row r="51" spans="21:21" x14ac:dyDescent="0.25">
      <c r="U51" s="66"/>
    </row>
    <row r="52" spans="21:21" x14ac:dyDescent="0.25">
      <c r="U52" s="66"/>
    </row>
    <row r="53" spans="21:21" x14ac:dyDescent="0.25">
      <c r="U53" s="66"/>
    </row>
    <row r="54" spans="21:21" x14ac:dyDescent="0.25">
      <c r="U54" s="66"/>
    </row>
    <row r="57" spans="21:21" ht="16.5" customHeight="1" x14ac:dyDescent="0.25">
      <c r="U57" s="41"/>
    </row>
    <row r="58" spans="21:21" x14ac:dyDescent="0.25">
      <c r="U58" s="41"/>
    </row>
    <row r="60" spans="21:21" x14ac:dyDescent="0.25">
      <c r="U60" s="41"/>
    </row>
    <row r="61" spans="21:21" x14ac:dyDescent="0.25">
      <c r="U61" s="41"/>
    </row>
    <row r="62" spans="21:21" x14ac:dyDescent="0.25">
      <c r="U62" s="41"/>
    </row>
    <row r="63" spans="21:21" x14ac:dyDescent="0.25">
      <c r="U63" s="41"/>
    </row>
    <row r="64" spans="21:21" x14ac:dyDescent="0.25">
      <c r="U64" s="41"/>
    </row>
    <row r="65" spans="21:21" x14ac:dyDescent="0.25">
      <c r="U65" s="41"/>
    </row>
    <row r="66" spans="21:21" x14ac:dyDescent="0.25">
      <c r="U66" s="41"/>
    </row>
    <row r="67" spans="21:21" x14ac:dyDescent="0.25">
      <c r="U67" s="41"/>
    </row>
    <row r="68" spans="21:21" x14ac:dyDescent="0.25">
      <c r="U68" s="41"/>
    </row>
    <row r="69" spans="21:21" x14ac:dyDescent="0.25">
      <c r="U69" s="41"/>
    </row>
    <row r="70" spans="21:21" x14ac:dyDescent="0.25">
      <c r="U70" s="41"/>
    </row>
    <row r="71" spans="21:21" x14ac:dyDescent="0.25">
      <c r="U71" s="41"/>
    </row>
    <row r="72" spans="21:21" x14ac:dyDescent="0.25">
      <c r="U72" s="72"/>
    </row>
    <row r="73" spans="21:21" x14ac:dyDescent="0.25">
      <c r="U73" s="72"/>
    </row>
    <row r="74" spans="21:21" x14ac:dyDescent="0.25">
      <c r="U74" s="72"/>
    </row>
    <row r="75" spans="21:21" x14ac:dyDescent="0.25">
      <c r="U75" s="72"/>
    </row>
    <row r="76" spans="21:21" x14ac:dyDescent="0.25">
      <c r="U76" s="72"/>
    </row>
    <row r="77" spans="21:21" x14ac:dyDescent="0.25">
      <c r="U77" s="72"/>
    </row>
    <row r="78" spans="21:21" x14ac:dyDescent="0.25">
      <c r="U78" s="72"/>
    </row>
    <row r="79" spans="21:21" x14ac:dyDescent="0.25">
      <c r="U79" s="72"/>
    </row>
    <row r="80" spans="21:21" x14ac:dyDescent="0.25">
      <c r="U80" s="72"/>
    </row>
    <row r="81" spans="21:21" x14ac:dyDescent="0.25">
      <c r="U81" s="72"/>
    </row>
    <row r="82" spans="21:21" x14ac:dyDescent="0.25">
      <c r="U82" s="72"/>
    </row>
    <row r="83" spans="21:21" x14ac:dyDescent="0.25">
      <c r="U83" s="72"/>
    </row>
    <row r="84" spans="21:21" x14ac:dyDescent="0.25">
      <c r="U84" s="72"/>
    </row>
    <row r="85" spans="21:21" x14ac:dyDescent="0.25">
      <c r="U85" s="72"/>
    </row>
    <row r="86" spans="21:21" x14ac:dyDescent="0.25">
      <c r="U86" s="72"/>
    </row>
    <row r="87" spans="21:21" x14ac:dyDescent="0.25">
      <c r="U87" s="72"/>
    </row>
    <row r="88" spans="21:21" x14ac:dyDescent="0.25">
      <c r="U88" s="72"/>
    </row>
    <row r="89" spans="21:21" x14ac:dyDescent="0.25">
      <c r="U89" s="72"/>
    </row>
    <row r="90" spans="21:21" ht="15" customHeight="1" x14ac:dyDescent="0.25">
      <c r="U90" s="72"/>
    </row>
    <row r="91" spans="21:21" x14ac:dyDescent="0.25">
      <c r="U91" s="72"/>
    </row>
    <row r="92" spans="21:21" x14ac:dyDescent="0.25">
      <c r="U92" s="72"/>
    </row>
    <row r="93" spans="21:21" x14ac:dyDescent="0.25">
      <c r="U93" s="72"/>
    </row>
    <row r="94" spans="21:21" x14ac:dyDescent="0.25">
      <c r="U94" s="72"/>
    </row>
    <row r="95" spans="21:21" x14ac:dyDescent="0.25">
      <c r="U95" s="72"/>
    </row>
    <row r="96" spans="21:21" x14ac:dyDescent="0.25">
      <c r="U96" s="72"/>
    </row>
    <row r="97" spans="21:21" x14ac:dyDescent="0.25">
      <c r="U97" s="72"/>
    </row>
    <row r="98" spans="21:21" x14ac:dyDescent="0.25">
      <c r="U98" s="72"/>
    </row>
    <row r="99" spans="21:21" x14ac:dyDescent="0.25">
      <c r="U99" s="72"/>
    </row>
    <row r="100" spans="21:21" x14ac:dyDescent="0.25">
      <c r="U100" s="72"/>
    </row>
    <row r="101" spans="21:21" x14ac:dyDescent="0.25">
      <c r="U101" s="72"/>
    </row>
    <row r="102" spans="21:21" x14ac:dyDescent="0.25">
      <c r="U102" s="72"/>
    </row>
    <row r="103" spans="21:21" x14ac:dyDescent="0.25">
      <c r="U103" s="72"/>
    </row>
    <row r="104" spans="21:21" x14ac:dyDescent="0.25">
      <c r="U104" s="72"/>
    </row>
    <row r="105" spans="21:21" x14ac:dyDescent="0.25">
      <c r="U105" s="72"/>
    </row>
    <row r="106" spans="21:21" x14ac:dyDescent="0.25">
      <c r="U106" s="72"/>
    </row>
    <row r="107" spans="21:21" x14ac:dyDescent="0.25">
      <c r="U107" s="72"/>
    </row>
    <row r="108" spans="21:21" x14ac:dyDescent="0.25">
      <c r="U108" s="72"/>
    </row>
    <row r="109" spans="21:21" x14ac:dyDescent="0.25">
      <c r="U109" s="72"/>
    </row>
    <row r="110" spans="21:21" x14ac:dyDescent="0.25">
      <c r="U110" s="72"/>
    </row>
    <row r="111" spans="21:21" x14ac:dyDescent="0.25">
      <c r="U111" s="72"/>
    </row>
    <row r="112" spans="21:21" x14ac:dyDescent="0.25">
      <c r="U112" s="72"/>
    </row>
    <row r="113" spans="21:21" x14ac:dyDescent="0.25">
      <c r="U113" s="72"/>
    </row>
    <row r="114" spans="21:21" x14ac:dyDescent="0.25">
      <c r="U114" s="72"/>
    </row>
    <row r="115" spans="21:21" x14ac:dyDescent="0.25">
      <c r="U115" s="72"/>
    </row>
    <row r="116" spans="21:21" x14ac:dyDescent="0.25">
      <c r="U116" s="72"/>
    </row>
    <row r="117" spans="21:21" x14ac:dyDescent="0.25">
      <c r="U117" s="72"/>
    </row>
    <row r="136" spans="3:15" x14ac:dyDescent="0.25">
      <c r="O136" s="41"/>
    </row>
    <row r="137" spans="3:15" x14ac:dyDescent="0.25">
      <c r="C137" s="41"/>
      <c r="D137" s="41"/>
      <c r="O137" s="41"/>
    </row>
    <row r="138" spans="3:15" x14ac:dyDescent="0.25">
      <c r="C138" s="43"/>
      <c r="D138" s="55"/>
      <c r="E138" s="60"/>
      <c r="O138" s="41"/>
    </row>
    <row r="139" spans="3:15" x14ac:dyDescent="0.25">
      <c r="C139" s="43"/>
      <c r="D139" s="55"/>
      <c r="E139" s="60"/>
      <c r="O139" s="41"/>
    </row>
    <row r="140" spans="3:15" x14ac:dyDescent="0.25">
      <c r="C140" s="43"/>
      <c r="D140" s="55"/>
      <c r="E140" s="60"/>
      <c r="O140" s="41"/>
    </row>
  </sheetData>
  <mergeCells count="5">
    <mergeCell ref="D4:G5"/>
    <mergeCell ref="J4:K5"/>
    <mergeCell ref="Q4:T5"/>
    <mergeCell ref="E7:F7"/>
    <mergeCell ref="R7:S7"/>
  </mergeCells>
  <pageMargins left="0.75" right="0.75" top="1" bottom="1" header="0.5" footer="0.5"/>
  <pageSetup scale="58" orientation="landscape" r:id="rId1"/>
  <headerFooter alignWithMargins="0">
    <oddFooter>&amp;RExhibit JW-9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120"/>
  <sheetViews>
    <sheetView tabSelected="1" view="pageBreakPreview" zoomScale="75" zoomScaleNormal="100" zoomScaleSheetLayoutView="75" workbookViewId="0">
      <selection activeCell="C63" sqref="C63:G63"/>
    </sheetView>
  </sheetViews>
  <sheetFormatPr defaultColWidth="9.140625" defaultRowHeight="15.75" x14ac:dyDescent="0.25"/>
  <cols>
    <col min="1" max="2" width="4.28515625" style="2" customWidth="1"/>
    <col min="3" max="3" width="32.140625" style="2" bestFit="1" customWidth="1"/>
    <col min="4" max="4" width="54.5703125" style="2" bestFit="1" customWidth="1"/>
    <col min="5" max="5" width="15.85546875" style="2" customWidth="1"/>
    <col min="6" max="6" width="3" style="2" customWidth="1"/>
    <col min="7" max="7" width="10.42578125" style="2" bestFit="1" customWidth="1"/>
    <col min="8" max="8" width="10.85546875" style="2" bestFit="1" customWidth="1"/>
    <col min="9" max="9" width="18.85546875" style="2" customWidth="1"/>
    <col min="10" max="10" width="3.28515625" style="2" customWidth="1"/>
    <col min="11" max="11" width="10.85546875" style="2" bestFit="1" customWidth="1"/>
    <col min="12" max="12" width="15.28515625" style="2" customWidth="1"/>
    <col min="13" max="13" width="2" style="2" customWidth="1"/>
    <col min="14" max="14" width="2.7109375" style="2" customWidth="1"/>
    <col min="15" max="15" width="16.5703125" style="2" customWidth="1"/>
    <col min="16" max="16" width="15.140625" style="2" customWidth="1"/>
    <col min="17" max="17" width="7.5703125" style="2" customWidth="1"/>
    <col min="18" max="18" width="15.28515625" style="2" customWidth="1"/>
    <col min="19" max="19" width="12.42578125" style="2" customWidth="1"/>
    <col min="20" max="20" width="16.7109375" style="2" customWidth="1"/>
    <col min="21" max="21" width="9.140625" style="2"/>
    <col min="22" max="23" width="6.7109375" style="2" customWidth="1"/>
    <col min="24" max="24" width="27.5703125" style="2" customWidth="1"/>
    <col min="25" max="25" width="11.7109375" style="2" customWidth="1"/>
    <col min="26" max="26" width="13" style="2" customWidth="1"/>
    <col min="27" max="27" width="10.5703125" style="2" customWidth="1"/>
    <col min="28" max="28" width="2.7109375" style="2" customWidth="1"/>
    <col min="29" max="29" width="16.7109375" style="2" customWidth="1"/>
    <col min="30" max="16384" width="9.140625" style="2"/>
  </cols>
  <sheetData>
    <row r="1" spans="1:29" x14ac:dyDescent="0.25">
      <c r="A1" s="1" t="str">
        <f>List!A1</f>
        <v>Cumberland Valley Electric</v>
      </c>
      <c r="B1" s="1"/>
      <c r="C1" s="1"/>
      <c r="D1" s="1"/>
    </row>
    <row r="2" spans="1:29" x14ac:dyDescent="0.25">
      <c r="A2" s="1" t="str">
        <f>List!B13</f>
        <v>Sch VI - Outdoor Lighting - Security Lights</v>
      </c>
      <c r="B2" s="1"/>
      <c r="C2" s="1"/>
      <c r="D2" s="1"/>
    </row>
    <row r="3" spans="1:29" ht="16.5" thickBot="1" x14ac:dyDescent="0.3">
      <c r="A3" s="1" t="str">
        <f>List!C13</f>
        <v>S</v>
      </c>
      <c r="B3" s="1"/>
      <c r="C3" s="1"/>
      <c r="D3" s="1"/>
    </row>
    <row r="4" spans="1:29" x14ac:dyDescent="0.25">
      <c r="G4" s="421" t="s">
        <v>30</v>
      </c>
      <c r="H4" s="422"/>
      <c r="I4" s="423"/>
      <c r="J4" s="3"/>
      <c r="K4" s="421" t="s">
        <v>102</v>
      </c>
      <c r="L4" s="423"/>
      <c r="M4" s="127"/>
      <c r="N4" s="3"/>
      <c r="O4" s="421" t="s">
        <v>87</v>
      </c>
      <c r="P4" s="422"/>
      <c r="Q4" s="422"/>
      <c r="R4" s="423"/>
      <c r="T4" s="1"/>
      <c r="Z4" s="430"/>
      <c r="AA4" s="430"/>
      <c r="AB4" s="430"/>
      <c r="AC4" s="430"/>
    </row>
    <row r="5" spans="1:29" ht="16.5" thickBot="1" x14ac:dyDescent="0.3">
      <c r="G5" s="424"/>
      <c r="H5" s="425"/>
      <c r="I5" s="426"/>
      <c r="J5" s="3"/>
      <c r="K5" s="424"/>
      <c r="L5" s="426"/>
      <c r="M5" s="127"/>
      <c r="N5" s="3"/>
      <c r="O5" s="424"/>
      <c r="P5" s="425"/>
      <c r="Q5" s="425"/>
      <c r="R5" s="426"/>
      <c r="T5" s="1"/>
      <c r="V5" s="3"/>
      <c r="W5" s="3"/>
      <c r="X5" s="3"/>
      <c r="Y5" s="3"/>
      <c r="Z5" s="430"/>
      <c r="AA5" s="430"/>
      <c r="AB5" s="430"/>
      <c r="AC5" s="430"/>
    </row>
    <row r="6" spans="1:29" x14ac:dyDescent="0.25">
      <c r="G6" s="4" t="s">
        <v>1</v>
      </c>
      <c r="H6" s="4"/>
      <c r="I6" s="4" t="s">
        <v>2</v>
      </c>
      <c r="J6" s="4"/>
      <c r="K6" s="4"/>
      <c r="L6" s="4" t="s">
        <v>2</v>
      </c>
      <c r="M6" s="127"/>
      <c r="N6" s="4"/>
      <c r="O6" s="4" t="s">
        <v>1</v>
      </c>
      <c r="P6" s="4"/>
      <c r="Q6" s="4"/>
      <c r="R6" s="4" t="s">
        <v>2</v>
      </c>
      <c r="T6" s="4"/>
      <c r="V6" s="4"/>
      <c r="W6" s="4"/>
      <c r="X6" s="4"/>
      <c r="Y6" s="4"/>
      <c r="Z6" s="4"/>
      <c r="AA6" s="4"/>
      <c r="AB6" s="4"/>
      <c r="AC6" s="4"/>
    </row>
    <row r="7" spans="1:29" ht="16.5" thickBot="1" x14ac:dyDescent="0.3">
      <c r="A7" s="45" t="s">
        <v>3</v>
      </c>
      <c r="B7" s="45"/>
      <c r="C7" s="45"/>
      <c r="D7" s="45"/>
      <c r="E7" s="46"/>
      <c r="F7" s="46"/>
      <c r="G7" s="5" t="s">
        <v>4</v>
      </c>
      <c r="H7" s="5" t="s">
        <v>5</v>
      </c>
      <c r="I7" s="5" t="s">
        <v>6</v>
      </c>
      <c r="J7" s="46"/>
      <c r="K7" s="5" t="s">
        <v>5</v>
      </c>
      <c r="L7" s="5" t="s">
        <v>6</v>
      </c>
      <c r="M7" s="126"/>
      <c r="N7" s="4"/>
      <c r="O7" s="5" t="s">
        <v>4</v>
      </c>
      <c r="P7" s="5" t="s">
        <v>5</v>
      </c>
      <c r="Q7" s="5"/>
      <c r="R7" s="5" t="s">
        <v>6</v>
      </c>
      <c r="S7" s="5" t="s">
        <v>58</v>
      </c>
      <c r="T7" s="4"/>
      <c r="V7" s="4"/>
      <c r="W7" s="4"/>
      <c r="X7" s="4"/>
      <c r="Y7" s="4"/>
      <c r="Z7" s="4"/>
      <c r="AA7" s="430"/>
      <c r="AB7" s="430"/>
      <c r="AC7" s="4"/>
    </row>
    <row r="8" spans="1:29" x14ac:dyDescent="0.25">
      <c r="M8" s="127"/>
    </row>
    <row r="9" spans="1:29" x14ac:dyDescent="0.25">
      <c r="A9" s="1" t="s">
        <v>16</v>
      </c>
      <c r="B9" s="1"/>
      <c r="C9" s="1"/>
      <c r="D9" s="1"/>
      <c r="G9" s="133" t="s">
        <v>98</v>
      </c>
      <c r="H9" s="132"/>
      <c r="I9" s="10"/>
      <c r="J9" s="10"/>
      <c r="K9" s="10"/>
      <c r="L9" s="10"/>
      <c r="M9" s="127"/>
      <c r="N9" s="10"/>
      <c r="O9" s="133" t="s">
        <v>98</v>
      </c>
      <c r="P9" s="132"/>
      <c r="Q9" s="132"/>
      <c r="R9" s="10"/>
      <c r="T9" s="10"/>
      <c r="V9" s="1"/>
      <c r="Z9" s="8"/>
      <c r="AC9" s="10"/>
    </row>
    <row r="10" spans="1:29" ht="18" x14ac:dyDescent="0.4">
      <c r="C10" s="371" t="s">
        <v>265</v>
      </c>
      <c r="D10" s="371" t="s">
        <v>264</v>
      </c>
      <c r="E10" s="277" t="s">
        <v>203</v>
      </c>
      <c r="G10" s="117" t="s">
        <v>16</v>
      </c>
      <c r="H10" s="118" t="s">
        <v>17</v>
      </c>
      <c r="I10" s="10"/>
      <c r="J10" s="10"/>
      <c r="K10" s="58" t="s">
        <v>17</v>
      </c>
      <c r="L10" s="10"/>
      <c r="M10" s="128"/>
      <c r="N10" s="10"/>
      <c r="O10" s="117" t="s">
        <v>16</v>
      </c>
      <c r="P10" s="118" t="s">
        <v>17</v>
      </c>
      <c r="Q10" s="132"/>
      <c r="R10" s="10"/>
      <c r="T10" s="10"/>
      <c r="Y10" s="41"/>
      <c r="Z10" s="82"/>
      <c r="AA10" s="16"/>
      <c r="AC10" s="10"/>
    </row>
    <row r="11" spans="1:29" x14ac:dyDescent="0.25">
      <c r="E11" s="47"/>
      <c r="G11" s="133"/>
      <c r="H11" s="132"/>
      <c r="I11" s="10"/>
      <c r="J11" s="10"/>
      <c r="K11" s="41"/>
      <c r="L11" s="10"/>
      <c r="M11" s="128"/>
      <c r="N11" s="10"/>
      <c r="O11" s="133"/>
      <c r="P11" s="132"/>
      <c r="Q11" s="132"/>
      <c r="R11" s="10"/>
      <c r="S11" s="287"/>
      <c r="T11" s="10"/>
      <c r="Y11" s="41"/>
      <c r="Z11" s="82"/>
      <c r="AA11" s="16"/>
      <c r="AC11" s="10"/>
    </row>
    <row r="12" spans="1:29" x14ac:dyDescent="0.25">
      <c r="A12" s="2">
        <v>1</v>
      </c>
      <c r="C12" s="2" t="s">
        <v>189</v>
      </c>
      <c r="D12" s="2" t="s">
        <v>268</v>
      </c>
      <c r="E12" s="47">
        <v>2643970</v>
      </c>
      <c r="G12" s="47">
        <v>37804</v>
      </c>
      <c r="H12" s="192">
        <v>9.36</v>
      </c>
      <c r="I12" s="11">
        <f>H12*G12</f>
        <v>353845.44</v>
      </c>
      <c r="J12" s="10"/>
      <c r="K12" s="373">
        <v>10.19</v>
      </c>
      <c r="L12" s="11">
        <f>K12*G12</f>
        <v>385222.76</v>
      </c>
      <c r="M12" s="128"/>
      <c r="N12" s="10"/>
      <c r="O12" s="38">
        <f>G12</f>
        <v>37804</v>
      </c>
      <c r="P12" s="373">
        <f>K12</f>
        <v>10.19</v>
      </c>
      <c r="Q12" s="420"/>
      <c r="R12" s="11">
        <f>P12*O12</f>
        <v>385222.76</v>
      </c>
      <c r="S12" s="287">
        <f>IF(L12=0,0,R12/L12-1)</f>
        <v>0</v>
      </c>
      <c r="T12" s="10"/>
      <c r="Y12" s="41"/>
      <c r="Z12" s="82"/>
      <c r="AA12" s="16"/>
      <c r="AC12" s="10"/>
    </row>
    <row r="13" spans="1:29" x14ac:dyDescent="0.25">
      <c r="A13" s="2">
        <v>2</v>
      </c>
      <c r="D13" s="2" t="s">
        <v>269</v>
      </c>
      <c r="E13" s="47">
        <v>0</v>
      </c>
      <c r="G13" s="47">
        <v>0</v>
      </c>
      <c r="H13" s="192">
        <v>13.78</v>
      </c>
      <c r="I13" s="11"/>
      <c r="J13" s="10"/>
      <c r="K13" s="373">
        <v>15.43</v>
      </c>
      <c r="L13" s="11">
        <f>K13*G13</f>
        <v>0</v>
      </c>
      <c r="M13" s="128"/>
      <c r="N13" s="10"/>
      <c r="O13" s="38">
        <f t="shared" ref="O13:O23" si="0">G13</f>
        <v>0</v>
      </c>
      <c r="P13" s="373">
        <f>K13</f>
        <v>15.43</v>
      </c>
      <c r="Q13" s="420"/>
      <c r="R13" s="11">
        <f>P13*O13</f>
        <v>0</v>
      </c>
      <c r="S13" s="287">
        <f t="shared" ref="S13:S23" si="1">IF(L13=0,0,R13/L13-1)</f>
        <v>0</v>
      </c>
      <c r="T13" s="10"/>
      <c r="Y13" s="41"/>
      <c r="Z13" s="82"/>
      <c r="AA13" s="16"/>
      <c r="AC13" s="10"/>
    </row>
    <row r="14" spans="1:29" x14ac:dyDescent="0.25">
      <c r="A14" s="2">
        <v>3</v>
      </c>
      <c r="C14" s="2" t="s">
        <v>190</v>
      </c>
      <c r="D14" s="2" t="s">
        <v>276</v>
      </c>
      <c r="E14" s="47">
        <v>629440</v>
      </c>
      <c r="G14" s="47">
        <v>8994</v>
      </c>
      <c r="H14" s="192">
        <v>9.3800000000000008</v>
      </c>
      <c r="I14" s="11">
        <f t="shared" ref="I14:I23" si="2">H14*G14</f>
        <v>84363.72</v>
      </c>
      <c r="J14" s="10"/>
      <c r="K14" s="373">
        <v>10.210000000000001</v>
      </c>
      <c r="L14" s="11">
        <f t="shared" ref="L14:L23" si="3">K14*G14</f>
        <v>91828.74</v>
      </c>
      <c r="M14" s="128"/>
      <c r="N14" s="10"/>
      <c r="O14" s="38">
        <f t="shared" si="0"/>
        <v>8994</v>
      </c>
      <c r="P14" s="373">
        <f t="shared" ref="P14:P23" si="4">K14</f>
        <v>10.210000000000001</v>
      </c>
      <c r="Q14" s="420"/>
      <c r="R14" s="11">
        <f>P14*O14</f>
        <v>91828.74</v>
      </c>
      <c r="S14" s="287">
        <f t="shared" si="1"/>
        <v>0</v>
      </c>
      <c r="T14" s="10"/>
      <c r="Y14" s="41"/>
      <c r="Z14" s="82"/>
      <c r="AA14" s="16"/>
      <c r="AC14" s="10"/>
    </row>
    <row r="15" spans="1:29" x14ac:dyDescent="0.25">
      <c r="A15" s="2">
        <v>4</v>
      </c>
      <c r="D15" s="2" t="s">
        <v>275</v>
      </c>
      <c r="E15" s="47">
        <v>0</v>
      </c>
      <c r="G15" s="47">
        <v>0</v>
      </c>
      <c r="H15" s="192">
        <v>10.6</v>
      </c>
      <c r="I15" s="11"/>
      <c r="J15" s="10"/>
      <c r="K15" s="373">
        <v>11.43</v>
      </c>
      <c r="L15" s="11">
        <f t="shared" si="3"/>
        <v>0</v>
      </c>
      <c r="M15" s="128"/>
      <c r="N15" s="10"/>
      <c r="O15" s="38">
        <f t="shared" si="0"/>
        <v>0</v>
      </c>
      <c r="P15" s="373">
        <f>K15</f>
        <v>11.43</v>
      </c>
      <c r="Q15" s="420"/>
      <c r="R15" s="11">
        <f>P15*O15</f>
        <v>0</v>
      </c>
      <c r="S15" s="287">
        <f t="shared" si="1"/>
        <v>0</v>
      </c>
      <c r="T15" s="10"/>
      <c r="Y15" s="41"/>
      <c r="Z15" s="82"/>
      <c r="AA15" s="16"/>
      <c r="AC15" s="10"/>
    </row>
    <row r="16" spans="1:29" x14ac:dyDescent="0.25">
      <c r="A16" s="2">
        <v>5</v>
      </c>
      <c r="C16" s="2" t="s">
        <v>191</v>
      </c>
      <c r="D16" s="2" t="s">
        <v>274</v>
      </c>
      <c r="E16" s="47">
        <v>54180</v>
      </c>
      <c r="G16" s="47">
        <v>775</v>
      </c>
      <c r="H16" s="192">
        <v>11.44</v>
      </c>
      <c r="I16" s="11">
        <f t="shared" si="2"/>
        <v>8866</v>
      </c>
      <c r="J16" s="10"/>
      <c r="K16" s="373">
        <v>12.27</v>
      </c>
      <c r="L16" s="11">
        <f t="shared" si="3"/>
        <v>9509.25</v>
      </c>
      <c r="M16" s="128"/>
      <c r="N16" s="10"/>
      <c r="O16" s="38">
        <f t="shared" si="0"/>
        <v>775</v>
      </c>
      <c r="P16" s="373">
        <f t="shared" si="4"/>
        <v>12.27</v>
      </c>
      <c r="Q16" s="420"/>
      <c r="R16" s="11">
        <f t="shared" ref="R16:R23" si="5">P16*O16</f>
        <v>9509.25</v>
      </c>
      <c r="S16" s="287">
        <f t="shared" si="1"/>
        <v>0</v>
      </c>
      <c r="T16" s="10"/>
      <c r="Y16" s="41"/>
      <c r="Z16" s="82"/>
      <c r="AA16" s="16"/>
      <c r="AC16" s="10"/>
    </row>
    <row r="17" spans="1:29" x14ac:dyDescent="0.25">
      <c r="A17" s="2">
        <v>6</v>
      </c>
      <c r="C17" s="2" t="s">
        <v>192</v>
      </c>
      <c r="D17" s="2" t="s">
        <v>267</v>
      </c>
      <c r="E17" s="47">
        <v>40110</v>
      </c>
      <c r="G17" s="47">
        <v>573</v>
      </c>
      <c r="H17" s="192">
        <f>H12</f>
        <v>9.36</v>
      </c>
      <c r="I17" s="11">
        <f t="shared" si="2"/>
        <v>5363.28</v>
      </c>
      <c r="J17" s="10"/>
      <c r="K17" s="373">
        <f>K12</f>
        <v>10.19</v>
      </c>
      <c r="L17" s="11">
        <f t="shared" si="3"/>
        <v>5838.87</v>
      </c>
      <c r="M17" s="128"/>
      <c r="N17" s="10"/>
      <c r="O17" s="38">
        <f t="shared" si="0"/>
        <v>573</v>
      </c>
      <c r="P17" s="373">
        <f t="shared" si="4"/>
        <v>10.19</v>
      </c>
      <c r="Q17" s="420"/>
      <c r="R17" s="11">
        <f t="shared" si="5"/>
        <v>5838.87</v>
      </c>
      <c r="S17" s="287">
        <f t="shared" si="1"/>
        <v>0</v>
      </c>
      <c r="T17" s="10"/>
      <c r="Y17" s="41"/>
      <c r="Z17" s="82"/>
      <c r="AA17" s="16"/>
      <c r="AC17" s="10"/>
    </row>
    <row r="18" spans="1:29" x14ac:dyDescent="0.25">
      <c r="A18" s="2">
        <v>7</v>
      </c>
      <c r="C18" s="2" t="s">
        <v>194</v>
      </c>
      <c r="D18" s="2" t="s">
        <v>271</v>
      </c>
      <c r="E18" s="47">
        <v>427560</v>
      </c>
      <c r="G18" s="47">
        <v>3060</v>
      </c>
      <c r="H18" s="192">
        <v>18.07</v>
      </c>
      <c r="I18" s="11">
        <f>H18*G18</f>
        <v>55294.200000000004</v>
      </c>
      <c r="J18" s="10"/>
      <c r="K18" s="373">
        <f>K19</f>
        <v>19.72</v>
      </c>
      <c r="L18" s="11">
        <f>K18*G18</f>
        <v>60343.199999999997</v>
      </c>
      <c r="M18" s="128"/>
      <c r="N18" s="10"/>
      <c r="O18" s="38">
        <f t="shared" si="0"/>
        <v>3060</v>
      </c>
      <c r="P18" s="373">
        <f>K18</f>
        <v>19.72</v>
      </c>
      <c r="Q18" s="420"/>
      <c r="R18" s="11">
        <f>P18*O18</f>
        <v>60343.199999999997</v>
      </c>
      <c r="S18" s="287">
        <f t="shared" si="1"/>
        <v>0</v>
      </c>
      <c r="T18" s="10"/>
      <c r="Y18" s="41"/>
      <c r="Z18" s="82"/>
      <c r="AA18" s="16"/>
      <c r="AC18" s="10"/>
    </row>
    <row r="19" spans="1:29" x14ac:dyDescent="0.25">
      <c r="A19" s="2">
        <v>8</v>
      </c>
      <c r="C19" s="2" t="s">
        <v>193</v>
      </c>
      <c r="D19" s="2" t="s">
        <v>270</v>
      </c>
      <c r="E19" s="47">
        <v>1092700</v>
      </c>
      <c r="G19" s="47">
        <v>7806</v>
      </c>
      <c r="H19" s="192">
        <v>18.07</v>
      </c>
      <c r="I19" s="11">
        <f t="shared" si="2"/>
        <v>141054.42000000001</v>
      </c>
      <c r="J19" s="10"/>
      <c r="K19" s="373">
        <v>19.72</v>
      </c>
      <c r="L19" s="11">
        <f t="shared" si="3"/>
        <v>153934.31999999998</v>
      </c>
      <c r="M19" s="128"/>
      <c r="N19" s="10"/>
      <c r="O19" s="38">
        <f t="shared" si="0"/>
        <v>7806</v>
      </c>
      <c r="P19" s="373">
        <f t="shared" si="4"/>
        <v>19.72</v>
      </c>
      <c r="Q19" s="420"/>
      <c r="R19" s="11">
        <f t="shared" si="5"/>
        <v>153934.31999999998</v>
      </c>
      <c r="S19" s="287">
        <f t="shared" si="1"/>
        <v>0</v>
      </c>
      <c r="T19" s="10"/>
      <c r="Y19" s="41"/>
      <c r="Z19" s="82"/>
      <c r="AA19" s="16"/>
      <c r="AC19" s="10"/>
    </row>
    <row r="20" spans="1:29" ht="18" customHeight="1" x14ac:dyDescent="0.25">
      <c r="A20" s="2">
        <v>9</v>
      </c>
      <c r="C20" s="2" t="s">
        <v>195</v>
      </c>
      <c r="D20" s="2" t="s">
        <v>272</v>
      </c>
      <c r="E20" s="47">
        <v>1383216</v>
      </c>
      <c r="G20" s="47">
        <v>57714</v>
      </c>
      <c r="H20" s="192">
        <v>9.27</v>
      </c>
      <c r="I20" s="11">
        <f t="shared" si="2"/>
        <v>535008.78</v>
      </c>
      <c r="J20" s="10"/>
      <c r="K20" s="373">
        <v>9.5500000000000007</v>
      </c>
      <c r="L20" s="11">
        <f t="shared" si="3"/>
        <v>551168.70000000007</v>
      </c>
      <c r="M20" s="128"/>
      <c r="N20" s="10"/>
      <c r="O20" s="38">
        <f t="shared" si="0"/>
        <v>57714</v>
      </c>
      <c r="P20" s="373">
        <f t="shared" si="4"/>
        <v>9.5500000000000007</v>
      </c>
      <c r="Q20" s="420"/>
      <c r="R20" s="11">
        <f t="shared" si="5"/>
        <v>551168.70000000007</v>
      </c>
      <c r="S20" s="287">
        <f t="shared" si="1"/>
        <v>0</v>
      </c>
      <c r="T20" s="10"/>
      <c r="Y20" s="41"/>
      <c r="Z20" s="82"/>
      <c r="AA20" s="16"/>
      <c r="AC20" s="10"/>
    </row>
    <row r="21" spans="1:29" ht="18" customHeight="1" x14ac:dyDescent="0.25">
      <c r="A21" s="2">
        <v>10</v>
      </c>
      <c r="C21" s="2" t="s">
        <v>196</v>
      </c>
      <c r="D21" s="2" t="s">
        <v>273</v>
      </c>
      <c r="E21" s="47">
        <v>1139320</v>
      </c>
      <c r="G21" s="47">
        <v>20393</v>
      </c>
      <c r="H21" s="192">
        <v>15.73</v>
      </c>
      <c r="I21" s="11">
        <f t="shared" si="2"/>
        <v>320781.89</v>
      </c>
      <c r="J21" s="10"/>
      <c r="K21" s="373">
        <v>16.39</v>
      </c>
      <c r="L21" s="11">
        <f t="shared" si="3"/>
        <v>334241.27</v>
      </c>
      <c r="M21" s="128"/>
      <c r="N21" s="10"/>
      <c r="O21" s="38">
        <f t="shared" si="0"/>
        <v>20393</v>
      </c>
      <c r="P21" s="373">
        <f t="shared" si="4"/>
        <v>16.39</v>
      </c>
      <c r="Q21" s="420"/>
      <c r="R21" s="11">
        <f t="shared" si="5"/>
        <v>334241.27</v>
      </c>
      <c r="S21" s="287">
        <f t="shared" si="1"/>
        <v>0</v>
      </c>
      <c r="T21" s="10"/>
      <c r="Y21" s="41"/>
      <c r="Z21" s="82"/>
      <c r="AA21" s="16"/>
      <c r="AC21" s="10"/>
    </row>
    <row r="22" spans="1:29" ht="18" customHeight="1" x14ac:dyDescent="0.25">
      <c r="A22" s="2">
        <v>11</v>
      </c>
      <c r="C22" s="2" t="s">
        <v>197</v>
      </c>
      <c r="D22" s="2" t="s">
        <v>263</v>
      </c>
      <c r="E22" s="47">
        <v>221529</v>
      </c>
      <c r="G22" s="47">
        <v>2883</v>
      </c>
      <c r="H22" s="192">
        <v>19.29</v>
      </c>
      <c r="I22" s="11">
        <f t="shared" si="2"/>
        <v>55613.07</v>
      </c>
      <c r="J22" s="10"/>
      <c r="K22" s="373">
        <v>20.2</v>
      </c>
      <c r="L22" s="11">
        <f t="shared" si="3"/>
        <v>58236.6</v>
      </c>
      <c r="M22" s="128"/>
      <c r="N22" s="10"/>
      <c r="O22" s="38">
        <f t="shared" si="0"/>
        <v>2883</v>
      </c>
      <c r="P22" s="373">
        <f t="shared" si="4"/>
        <v>20.2</v>
      </c>
      <c r="Q22" s="420"/>
      <c r="R22" s="11">
        <f t="shared" si="5"/>
        <v>58236.6</v>
      </c>
      <c r="S22" s="287">
        <f t="shared" si="1"/>
        <v>0</v>
      </c>
      <c r="T22" s="10"/>
      <c r="Y22" s="41"/>
      <c r="Z22" s="82"/>
      <c r="AA22" s="16"/>
      <c r="AC22" s="10"/>
    </row>
    <row r="23" spans="1:29" ht="18" customHeight="1" x14ac:dyDescent="0.25">
      <c r="A23" s="2">
        <v>12</v>
      </c>
      <c r="C23" s="2" t="s">
        <v>198</v>
      </c>
      <c r="D23" s="2" t="s">
        <v>266</v>
      </c>
      <c r="E23" s="47">
        <v>917420</v>
      </c>
      <c r="G23" s="47">
        <v>6553</v>
      </c>
      <c r="H23" s="192">
        <f>H18</f>
        <v>18.07</v>
      </c>
      <c r="I23" s="11">
        <f t="shared" si="2"/>
        <v>118412.71</v>
      </c>
      <c r="J23" s="10"/>
      <c r="K23" s="373">
        <f>K18</f>
        <v>19.72</v>
      </c>
      <c r="L23" s="11">
        <f t="shared" si="3"/>
        <v>129225.15999999999</v>
      </c>
      <c r="M23" s="128"/>
      <c r="N23" s="10"/>
      <c r="O23" s="38">
        <f t="shared" si="0"/>
        <v>6553</v>
      </c>
      <c r="P23" s="373">
        <f t="shared" si="4"/>
        <v>19.72</v>
      </c>
      <c r="Q23" s="420"/>
      <c r="R23" s="11">
        <f t="shared" si="5"/>
        <v>129225.15999999999</v>
      </c>
      <c r="S23" s="287">
        <f t="shared" si="1"/>
        <v>0</v>
      </c>
      <c r="T23" s="10"/>
      <c r="Y23" s="41"/>
      <c r="Z23" s="82"/>
      <c r="AA23" s="16"/>
      <c r="AC23" s="10"/>
    </row>
    <row r="24" spans="1:29" x14ac:dyDescent="0.25">
      <c r="A24" s="2">
        <v>13</v>
      </c>
      <c r="C24" s="372" t="s">
        <v>83</v>
      </c>
      <c r="D24" s="308"/>
      <c r="E24" s="246">
        <f>SUM(E12:E23)</f>
        <v>8549445</v>
      </c>
      <c r="G24" s="276">
        <f>SUM(G12:G23)</f>
        <v>146555</v>
      </c>
      <c r="H24" s="41"/>
      <c r="I24" s="275">
        <f>SUM(I12:I23)</f>
        <v>1678603.51</v>
      </c>
      <c r="J24" s="10"/>
      <c r="K24" s="41"/>
      <c r="L24" s="275">
        <f>SUM(L12:L23)</f>
        <v>1779548.8699999999</v>
      </c>
      <c r="M24" s="128"/>
      <c r="N24" s="10"/>
      <c r="O24" s="276">
        <f>SUM(O12:O23)</f>
        <v>146555</v>
      </c>
      <c r="P24" s="41"/>
      <c r="Q24" s="132"/>
      <c r="R24" s="275">
        <f>SUM(R12:R23)</f>
        <v>1779548.8699999999</v>
      </c>
      <c r="S24" s="287"/>
      <c r="T24" s="10"/>
      <c r="Y24" s="41"/>
      <c r="Z24" s="82"/>
      <c r="AA24" s="16"/>
      <c r="AC24" s="10"/>
    </row>
    <row r="25" spans="1:29" x14ac:dyDescent="0.25">
      <c r="E25" s="48"/>
      <c r="G25" s="133"/>
      <c r="H25" s="132"/>
      <c r="I25" s="10"/>
      <c r="J25" s="10"/>
      <c r="K25" s="41"/>
      <c r="L25" s="278"/>
      <c r="M25" s="128"/>
      <c r="N25" s="10"/>
      <c r="O25" s="133"/>
      <c r="P25" s="132"/>
      <c r="Q25" s="132"/>
      <c r="T25" s="10"/>
      <c r="Y25" s="41"/>
      <c r="Z25" s="82"/>
      <c r="AA25" s="16"/>
      <c r="AC25" s="10"/>
    </row>
    <row r="26" spans="1:29" x14ac:dyDescent="0.25">
      <c r="A26" s="1"/>
      <c r="C26" s="2" t="s">
        <v>90</v>
      </c>
      <c r="D26" s="8"/>
      <c r="E26" s="18"/>
      <c r="F26" s="11"/>
      <c r="G26" s="11"/>
      <c r="I26" s="11">
        <f>'Billing Determ'!F244</f>
        <v>1743.8999999999999</v>
      </c>
      <c r="J26" s="1"/>
      <c r="L26" s="11">
        <f>I26-E24*'Present and Proposed Rates'!I56</f>
        <v>-99054.056550000008</v>
      </c>
      <c r="M26" s="128"/>
      <c r="N26" s="18"/>
      <c r="O26" s="38" t="str">
        <f>C26</f>
        <v>FAC</v>
      </c>
      <c r="P26" s="11"/>
      <c r="R26" s="11">
        <f>L26</f>
        <v>-99054.056550000008</v>
      </c>
    </row>
    <row r="27" spans="1:29" x14ac:dyDescent="0.25">
      <c r="A27" s="1"/>
      <c r="C27" s="2" t="s">
        <v>97</v>
      </c>
      <c r="D27" s="8"/>
      <c r="E27" s="18"/>
      <c r="F27" s="11"/>
      <c r="G27" s="11"/>
      <c r="I27" s="11">
        <f>'Billing Determ'!G244</f>
        <v>3292.4299999999994</v>
      </c>
      <c r="J27" s="1"/>
      <c r="L27" s="11">
        <f t="shared" ref="L27" si="6">I27</f>
        <v>3292.4299999999994</v>
      </c>
      <c r="M27" s="128"/>
      <c r="N27" s="18"/>
      <c r="O27" s="38" t="str">
        <f>C27</f>
        <v>ES</v>
      </c>
      <c r="P27" s="11"/>
      <c r="R27" s="11">
        <f>L27</f>
        <v>3292.4299999999994</v>
      </c>
    </row>
    <row r="28" spans="1:29" x14ac:dyDescent="0.25">
      <c r="A28" s="1"/>
      <c r="D28" s="8"/>
      <c r="E28" s="18"/>
      <c r="F28" s="11"/>
      <c r="G28" s="11"/>
      <c r="I28" s="11"/>
      <c r="J28" s="1"/>
      <c r="L28" s="11"/>
      <c r="M28" s="128"/>
      <c r="N28" s="18"/>
      <c r="O28" s="38"/>
      <c r="P28" s="11"/>
      <c r="R28" s="11"/>
    </row>
    <row r="29" spans="1:29" x14ac:dyDescent="0.25">
      <c r="A29" s="1"/>
      <c r="D29" s="8"/>
      <c r="E29" s="18"/>
      <c r="F29" s="11"/>
      <c r="G29" s="11"/>
      <c r="I29" s="11"/>
      <c r="J29" s="1"/>
      <c r="L29" s="11"/>
      <c r="M29" s="128"/>
      <c r="N29" s="18"/>
      <c r="O29" s="38"/>
      <c r="P29" s="11"/>
      <c r="R29" s="11"/>
    </row>
    <row r="30" spans="1:29" ht="16.5" thickBot="1" x14ac:dyDescent="0.3">
      <c r="A30" s="1" t="s">
        <v>79</v>
      </c>
      <c r="B30" s="1"/>
      <c r="C30" s="1"/>
      <c r="D30" s="1"/>
      <c r="I30" s="64">
        <f>I24+I26+I27</f>
        <v>1683639.8399999999</v>
      </c>
      <c r="J30" s="57"/>
      <c r="K30" s="57"/>
      <c r="L30" s="64">
        <f>L24+L26+L27</f>
        <v>1683787.2434499997</v>
      </c>
      <c r="M30" s="128"/>
      <c r="N30" s="57"/>
      <c r="O30" s="1" t="s">
        <v>79</v>
      </c>
      <c r="R30" s="64">
        <f>R24+R26+R27</f>
        <v>1683787.2434499997</v>
      </c>
      <c r="T30" s="57"/>
      <c r="V30" s="1"/>
      <c r="AC30" s="57"/>
    </row>
    <row r="31" spans="1:29" ht="16.5" thickTop="1" x14ac:dyDescent="0.25">
      <c r="A31" s="1"/>
      <c r="B31" s="1"/>
      <c r="C31" s="1"/>
      <c r="D31" s="1"/>
      <c r="I31" s="11"/>
      <c r="J31" s="11"/>
      <c r="K31" s="11"/>
      <c r="L31" s="11"/>
      <c r="M31" s="128"/>
      <c r="N31" s="11"/>
      <c r="O31" s="1"/>
      <c r="R31" s="11"/>
      <c r="T31" s="11"/>
      <c r="V31" s="1"/>
      <c r="AC31" s="11"/>
    </row>
    <row r="32" spans="1:29" x14ac:dyDescent="0.25">
      <c r="A32" s="1" t="s">
        <v>19</v>
      </c>
      <c r="B32" s="1"/>
      <c r="C32" s="1"/>
      <c r="D32" s="1"/>
      <c r="G32" s="48"/>
      <c r="I32" s="11">
        <f>'Billing Determ'!O19+'Billing Determ'!O37+'Billing Determ'!O56+'Billing Determ'!O75+'Billing Determ'!O92+'Billing Determ'!O110+'Billing Determ'!O127+'Billing Determ'!O144+'Billing Determ'!E244+'Billing Determ'!F244+'Billing Determ'!G244</f>
        <v>1672272.4999999998</v>
      </c>
      <c r="J32" s="11"/>
      <c r="K32" s="11"/>
      <c r="L32" s="11"/>
      <c r="M32" s="128"/>
      <c r="N32" s="11"/>
      <c r="O32" s="1" t="s">
        <v>103</v>
      </c>
      <c r="R32" s="31">
        <f>R30-L30</f>
        <v>0</v>
      </c>
      <c r="T32" s="51"/>
      <c r="V32" s="1"/>
      <c r="Z32" s="51"/>
      <c r="AC32" s="51"/>
    </row>
    <row r="33" spans="1:29" x14ac:dyDescent="0.25">
      <c r="A33" s="10"/>
      <c r="B33" s="10"/>
      <c r="C33" s="10"/>
      <c r="D33" s="10"/>
      <c r="I33" s="10"/>
      <c r="J33" s="10"/>
      <c r="K33" s="10"/>
      <c r="L33" s="10"/>
      <c r="M33" s="128"/>
      <c r="N33" s="10"/>
      <c r="R33" s="10"/>
      <c r="T33" s="11"/>
      <c r="V33" s="10"/>
      <c r="Z33" s="11"/>
      <c r="AC33" s="11"/>
    </row>
    <row r="34" spans="1:29" x14ac:dyDescent="0.25">
      <c r="A34" s="1" t="s">
        <v>13</v>
      </c>
      <c r="B34" s="1"/>
      <c r="C34" s="1"/>
      <c r="D34" s="1"/>
      <c r="G34" s="51"/>
      <c r="I34" s="49">
        <f>I30-I32</f>
        <v>11367.340000000084</v>
      </c>
      <c r="J34" s="49"/>
      <c r="K34" s="49"/>
      <c r="L34" s="49">
        <f>L30-I30</f>
        <v>147.40344999986701</v>
      </c>
      <c r="M34" s="128"/>
      <c r="N34" s="49"/>
      <c r="O34" s="1" t="s">
        <v>104</v>
      </c>
      <c r="R34" s="98">
        <f>R32/L30</f>
        <v>0</v>
      </c>
      <c r="T34" s="52"/>
      <c r="V34" s="1"/>
      <c r="Z34" s="52"/>
      <c r="AC34" s="52"/>
    </row>
    <row r="35" spans="1:29" x14ac:dyDescent="0.25">
      <c r="A35" s="10"/>
      <c r="B35" s="10"/>
      <c r="C35" s="10"/>
      <c r="D35" s="10"/>
      <c r="G35" s="11"/>
      <c r="I35" s="11"/>
      <c r="J35" s="11"/>
      <c r="K35" s="11"/>
      <c r="L35" s="11"/>
      <c r="M35" s="128"/>
      <c r="N35" s="11"/>
      <c r="R35" s="11"/>
    </row>
    <row r="36" spans="1:29" x14ac:dyDescent="0.25">
      <c r="A36" s="1" t="s">
        <v>26</v>
      </c>
      <c r="B36" s="1"/>
      <c r="C36" s="1"/>
      <c r="D36" s="1"/>
      <c r="G36" s="52"/>
      <c r="I36" s="50">
        <f>(I30-I32)/I32</f>
        <v>6.7975404726203928E-3</v>
      </c>
      <c r="J36" s="52"/>
      <c r="K36" s="52"/>
      <c r="L36" s="23">
        <f>L34/I32</f>
        <v>8.8145592300218438E-5</v>
      </c>
      <c r="M36" s="128"/>
      <c r="N36" s="52"/>
      <c r="O36" s="1" t="s">
        <v>88</v>
      </c>
      <c r="R36" s="39">
        <f>R32/O24</f>
        <v>0</v>
      </c>
    </row>
    <row r="37" spans="1:29" x14ac:dyDescent="0.25">
      <c r="A37" s="11"/>
      <c r="B37" s="11"/>
      <c r="C37" s="11"/>
      <c r="D37" s="11"/>
      <c r="I37" s="11"/>
      <c r="J37" s="11"/>
      <c r="K37" s="11"/>
      <c r="L37" s="11"/>
      <c r="N37" s="11"/>
      <c r="R37" s="11"/>
      <c r="T37" s="34"/>
      <c r="V37" s="11"/>
      <c r="W37" s="11"/>
      <c r="X37" s="11"/>
      <c r="AC37" s="34"/>
    </row>
    <row r="38" spans="1:29" x14ac:dyDescent="0.25">
      <c r="I38" s="11"/>
      <c r="J38" s="11"/>
      <c r="K38" s="11"/>
      <c r="L38" s="11"/>
      <c r="M38" s="11"/>
      <c r="N38" s="11"/>
      <c r="O38" s="47"/>
      <c r="P38" s="18"/>
      <c r="Q38" s="18"/>
      <c r="R38" s="11"/>
      <c r="T38" s="11"/>
      <c r="W38" s="83"/>
      <c r="Y38" s="19"/>
      <c r="Z38" s="8"/>
      <c r="AA38" s="18"/>
      <c r="AC38" s="11"/>
    </row>
    <row r="39" spans="1:29" x14ac:dyDescent="0.25">
      <c r="I39" s="11"/>
      <c r="J39" s="11"/>
      <c r="K39" s="11"/>
      <c r="L39" s="11"/>
      <c r="M39" s="11"/>
      <c r="N39" s="11"/>
      <c r="O39" s="47"/>
      <c r="P39" s="18"/>
      <c r="Q39" s="18"/>
      <c r="R39" s="11"/>
      <c r="T39" s="11"/>
      <c r="W39" s="83"/>
      <c r="Y39" s="19"/>
      <c r="Z39" s="8"/>
      <c r="AA39" s="18"/>
      <c r="AC39" s="11"/>
    </row>
    <row r="40" spans="1:29" ht="15" customHeight="1" x14ac:dyDescent="0.25">
      <c r="I40" s="10"/>
      <c r="J40" s="10"/>
      <c r="K40" s="10"/>
      <c r="L40" s="10"/>
      <c r="N40" s="10"/>
      <c r="R40" s="10"/>
      <c r="V40" s="10"/>
      <c r="W40" s="10"/>
      <c r="X40" s="10"/>
    </row>
    <row r="41" spans="1:29" x14ac:dyDescent="0.25">
      <c r="I41" s="10"/>
      <c r="J41" s="10"/>
      <c r="K41" s="10"/>
      <c r="L41" s="10"/>
      <c r="N41" s="10"/>
      <c r="R41" s="10"/>
      <c r="T41" s="20"/>
      <c r="V41" s="11"/>
      <c r="W41" s="11"/>
      <c r="Z41" s="41"/>
      <c r="AC41" s="20"/>
    </row>
    <row r="42" spans="1:29" x14ac:dyDescent="0.25">
      <c r="I42" s="10"/>
      <c r="J42" s="10"/>
      <c r="K42" s="10"/>
      <c r="L42" s="14"/>
      <c r="N42" s="10"/>
      <c r="R42" s="10"/>
      <c r="V42" s="10"/>
      <c r="W42" s="10"/>
      <c r="X42" s="41"/>
      <c r="Y42" s="41"/>
      <c r="Z42" s="41"/>
    </row>
    <row r="43" spans="1:29" x14ac:dyDescent="0.25">
      <c r="I43" s="10"/>
      <c r="J43" s="10"/>
      <c r="K43" s="10"/>
      <c r="L43" s="14"/>
      <c r="N43" s="10"/>
      <c r="R43" s="10"/>
      <c r="S43" s="66"/>
      <c r="V43" s="22"/>
      <c r="W43" s="22"/>
      <c r="X43" s="43"/>
      <c r="Y43" s="55"/>
      <c r="Z43" s="36"/>
    </row>
    <row r="44" spans="1:29" x14ac:dyDescent="0.25">
      <c r="I44" s="10"/>
      <c r="J44" s="10"/>
      <c r="K44" s="10"/>
      <c r="L44" s="25"/>
      <c r="N44" s="10"/>
      <c r="R44" s="10"/>
      <c r="S44" s="66"/>
      <c r="V44" s="23"/>
      <c r="W44" s="23"/>
      <c r="X44" s="43"/>
      <c r="Y44" s="55"/>
      <c r="Z44" s="36"/>
    </row>
    <row r="45" spans="1:29" x14ac:dyDescent="0.25">
      <c r="I45" s="10"/>
      <c r="J45" s="10"/>
      <c r="K45" s="10"/>
      <c r="L45" s="14"/>
      <c r="N45" s="10"/>
      <c r="R45" s="10"/>
      <c r="S45" s="66"/>
      <c r="X45" s="43"/>
      <c r="Y45" s="55"/>
      <c r="Z45" s="36"/>
    </row>
    <row r="46" spans="1:29" x14ac:dyDescent="0.25">
      <c r="I46" s="10"/>
      <c r="J46" s="10"/>
      <c r="K46" s="10"/>
      <c r="L46" s="14"/>
      <c r="N46" s="10"/>
      <c r="R46" s="10"/>
      <c r="S46" s="66"/>
      <c r="X46" s="43"/>
      <c r="Y46" s="55"/>
      <c r="Z46" s="36"/>
    </row>
    <row r="47" spans="1:29" x14ac:dyDescent="0.25">
      <c r="I47" s="10"/>
      <c r="J47" s="10"/>
      <c r="K47" s="10"/>
      <c r="L47" s="10"/>
      <c r="N47" s="10"/>
      <c r="R47" s="10"/>
      <c r="S47" s="66"/>
      <c r="X47" s="43"/>
      <c r="Y47" s="55"/>
      <c r="Z47" s="36"/>
    </row>
    <row r="48" spans="1:29" x14ac:dyDescent="0.25">
      <c r="I48" s="10"/>
      <c r="J48" s="10"/>
      <c r="K48" s="10"/>
      <c r="L48" s="98"/>
      <c r="N48" s="10"/>
      <c r="R48" s="10"/>
      <c r="S48" s="66"/>
      <c r="X48" s="43"/>
      <c r="Y48" s="55"/>
      <c r="Z48" s="36"/>
    </row>
    <row r="49" spans="5:26" x14ac:dyDescent="0.25">
      <c r="F49" s="97"/>
      <c r="G49" s="59"/>
      <c r="H49" s="36"/>
      <c r="I49" s="10"/>
      <c r="J49" s="10"/>
      <c r="K49" s="10"/>
      <c r="L49" s="10"/>
      <c r="N49" s="10"/>
      <c r="O49" s="59"/>
      <c r="P49" s="36"/>
      <c r="Q49" s="36"/>
      <c r="R49" s="10"/>
      <c r="S49" s="66"/>
      <c r="Z49" s="36"/>
    </row>
    <row r="50" spans="5:26" x14ac:dyDescent="0.25">
      <c r="F50" s="59"/>
      <c r="H50" s="41"/>
      <c r="I50" s="10"/>
      <c r="J50" s="10"/>
      <c r="K50" s="10"/>
      <c r="L50" s="10"/>
      <c r="N50" s="10"/>
      <c r="P50" s="41"/>
      <c r="Q50" s="41"/>
      <c r="R50" s="10"/>
      <c r="S50" s="66"/>
      <c r="Z50" s="19"/>
    </row>
    <row r="51" spans="5:26" x14ac:dyDescent="0.25">
      <c r="F51" s="59"/>
      <c r="G51" s="59"/>
      <c r="H51" s="41"/>
      <c r="I51" s="10"/>
      <c r="J51" s="10"/>
      <c r="K51" s="10"/>
      <c r="L51" s="10"/>
      <c r="N51" s="10"/>
      <c r="O51" s="59"/>
      <c r="P51" s="41"/>
      <c r="Q51" s="41"/>
      <c r="R51" s="10"/>
      <c r="S51" s="66"/>
    </row>
    <row r="52" spans="5:26" x14ac:dyDescent="0.25">
      <c r="E52" s="41"/>
      <c r="F52" s="59"/>
      <c r="G52" s="59"/>
      <c r="H52" s="41"/>
      <c r="I52" s="10"/>
      <c r="J52" s="10"/>
      <c r="K52" s="10"/>
      <c r="L52" s="10"/>
      <c r="N52" s="10"/>
      <c r="O52" s="59"/>
      <c r="P52" s="41"/>
      <c r="Q52" s="41"/>
      <c r="R52" s="10"/>
      <c r="S52" s="66"/>
    </row>
    <row r="53" spans="5:26" x14ac:dyDescent="0.25">
      <c r="E53" s="41"/>
      <c r="F53" s="59"/>
      <c r="G53" s="59"/>
      <c r="H53" s="41"/>
      <c r="I53" s="10"/>
      <c r="J53" s="10"/>
      <c r="K53" s="10"/>
      <c r="L53" s="10"/>
      <c r="N53" s="10"/>
      <c r="O53" s="59"/>
      <c r="P53" s="41"/>
      <c r="Q53" s="41"/>
      <c r="R53" s="10"/>
      <c r="S53" s="66"/>
    </row>
    <row r="54" spans="5:26" x14ac:dyDescent="0.25">
      <c r="E54" s="41"/>
      <c r="F54" s="59"/>
      <c r="G54" s="59"/>
      <c r="H54" s="41"/>
      <c r="I54" s="10"/>
      <c r="J54" s="10"/>
      <c r="K54" s="10"/>
      <c r="L54" s="10"/>
      <c r="N54" s="10"/>
      <c r="O54" s="59"/>
      <c r="P54" s="41"/>
      <c r="Q54" s="41"/>
      <c r="R54" s="10"/>
      <c r="S54" s="66"/>
    </row>
    <row r="55" spans="5:26" x14ac:dyDescent="0.25">
      <c r="E55" s="41"/>
      <c r="F55" s="59"/>
      <c r="G55" s="59"/>
      <c r="H55" s="41"/>
      <c r="I55" s="10"/>
      <c r="J55" s="10"/>
      <c r="K55" s="10"/>
      <c r="L55" s="10"/>
      <c r="N55" s="10"/>
      <c r="O55" s="59"/>
      <c r="P55" s="41"/>
      <c r="Q55" s="41"/>
      <c r="R55" s="10"/>
    </row>
    <row r="56" spans="5:26" x14ac:dyDescent="0.25">
      <c r="E56" s="41"/>
      <c r="F56" s="59"/>
      <c r="G56" s="59"/>
      <c r="H56" s="41"/>
      <c r="I56" s="10"/>
      <c r="J56" s="10"/>
      <c r="K56" s="10"/>
      <c r="L56" s="10"/>
      <c r="N56" s="10"/>
      <c r="O56" s="59"/>
      <c r="P56" s="41"/>
      <c r="Q56" s="41"/>
      <c r="R56" s="10"/>
    </row>
    <row r="57" spans="5:26" x14ac:dyDescent="0.25">
      <c r="F57" s="47"/>
      <c r="H57" s="133"/>
      <c r="I57" s="132"/>
      <c r="J57" s="10"/>
      <c r="K57" s="10"/>
      <c r="L57" s="10"/>
      <c r="N57" s="10"/>
      <c r="O57" s="59"/>
      <c r="P57" s="41"/>
      <c r="Q57" s="41"/>
      <c r="R57" s="10"/>
      <c r="S57" s="41"/>
    </row>
    <row r="58" spans="5:26" x14ac:dyDescent="0.25">
      <c r="F58" s="47"/>
      <c r="H58" s="47"/>
      <c r="I58" s="132"/>
      <c r="J58" s="10"/>
      <c r="K58" s="10"/>
      <c r="L58" s="10"/>
      <c r="N58" s="10"/>
      <c r="O58" s="59"/>
      <c r="P58" s="41"/>
      <c r="Q58" s="41"/>
      <c r="R58" s="10"/>
      <c r="S58" s="41"/>
    </row>
    <row r="59" spans="5:26" x14ac:dyDescent="0.25">
      <c r="F59" s="47"/>
      <c r="H59" s="47"/>
      <c r="I59" s="132"/>
      <c r="J59" s="10"/>
      <c r="K59" s="10"/>
      <c r="L59" s="10"/>
      <c r="N59" s="10"/>
      <c r="O59" s="59"/>
      <c r="P59" s="41"/>
      <c r="Q59" s="41"/>
      <c r="R59" s="10"/>
    </row>
    <row r="60" spans="5:26" x14ac:dyDescent="0.25">
      <c r="F60" s="47"/>
      <c r="H60" s="47"/>
      <c r="I60" s="132"/>
      <c r="J60" s="10"/>
      <c r="K60" s="10"/>
      <c r="L60" s="10"/>
      <c r="N60" s="10"/>
      <c r="O60" s="59"/>
      <c r="P60" s="41"/>
      <c r="Q60" s="41"/>
      <c r="R60" s="10"/>
      <c r="S60" s="41"/>
    </row>
    <row r="61" spans="5:26" x14ac:dyDescent="0.25">
      <c r="F61" s="47"/>
      <c r="H61" s="47"/>
      <c r="I61" s="132"/>
      <c r="J61" s="10"/>
      <c r="K61" s="10"/>
      <c r="L61" s="10"/>
      <c r="N61" s="10"/>
      <c r="O61" s="59"/>
      <c r="P61" s="41"/>
      <c r="Q61" s="41"/>
      <c r="R61" s="10"/>
      <c r="S61" s="41"/>
    </row>
    <row r="62" spans="5:26" x14ac:dyDescent="0.25">
      <c r="F62" s="47"/>
      <c r="H62" s="47"/>
      <c r="I62" s="132"/>
      <c r="J62" s="10"/>
      <c r="K62" s="10"/>
      <c r="L62" s="10"/>
      <c r="N62" s="10"/>
      <c r="O62" s="59"/>
      <c r="P62" s="41"/>
      <c r="Q62" s="41"/>
      <c r="R62" s="10"/>
      <c r="S62" s="41"/>
    </row>
    <row r="63" spans="5:26" x14ac:dyDescent="0.25">
      <c r="F63" s="47"/>
      <c r="H63" s="47"/>
      <c r="I63" s="132"/>
      <c r="J63" s="10"/>
      <c r="K63" s="10"/>
      <c r="L63" s="10"/>
      <c r="N63" s="10"/>
      <c r="O63" s="59"/>
      <c r="P63" s="41"/>
      <c r="Q63" s="41"/>
      <c r="R63" s="10"/>
      <c r="S63" s="41"/>
    </row>
    <row r="64" spans="5:26" x14ac:dyDescent="0.25">
      <c r="F64" s="47"/>
      <c r="H64" s="47"/>
      <c r="I64" s="132"/>
      <c r="J64" s="10"/>
      <c r="K64" s="10"/>
      <c r="L64" s="10"/>
      <c r="N64" s="10"/>
      <c r="O64" s="59"/>
      <c r="P64" s="41"/>
      <c r="Q64" s="41"/>
      <c r="R64" s="10"/>
      <c r="S64" s="41"/>
    </row>
    <row r="65" spans="5:19" x14ac:dyDescent="0.25">
      <c r="F65" s="47"/>
      <c r="H65" s="47"/>
      <c r="I65" s="132"/>
      <c r="J65" s="10"/>
      <c r="K65" s="10"/>
      <c r="L65" s="10"/>
      <c r="N65" s="10"/>
      <c r="O65" s="59"/>
      <c r="P65" s="41"/>
      <c r="Q65" s="41"/>
      <c r="R65" s="10"/>
      <c r="S65" s="41"/>
    </row>
    <row r="66" spans="5:19" x14ac:dyDescent="0.25">
      <c r="F66" s="47"/>
      <c r="H66" s="47"/>
      <c r="I66" s="132"/>
      <c r="J66" s="10"/>
      <c r="K66" s="10"/>
      <c r="L66" s="10"/>
      <c r="N66" s="10"/>
      <c r="O66" s="59"/>
      <c r="P66" s="41"/>
      <c r="Q66" s="41"/>
      <c r="R66" s="10"/>
      <c r="S66" s="41"/>
    </row>
    <row r="67" spans="5:19" x14ac:dyDescent="0.25">
      <c r="F67" s="47"/>
      <c r="H67" s="47"/>
      <c r="I67" s="132"/>
      <c r="J67" s="10"/>
      <c r="K67" s="10"/>
      <c r="L67" s="10"/>
      <c r="N67" s="10"/>
      <c r="O67" s="59"/>
      <c r="P67" s="41"/>
      <c r="Q67" s="41"/>
      <c r="R67" s="10"/>
      <c r="S67" s="41"/>
    </row>
    <row r="68" spans="5:19" x14ac:dyDescent="0.25">
      <c r="F68" s="47"/>
      <c r="H68" s="133"/>
      <c r="I68" s="132"/>
      <c r="J68" s="10"/>
      <c r="K68" s="10"/>
      <c r="L68" s="10"/>
      <c r="N68" s="10"/>
      <c r="O68" s="59"/>
      <c r="P68" s="41"/>
      <c r="Q68" s="41"/>
      <c r="R68" s="10"/>
      <c r="S68" s="41"/>
    </row>
    <row r="69" spans="5:19" x14ac:dyDescent="0.25">
      <c r="F69" s="47"/>
      <c r="H69" s="133"/>
      <c r="I69" s="132"/>
      <c r="J69" s="10"/>
      <c r="K69" s="43"/>
      <c r="L69" s="43"/>
      <c r="N69" s="43"/>
      <c r="O69" s="59"/>
      <c r="P69" s="41"/>
      <c r="Q69" s="41"/>
      <c r="R69" s="43"/>
      <c r="S69" s="41"/>
    </row>
    <row r="70" spans="5:19" x14ac:dyDescent="0.25">
      <c r="F70" s="156"/>
      <c r="G70" s="47"/>
      <c r="H70" s="47"/>
      <c r="I70" s="134"/>
      <c r="J70" s="57"/>
      <c r="K70" s="43"/>
      <c r="L70" s="43"/>
      <c r="N70" s="43"/>
      <c r="O70" s="59"/>
      <c r="P70" s="41"/>
      <c r="Q70" s="41"/>
      <c r="R70" s="43"/>
      <c r="S70" s="41"/>
    </row>
    <row r="71" spans="5:19" x14ac:dyDescent="0.25">
      <c r="E71" s="41"/>
      <c r="F71" s="59"/>
      <c r="G71" s="59"/>
      <c r="H71" s="41"/>
      <c r="I71" s="43"/>
      <c r="J71" s="43"/>
      <c r="K71" s="43"/>
      <c r="L71" s="43"/>
      <c r="N71" s="43"/>
      <c r="O71" s="59"/>
      <c r="P71" s="41"/>
      <c r="Q71" s="41"/>
      <c r="R71" s="43"/>
      <c r="S71" s="41"/>
    </row>
    <row r="72" spans="5:19" x14ac:dyDescent="0.25">
      <c r="E72" s="41"/>
      <c r="F72" s="59"/>
      <c r="G72" s="59"/>
      <c r="H72" s="41"/>
      <c r="I72" s="43"/>
      <c r="J72" s="43"/>
      <c r="K72" s="43"/>
      <c r="L72" s="43"/>
      <c r="N72" s="43"/>
      <c r="O72" s="59"/>
      <c r="P72" s="41"/>
      <c r="Q72" s="41"/>
      <c r="R72" s="43"/>
      <c r="S72" s="72"/>
    </row>
    <row r="73" spans="5:19" x14ac:dyDescent="0.25">
      <c r="E73" s="41"/>
      <c r="F73" s="59"/>
      <c r="G73" s="59"/>
      <c r="H73" s="41"/>
      <c r="I73" s="43"/>
      <c r="J73" s="43"/>
      <c r="K73" s="43"/>
      <c r="L73" s="43"/>
      <c r="N73" s="43"/>
      <c r="O73" s="59"/>
      <c r="P73" s="41"/>
      <c r="Q73" s="41"/>
      <c r="R73" s="43"/>
      <c r="S73" s="72"/>
    </row>
    <row r="74" spans="5:19" x14ac:dyDescent="0.25">
      <c r="E74" s="41"/>
      <c r="F74" s="59"/>
      <c r="G74" s="59"/>
      <c r="H74" s="41"/>
      <c r="I74" s="43"/>
      <c r="J74" s="43"/>
      <c r="K74" s="43"/>
      <c r="L74" s="43"/>
      <c r="N74" s="43"/>
      <c r="O74" s="59"/>
      <c r="P74" s="41"/>
      <c r="Q74" s="41"/>
      <c r="R74" s="43"/>
      <c r="S74" s="72"/>
    </row>
    <row r="75" spans="5:19" x14ac:dyDescent="0.25">
      <c r="E75" s="41"/>
      <c r="F75" s="59"/>
      <c r="G75" s="59"/>
      <c r="H75" s="41"/>
      <c r="I75" s="43"/>
      <c r="J75" s="43"/>
      <c r="K75" s="43"/>
      <c r="L75" s="43"/>
      <c r="N75" s="43"/>
      <c r="O75" s="59"/>
      <c r="P75" s="41"/>
      <c r="Q75" s="41"/>
      <c r="R75" s="43"/>
      <c r="S75" s="72"/>
    </row>
    <row r="76" spans="5:19" x14ac:dyDescent="0.25">
      <c r="E76" s="41"/>
      <c r="F76" s="59"/>
      <c r="G76" s="59"/>
      <c r="H76" s="41"/>
      <c r="I76" s="43"/>
      <c r="J76" s="43"/>
      <c r="K76" s="43"/>
      <c r="L76" s="43"/>
      <c r="N76" s="43"/>
      <c r="O76" s="59"/>
      <c r="P76" s="41"/>
      <c r="Q76" s="41"/>
      <c r="R76" s="43"/>
      <c r="S76" s="72"/>
    </row>
    <row r="77" spans="5:19" x14ac:dyDescent="0.25">
      <c r="E77" s="41"/>
      <c r="F77" s="59"/>
      <c r="G77" s="59"/>
      <c r="H77" s="41"/>
      <c r="I77" s="43"/>
      <c r="J77" s="43"/>
      <c r="K77" s="43"/>
      <c r="L77" s="43"/>
      <c r="N77" s="43"/>
      <c r="O77" s="59"/>
      <c r="P77" s="41"/>
      <c r="Q77" s="41"/>
      <c r="R77" s="43"/>
      <c r="S77" s="72"/>
    </row>
    <row r="78" spans="5:19" x14ac:dyDescent="0.25">
      <c r="E78" s="41"/>
      <c r="F78" s="59"/>
      <c r="G78" s="59"/>
      <c r="H78" s="41"/>
      <c r="I78" s="43"/>
      <c r="J78" s="43"/>
      <c r="K78" s="43"/>
      <c r="L78" s="43"/>
      <c r="N78" s="43"/>
      <c r="O78" s="59"/>
      <c r="P78" s="41"/>
      <c r="Q78" s="41"/>
      <c r="R78" s="43"/>
      <c r="S78" s="72"/>
    </row>
    <row r="79" spans="5:19" x14ac:dyDescent="0.25">
      <c r="F79" s="59"/>
      <c r="G79" s="59"/>
      <c r="H79" s="41"/>
      <c r="I79" s="43"/>
      <c r="J79" s="43"/>
      <c r="K79" s="43"/>
      <c r="L79" s="43"/>
      <c r="N79" s="43"/>
      <c r="O79" s="59"/>
      <c r="P79" s="41"/>
      <c r="Q79" s="41"/>
      <c r="R79" s="43"/>
      <c r="S79" s="72"/>
    </row>
    <row r="80" spans="5:19" x14ac:dyDescent="0.25">
      <c r="F80" s="59"/>
      <c r="G80" s="59"/>
      <c r="H80" s="41"/>
      <c r="I80" s="43"/>
      <c r="J80" s="43"/>
      <c r="K80" s="43"/>
      <c r="L80" s="43"/>
      <c r="N80" s="43"/>
      <c r="O80" s="59"/>
      <c r="P80" s="41"/>
      <c r="Q80" s="41"/>
      <c r="R80" s="43"/>
      <c r="S80" s="72"/>
    </row>
    <row r="81" spans="6:19" x14ac:dyDescent="0.25">
      <c r="F81" s="59"/>
      <c r="G81" s="59"/>
      <c r="H81" s="41"/>
      <c r="I81" s="43"/>
      <c r="J81" s="43"/>
      <c r="K81" s="43"/>
      <c r="L81" s="43"/>
      <c r="N81" s="43"/>
      <c r="O81" s="59"/>
      <c r="P81" s="41"/>
      <c r="Q81" s="41"/>
      <c r="R81" s="43"/>
      <c r="S81" s="72"/>
    </row>
    <row r="82" spans="6:19" x14ac:dyDescent="0.25">
      <c r="F82" s="59"/>
      <c r="G82" s="59"/>
      <c r="H82" s="41"/>
      <c r="I82" s="43"/>
      <c r="J82" s="43"/>
      <c r="K82" s="43"/>
      <c r="L82" s="43"/>
      <c r="N82" s="43"/>
      <c r="O82" s="59"/>
      <c r="P82" s="41"/>
      <c r="Q82" s="41"/>
      <c r="R82" s="43"/>
      <c r="S82" s="72"/>
    </row>
    <row r="83" spans="6:19" x14ac:dyDescent="0.25">
      <c r="F83" s="59"/>
      <c r="G83" s="59"/>
      <c r="H83" s="41"/>
      <c r="I83" s="43"/>
      <c r="J83" s="43"/>
      <c r="K83" s="43"/>
      <c r="L83" s="43"/>
      <c r="N83" s="43"/>
      <c r="O83" s="59"/>
      <c r="P83" s="41"/>
      <c r="Q83" s="41"/>
      <c r="R83" s="43"/>
      <c r="S83" s="72"/>
    </row>
    <row r="84" spans="6:19" x14ac:dyDescent="0.25">
      <c r="F84" s="59"/>
      <c r="G84" s="59"/>
      <c r="H84" s="41"/>
      <c r="I84" s="43"/>
      <c r="J84" s="43"/>
      <c r="K84" s="43"/>
      <c r="L84" s="43"/>
      <c r="N84" s="43"/>
      <c r="O84" s="59"/>
      <c r="P84" s="41"/>
      <c r="Q84" s="41"/>
      <c r="R84" s="43"/>
      <c r="S84" s="72"/>
    </row>
    <row r="85" spans="6:19" x14ac:dyDescent="0.25">
      <c r="F85" s="59"/>
      <c r="G85" s="59"/>
      <c r="H85" s="41"/>
      <c r="I85" s="43"/>
      <c r="J85" s="43"/>
      <c r="K85" s="43"/>
      <c r="L85" s="43"/>
      <c r="N85" s="43"/>
      <c r="O85" s="59"/>
      <c r="P85" s="41"/>
      <c r="Q85" s="41"/>
      <c r="R85" s="43"/>
      <c r="S85" s="72"/>
    </row>
    <row r="86" spans="6:19" x14ac:dyDescent="0.25">
      <c r="F86" s="59"/>
      <c r="G86" s="59"/>
      <c r="H86" s="41"/>
      <c r="I86" s="43"/>
      <c r="J86" s="43"/>
      <c r="K86" s="43"/>
      <c r="L86" s="43"/>
      <c r="N86" s="43"/>
      <c r="O86" s="59"/>
      <c r="P86" s="41"/>
      <c r="Q86" s="41"/>
      <c r="R86" s="43"/>
      <c r="S86" s="72"/>
    </row>
    <row r="87" spans="6:19" x14ac:dyDescent="0.25">
      <c r="F87" s="59"/>
      <c r="G87" s="59"/>
      <c r="H87" s="41"/>
      <c r="I87" s="43"/>
      <c r="J87" s="43"/>
      <c r="K87" s="43"/>
      <c r="L87" s="43"/>
      <c r="N87" s="43"/>
      <c r="O87" s="59"/>
      <c r="P87" s="41"/>
      <c r="Q87" s="41"/>
      <c r="R87" s="43"/>
      <c r="S87" s="72"/>
    </row>
    <row r="88" spans="6:19" x14ac:dyDescent="0.25">
      <c r="F88" s="36"/>
      <c r="G88" s="36"/>
      <c r="H88" s="36"/>
      <c r="I88" s="43"/>
      <c r="J88" s="43"/>
      <c r="K88" s="43"/>
      <c r="L88" s="43"/>
      <c r="N88" s="43"/>
      <c r="O88" s="36"/>
      <c r="P88" s="36"/>
      <c r="Q88" s="36"/>
      <c r="R88" s="43"/>
      <c r="S88" s="72"/>
    </row>
    <row r="89" spans="6:19" x14ac:dyDescent="0.25">
      <c r="F89" s="36"/>
      <c r="G89" s="36"/>
      <c r="H89" s="36"/>
      <c r="I89" s="43"/>
      <c r="J89" s="43"/>
      <c r="K89" s="43"/>
      <c r="L89" s="43"/>
      <c r="N89" s="43"/>
      <c r="O89" s="36"/>
      <c r="P89" s="36"/>
      <c r="Q89" s="36"/>
      <c r="R89" s="43"/>
      <c r="S89" s="72"/>
    </row>
    <row r="90" spans="6:19" x14ac:dyDescent="0.25">
      <c r="F90" s="36"/>
      <c r="G90" s="36"/>
      <c r="H90" s="36"/>
      <c r="I90" s="43"/>
      <c r="J90" s="43"/>
      <c r="K90" s="43"/>
      <c r="L90" s="43"/>
      <c r="N90" s="43"/>
      <c r="O90" s="36"/>
      <c r="P90" s="36"/>
      <c r="Q90" s="36"/>
      <c r="R90" s="43"/>
      <c r="S90" s="72"/>
    </row>
    <row r="91" spans="6:19" x14ac:dyDescent="0.25">
      <c r="I91" s="34"/>
      <c r="J91" s="34"/>
      <c r="K91" s="34"/>
      <c r="L91" s="34"/>
      <c r="N91" s="34"/>
      <c r="R91" s="34"/>
      <c r="S91" s="72"/>
    </row>
    <row r="92" spans="6:19" x14ac:dyDescent="0.25">
      <c r="F92" s="36"/>
      <c r="G92" s="36"/>
      <c r="H92" s="36"/>
      <c r="O92" s="36"/>
      <c r="P92" s="36"/>
      <c r="Q92" s="36"/>
      <c r="S92" s="72"/>
    </row>
    <row r="93" spans="6:19" x14ac:dyDescent="0.25">
      <c r="F93" s="36"/>
      <c r="G93" s="36"/>
      <c r="H93" s="36"/>
      <c r="I93" s="41"/>
      <c r="J93" s="41"/>
      <c r="K93" s="41"/>
      <c r="L93" s="41"/>
      <c r="N93" s="41"/>
      <c r="O93" s="36"/>
      <c r="P93" s="36"/>
      <c r="Q93" s="36"/>
      <c r="R93" s="41"/>
      <c r="S93" s="72"/>
    </row>
    <row r="94" spans="6:19" x14ac:dyDescent="0.25">
      <c r="F94" s="36"/>
      <c r="G94" s="36"/>
      <c r="H94" s="36"/>
      <c r="I94" s="43"/>
      <c r="J94" s="43"/>
      <c r="K94" s="43"/>
      <c r="L94" s="43"/>
      <c r="N94" s="43"/>
      <c r="O94" s="36"/>
      <c r="P94" s="36"/>
      <c r="Q94" s="36"/>
      <c r="R94" s="43"/>
      <c r="S94" s="72"/>
    </row>
    <row r="95" spans="6:19" x14ac:dyDescent="0.25">
      <c r="F95" s="36"/>
      <c r="G95" s="36"/>
      <c r="H95" s="36"/>
      <c r="I95" s="43"/>
      <c r="J95" s="43"/>
      <c r="K95" s="43"/>
      <c r="L95" s="43"/>
      <c r="N95" s="43"/>
      <c r="O95" s="36"/>
      <c r="P95" s="36"/>
      <c r="Q95" s="36"/>
      <c r="R95" s="43"/>
      <c r="S95" s="72"/>
    </row>
    <row r="96" spans="6:19" x14ac:dyDescent="0.25">
      <c r="F96" s="36"/>
      <c r="G96" s="36"/>
      <c r="H96" s="36"/>
      <c r="I96" s="43"/>
      <c r="J96" s="43"/>
      <c r="K96" s="43"/>
      <c r="L96" s="43"/>
      <c r="N96" s="43"/>
      <c r="O96" s="36"/>
      <c r="P96" s="36"/>
      <c r="Q96" s="36"/>
      <c r="R96" s="43"/>
      <c r="S96" s="72"/>
    </row>
    <row r="97" spans="6:19" x14ac:dyDescent="0.25">
      <c r="F97" s="19"/>
      <c r="G97" s="19"/>
      <c r="H97" s="19"/>
      <c r="I97" s="43"/>
      <c r="J97" s="43"/>
      <c r="K97" s="43"/>
      <c r="L97" s="43"/>
      <c r="N97" s="43"/>
      <c r="O97" s="19"/>
      <c r="P97" s="19"/>
      <c r="Q97" s="19"/>
      <c r="R97" s="43"/>
      <c r="S97" s="72"/>
    </row>
    <row r="98" spans="6:19" x14ac:dyDescent="0.25">
      <c r="I98" s="43"/>
      <c r="J98" s="43"/>
      <c r="K98" s="43"/>
      <c r="L98" s="43"/>
      <c r="N98" s="43"/>
      <c r="R98" s="43"/>
      <c r="S98" s="72"/>
    </row>
    <row r="99" spans="6:19" x14ac:dyDescent="0.25">
      <c r="G99" s="19"/>
      <c r="I99" s="43"/>
      <c r="J99" s="43"/>
      <c r="K99" s="43"/>
      <c r="L99" s="43"/>
      <c r="N99" s="43"/>
      <c r="O99" s="19"/>
      <c r="R99" s="43"/>
      <c r="S99" s="72"/>
    </row>
    <row r="100" spans="6:19" x14ac:dyDescent="0.25">
      <c r="I100" s="43"/>
      <c r="J100" s="43"/>
      <c r="K100" s="43"/>
      <c r="L100" s="43"/>
      <c r="N100" s="43"/>
      <c r="R100" s="43"/>
      <c r="S100" s="72"/>
    </row>
    <row r="101" spans="6:19" x14ac:dyDescent="0.25">
      <c r="I101" s="43"/>
      <c r="J101" s="43"/>
      <c r="K101" s="43"/>
      <c r="L101" s="43"/>
      <c r="N101" s="43"/>
      <c r="R101" s="43"/>
      <c r="S101" s="72"/>
    </row>
    <row r="102" spans="6:19" x14ac:dyDescent="0.25">
      <c r="I102" s="43"/>
      <c r="J102" s="43"/>
      <c r="K102" s="43"/>
      <c r="L102" s="43"/>
      <c r="N102" s="43"/>
      <c r="R102" s="43"/>
      <c r="S102" s="72"/>
    </row>
    <row r="103" spans="6:19" x14ac:dyDescent="0.25">
      <c r="I103" s="43"/>
      <c r="J103" s="43"/>
      <c r="K103" s="43"/>
      <c r="L103" s="43"/>
      <c r="N103" s="43"/>
      <c r="R103" s="43"/>
      <c r="S103" s="72"/>
    </row>
    <row r="104" spans="6:19" x14ac:dyDescent="0.25">
      <c r="I104" s="43"/>
      <c r="J104" s="43"/>
      <c r="K104" s="43"/>
      <c r="L104" s="43"/>
      <c r="N104" s="43"/>
      <c r="R104" s="43"/>
      <c r="S104" s="72"/>
    </row>
    <row r="105" spans="6:19" x14ac:dyDescent="0.25">
      <c r="I105" s="43"/>
      <c r="J105" s="43"/>
      <c r="K105" s="43"/>
      <c r="L105" s="43"/>
      <c r="N105" s="43"/>
      <c r="R105" s="43"/>
      <c r="S105" s="72"/>
    </row>
    <row r="106" spans="6:19" x14ac:dyDescent="0.25">
      <c r="I106" s="36"/>
      <c r="J106" s="36"/>
      <c r="K106" s="36"/>
      <c r="L106" s="36"/>
      <c r="N106" s="36"/>
      <c r="R106" s="36"/>
      <c r="S106" s="72"/>
    </row>
    <row r="107" spans="6:19" x14ac:dyDescent="0.25">
      <c r="I107" s="36"/>
      <c r="J107" s="36"/>
      <c r="K107" s="36"/>
      <c r="L107" s="36"/>
      <c r="N107" s="36"/>
      <c r="R107" s="36"/>
      <c r="S107" s="72"/>
    </row>
    <row r="108" spans="6:19" x14ac:dyDescent="0.25">
      <c r="I108" s="41"/>
      <c r="J108" s="41"/>
      <c r="K108" s="41"/>
      <c r="L108" s="41"/>
      <c r="N108" s="41"/>
      <c r="R108" s="41"/>
      <c r="S108" s="72"/>
    </row>
    <row r="109" spans="6:19" x14ac:dyDescent="0.25">
      <c r="I109" s="43"/>
      <c r="J109" s="43"/>
      <c r="K109" s="43"/>
      <c r="L109" s="43"/>
      <c r="N109" s="43"/>
      <c r="R109" s="43"/>
      <c r="S109" s="72"/>
    </row>
    <row r="110" spans="6:19" x14ac:dyDescent="0.25">
      <c r="I110" s="43"/>
      <c r="J110" s="43"/>
      <c r="K110" s="43"/>
      <c r="L110" s="43"/>
      <c r="N110" s="43"/>
      <c r="R110" s="43"/>
      <c r="S110" s="72"/>
    </row>
    <row r="111" spans="6:19" x14ac:dyDescent="0.25">
      <c r="I111" s="43"/>
      <c r="J111" s="43"/>
      <c r="K111" s="43"/>
      <c r="L111" s="43"/>
      <c r="N111" s="43"/>
      <c r="R111" s="43"/>
      <c r="S111" s="72"/>
    </row>
    <row r="112" spans="6:19" x14ac:dyDescent="0.25">
      <c r="I112" s="43"/>
      <c r="J112" s="43"/>
      <c r="K112" s="43"/>
      <c r="L112" s="43"/>
      <c r="N112" s="43"/>
      <c r="R112" s="43"/>
      <c r="S112" s="72"/>
    </row>
    <row r="113" spans="9:19" x14ac:dyDescent="0.25">
      <c r="I113" s="43"/>
      <c r="J113" s="43"/>
      <c r="K113" s="43"/>
      <c r="L113" s="43"/>
      <c r="N113" s="43"/>
      <c r="R113" s="43"/>
      <c r="S113" s="72"/>
    </row>
    <row r="114" spans="9:19" x14ac:dyDescent="0.25">
      <c r="I114" s="43"/>
      <c r="J114" s="43"/>
      <c r="K114" s="43"/>
      <c r="L114" s="43"/>
      <c r="N114" s="43"/>
      <c r="R114" s="43"/>
      <c r="S114" s="72"/>
    </row>
    <row r="115" spans="9:19" x14ac:dyDescent="0.25">
      <c r="I115" s="43"/>
      <c r="J115" s="43"/>
      <c r="K115" s="43"/>
      <c r="L115" s="43"/>
      <c r="N115" s="43"/>
      <c r="R115" s="43"/>
      <c r="S115" s="72"/>
    </row>
    <row r="116" spans="9:19" x14ac:dyDescent="0.25">
      <c r="I116" s="43"/>
      <c r="J116" s="43"/>
      <c r="K116" s="43"/>
      <c r="L116" s="43"/>
      <c r="N116" s="43"/>
      <c r="R116" s="43"/>
      <c r="S116" s="72"/>
    </row>
    <row r="117" spans="9:19" x14ac:dyDescent="0.25">
      <c r="I117" s="43"/>
      <c r="J117" s="43"/>
      <c r="K117" s="43"/>
      <c r="L117" s="43"/>
      <c r="N117" s="43"/>
      <c r="R117" s="43"/>
      <c r="S117" s="72"/>
    </row>
    <row r="118" spans="9:19" x14ac:dyDescent="0.25">
      <c r="I118" s="43"/>
      <c r="J118" s="43"/>
      <c r="K118" s="43"/>
      <c r="L118" s="43"/>
      <c r="N118" s="43"/>
      <c r="R118" s="43"/>
    </row>
    <row r="119" spans="9:19" x14ac:dyDescent="0.25">
      <c r="I119" s="43"/>
      <c r="J119" s="43"/>
      <c r="K119" s="43"/>
      <c r="L119" s="43"/>
      <c r="N119" s="43"/>
      <c r="R119" s="43"/>
    </row>
    <row r="120" spans="9:19" x14ac:dyDescent="0.25">
      <c r="I120" s="43"/>
      <c r="J120" s="43"/>
      <c r="K120" s="43"/>
      <c r="L120" s="43"/>
      <c r="N120" s="43"/>
      <c r="R120" s="43"/>
    </row>
  </sheetData>
  <mergeCells count="5">
    <mergeCell ref="G4:I5"/>
    <mergeCell ref="Z4:AC5"/>
    <mergeCell ref="AA7:AB7"/>
    <mergeCell ref="O4:R5"/>
    <mergeCell ref="K4:L5"/>
  </mergeCells>
  <pageMargins left="0.75" right="0.75" top="1" bottom="1" header="0.5" footer="0.5"/>
  <pageSetup scale="48" orientation="landscape" r:id="rId1"/>
  <headerFooter alignWithMargins="0">
    <oddFooter>&amp;RExhibit JW-9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242B5-FDF9-4548-834A-968B28675B32}">
  <sheetPr>
    <pageSetUpPr fitToPage="1"/>
  </sheetPr>
  <dimension ref="A1:U140"/>
  <sheetViews>
    <sheetView view="pageBreakPreview" zoomScale="75" zoomScaleNormal="85" zoomScaleSheetLayoutView="75" workbookViewId="0">
      <selection activeCell="S24" sqref="S24:S26"/>
    </sheetView>
  </sheetViews>
  <sheetFormatPr defaultColWidth="9.140625"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10" width="14.42578125" style="2" customWidth="1"/>
    <col min="11" max="11" width="2" style="2" customWidth="1"/>
    <col min="12" max="12" width="2.85546875" style="2" customWidth="1"/>
    <col min="13" max="13" width="9.85546875" style="2" customWidth="1"/>
    <col min="14" max="14" width="18.28515625" style="2" customWidth="1"/>
    <col min="15" max="15" width="3.42578125" style="2" customWidth="1"/>
    <col min="16" max="16" width="12.7109375" style="2" bestFit="1" customWidth="1"/>
    <col min="17" max="17" width="14.5703125" style="2" bestFit="1" customWidth="1"/>
    <col min="18" max="18" width="4.28515625" style="2" customWidth="1"/>
    <col min="19" max="19" width="15.5703125" style="2" customWidth="1"/>
    <col min="20" max="16384" width="9.140625" style="2"/>
  </cols>
  <sheetData>
    <row r="1" spans="1:19" x14ac:dyDescent="0.25">
      <c r="A1" s="1" t="str">
        <f>'Present and Proposed Rates'!A1</f>
        <v>Cumberland Valley Electric</v>
      </c>
      <c r="N1" s="1"/>
    </row>
    <row r="2" spans="1:19" x14ac:dyDescent="0.25">
      <c r="A2" s="1" t="str">
        <f>List!B14</f>
        <v>Sch V-B - Large Power Rate</v>
      </c>
    </row>
    <row r="3" spans="1:19" ht="16.5" thickBot="1" x14ac:dyDescent="0.3">
      <c r="A3" s="69" t="str">
        <f>List!C14</f>
        <v>VB</v>
      </c>
    </row>
    <row r="4" spans="1:19" x14ac:dyDescent="0.25">
      <c r="D4" s="421" t="s">
        <v>30</v>
      </c>
      <c r="E4" s="422"/>
      <c r="F4" s="422"/>
      <c r="G4" s="423"/>
      <c r="H4" s="3"/>
      <c r="I4" s="421" t="s">
        <v>102</v>
      </c>
      <c r="J4" s="423"/>
      <c r="K4" s="127"/>
      <c r="L4" s="3"/>
      <c r="P4" s="421" t="s">
        <v>87</v>
      </c>
      <c r="Q4" s="422"/>
      <c r="R4" s="422"/>
      <c r="S4" s="423"/>
    </row>
    <row r="5" spans="1:19" ht="16.5" thickBot="1" x14ac:dyDescent="0.3">
      <c r="A5" s="44"/>
      <c r="B5" s="59"/>
      <c r="C5" s="3"/>
      <c r="D5" s="424"/>
      <c r="E5" s="425"/>
      <c r="F5" s="425"/>
      <c r="G5" s="426"/>
      <c r="H5" s="3"/>
      <c r="I5" s="424"/>
      <c r="J5" s="426"/>
      <c r="K5" s="127"/>
      <c r="L5" s="3"/>
      <c r="M5" s="44"/>
      <c r="N5" s="59"/>
      <c r="O5" s="3"/>
      <c r="P5" s="424"/>
      <c r="Q5" s="425"/>
      <c r="R5" s="425"/>
      <c r="S5" s="426"/>
    </row>
    <row r="6" spans="1:19" x14ac:dyDescent="0.25">
      <c r="A6" s="4"/>
      <c r="B6" s="4"/>
      <c r="C6" s="4"/>
      <c r="D6" s="4" t="s">
        <v>1</v>
      </c>
      <c r="E6" s="4"/>
      <c r="F6" s="4"/>
      <c r="G6" s="4" t="s">
        <v>2</v>
      </c>
      <c r="H6" s="4"/>
      <c r="I6" s="4"/>
      <c r="J6" s="4" t="s">
        <v>2</v>
      </c>
      <c r="K6" s="127"/>
      <c r="L6" s="4"/>
      <c r="M6" s="4"/>
      <c r="N6" s="4"/>
      <c r="O6" s="4"/>
      <c r="P6" s="4" t="s">
        <v>1</v>
      </c>
      <c r="Q6" s="4"/>
      <c r="R6" s="4"/>
      <c r="S6" s="4" t="s">
        <v>2</v>
      </c>
    </row>
    <row r="7" spans="1:19" ht="16.5" thickBot="1" x14ac:dyDescent="0.3">
      <c r="A7" s="5"/>
      <c r="B7" s="5"/>
      <c r="C7" s="5"/>
      <c r="D7" s="5" t="s">
        <v>4</v>
      </c>
      <c r="E7" s="425" t="s">
        <v>5</v>
      </c>
      <c r="F7" s="425"/>
      <c r="G7" s="5" t="s">
        <v>6</v>
      </c>
      <c r="H7" s="5"/>
      <c r="I7" s="5" t="s">
        <v>5</v>
      </c>
      <c r="J7" s="5" t="s">
        <v>6</v>
      </c>
      <c r="K7" s="126"/>
      <c r="L7" s="5"/>
      <c r="M7" s="5"/>
      <c r="N7" s="5"/>
      <c r="O7" s="5"/>
      <c r="P7" s="5" t="s">
        <v>4</v>
      </c>
      <c r="Q7" s="425" t="s">
        <v>5</v>
      </c>
      <c r="R7" s="425"/>
      <c r="S7" s="5" t="s">
        <v>6</v>
      </c>
    </row>
    <row r="8" spans="1:19" x14ac:dyDescent="0.25">
      <c r="K8" s="127"/>
    </row>
    <row r="9" spans="1:19" x14ac:dyDescent="0.25">
      <c r="K9" s="127"/>
    </row>
    <row r="10" spans="1:19" x14ac:dyDescent="0.25">
      <c r="A10" s="102" t="s">
        <v>10</v>
      </c>
      <c r="K10" s="127"/>
      <c r="M10" s="102" t="s">
        <v>10</v>
      </c>
    </row>
    <row r="11" spans="1:19" x14ac:dyDescent="0.25">
      <c r="D11" s="139" t="s">
        <v>91</v>
      </c>
      <c r="E11" s="139" t="s">
        <v>92</v>
      </c>
      <c r="I11" s="139" t="s">
        <v>92</v>
      </c>
      <c r="K11" s="127"/>
      <c r="P11" s="139" t="s">
        <v>91</v>
      </c>
      <c r="Q11" s="139" t="s">
        <v>92</v>
      </c>
    </row>
    <row r="12" spans="1:19" x14ac:dyDescent="0.25">
      <c r="B12" s="2" t="s">
        <v>101</v>
      </c>
      <c r="D12" s="249">
        <f>'Billing Determ'!C161</f>
        <v>12</v>
      </c>
      <c r="E12" s="9">
        <f>'Present and Proposed Rates'!G30</f>
        <v>5726.7</v>
      </c>
      <c r="G12" s="11">
        <f>D12*E12</f>
        <v>68720.399999999994</v>
      </c>
      <c r="H12" s="11"/>
      <c r="I12" s="141">
        <f>'Present and Proposed Rates'!H30</f>
        <v>5726.7</v>
      </c>
      <c r="J12" s="11">
        <f>I12*D12</f>
        <v>68720.399999999994</v>
      </c>
      <c r="K12" s="128"/>
      <c r="L12" s="11"/>
      <c r="N12" s="2" t="s">
        <v>98</v>
      </c>
      <c r="P12" s="406">
        <v>0</v>
      </c>
      <c r="Q12" s="9">
        <f>'Present and Proposed Rates'!I30</f>
        <v>5726.7</v>
      </c>
      <c r="S12" s="11">
        <f>P12*Q12</f>
        <v>0</v>
      </c>
    </row>
    <row r="13" spans="1:19" x14ac:dyDescent="0.25">
      <c r="D13" s="8"/>
      <c r="E13" s="9"/>
      <c r="G13" s="11"/>
      <c r="H13" s="11"/>
      <c r="I13" s="141"/>
      <c r="J13" s="11"/>
      <c r="K13" s="128"/>
      <c r="L13" s="11"/>
      <c r="P13" s="8"/>
      <c r="Q13" s="9"/>
      <c r="S13" s="11"/>
    </row>
    <row r="14" spans="1:19" x14ac:dyDescent="0.25">
      <c r="D14" s="8"/>
      <c r="G14" s="11"/>
      <c r="H14" s="11"/>
      <c r="I14" s="41"/>
      <c r="J14" s="11"/>
      <c r="K14" s="128"/>
      <c r="L14" s="11"/>
      <c r="P14" s="8"/>
      <c r="S14" s="11"/>
    </row>
    <row r="15" spans="1:19" x14ac:dyDescent="0.25">
      <c r="A15" s="1" t="s">
        <v>7</v>
      </c>
      <c r="D15" s="8"/>
      <c r="G15" s="11"/>
      <c r="H15" s="11"/>
      <c r="I15" s="41"/>
      <c r="J15" s="11"/>
      <c r="K15" s="128"/>
      <c r="L15" s="11"/>
      <c r="M15" s="1" t="s">
        <v>7</v>
      </c>
      <c r="P15" s="38"/>
      <c r="Q15" s="41"/>
      <c r="S15" s="11"/>
    </row>
    <row r="16" spans="1:19" x14ac:dyDescent="0.25">
      <c r="D16" s="117" t="s">
        <v>8</v>
      </c>
      <c r="E16" s="118" t="s">
        <v>11</v>
      </c>
      <c r="G16" s="11"/>
      <c r="H16" s="11"/>
      <c r="I16" s="118" t="s">
        <v>11</v>
      </c>
      <c r="J16" s="11"/>
      <c r="K16" s="128"/>
      <c r="L16" s="11"/>
      <c r="P16" s="117" t="s">
        <v>8</v>
      </c>
      <c r="Q16" s="118" t="s">
        <v>11</v>
      </c>
      <c r="S16" s="11"/>
    </row>
    <row r="17" spans="1:21" x14ac:dyDescent="0.25">
      <c r="B17" s="2" t="s">
        <v>120</v>
      </c>
      <c r="D17" s="249">
        <f>'Billing Determ'!S161+'Billing Determ'!S182</f>
        <v>63250499</v>
      </c>
      <c r="E17" s="376">
        <f>'Present and Proposed Rates'!G31</f>
        <v>3.9780000000000003E-2</v>
      </c>
      <c r="G17" s="11">
        <f>D17*E17</f>
        <v>2516104.8502200004</v>
      </c>
      <c r="H17" s="11"/>
      <c r="I17" s="405">
        <f>'Present and Proposed Rates'!H31</f>
        <v>5.1569999999999998E-2</v>
      </c>
      <c r="J17" s="11">
        <f>I17*D17</f>
        <v>3261828.23343</v>
      </c>
      <c r="K17" s="128"/>
      <c r="L17" s="11"/>
      <c r="N17" s="2" t="s">
        <v>120</v>
      </c>
      <c r="P17" s="406">
        <v>0</v>
      </c>
      <c r="Q17" s="376">
        <f>'Present and Proposed Rates'!I31</f>
        <v>5.1569999999999998E-2</v>
      </c>
      <c r="S17" s="11">
        <f>P17*Q17</f>
        <v>0</v>
      </c>
    </row>
    <row r="18" spans="1:21" x14ac:dyDescent="0.25">
      <c r="A18" s="1"/>
      <c r="B18" s="16"/>
      <c r="C18" s="132" t="s">
        <v>215</v>
      </c>
      <c r="D18" s="292">
        <f>D17/D12</f>
        <v>5270874.916666667</v>
      </c>
      <c r="K18" s="127"/>
    </row>
    <row r="19" spans="1:21" x14ac:dyDescent="0.25">
      <c r="A19" s="1" t="s">
        <v>93</v>
      </c>
      <c r="D19" s="38"/>
      <c r="E19" s="140"/>
      <c r="G19" s="11"/>
      <c r="H19" s="11"/>
      <c r="I19" s="140"/>
      <c r="J19" s="11"/>
      <c r="K19" s="128"/>
      <c r="L19" s="11"/>
      <c r="M19" s="1" t="s">
        <v>93</v>
      </c>
      <c r="P19" s="8"/>
      <c r="Q19" s="18"/>
      <c r="S19" s="11"/>
    </row>
    <row r="20" spans="1:21" x14ac:dyDescent="0.25">
      <c r="A20" s="1"/>
      <c r="D20" s="117" t="s">
        <v>94</v>
      </c>
      <c r="E20" s="118" t="s">
        <v>95</v>
      </c>
      <c r="G20" s="11"/>
      <c r="H20" s="11"/>
      <c r="I20" s="118" t="s">
        <v>95</v>
      </c>
      <c r="J20" s="11"/>
      <c r="K20" s="128"/>
      <c r="L20" s="11"/>
      <c r="M20" s="1"/>
      <c r="P20" s="117" t="s">
        <v>94</v>
      </c>
      <c r="Q20" s="118" t="s">
        <v>95</v>
      </c>
      <c r="S20" s="11"/>
    </row>
    <row r="21" spans="1:21" x14ac:dyDescent="0.25">
      <c r="A21" s="1"/>
      <c r="B21" s="2" t="s">
        <v>155</v>
      </c>
      <c r="D21" s="249">
        <f>'Billing Determ'!R161</f>
        <v>144000</v>
      </c>
      <c r="E21" s="74">
        <f>'Present and Proposed Rates'!G32</f>
        <v>7.3</v>
      </c>
      <c r="G21" s="11">
        <f>D21*E21</f>
        <v>1051200</v>
      </c>
      <c r="H21" s="11"/>
      <c r="I21" s="142">
        <f>'Present and Proposed Rates'!H32</f>
        <v>7.3</v>
      </c>
      <c r="J21" s="11">
        <f>I21*D21</f>
        <v>1051200</v>
      </c>
      <c r="K21" s="135"/>
      <c r="L21" s="11"/>
      <c r="M21" s="1"/>
      <c r="N21" s="2" t="s">
        <v>121</v>
      </c>
      <c r="P21" s="406">
        <v>0</v>
      </c>
      <c r="Q21" s="74">
        <f>'Present and Proposed Rates'!I32</f>
        <v>7.3</v>
      </c>
      <c r="S21" s="11">
        <f>P21*Q21</f>
        <v>0</v>
      </c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244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1" t="s">
        <v>96</v>
      </c>
      <c r="B23" s="1"/>
      <c r="C23" s="16"/>
      <c r="D23" s="8"/>
      <c r="E23" s="18"/>
      <c r="G23" s="11"/>
      <c r="H23" s="11"/>
      <c r="I23" s="11"/>
      <c r="J23" s="11"/>
      <c r="K23" s="128"/>
      <c r="L23" s="11"/>
      <c r="M23" s="1" t="s">
        <v>96</v>
      </c>
      <c r="N23" s="1"/>
      <c r="O23" s="16"/>
      <c r="P23" s="8"/>
      <c r="Q23" s="18"/>
      <c r="S23" s="11"/>
    </row>
    <row r="24" spans="1:21" x14ac:dyDescent="0.25">
      <c r="A24" s="1"/>
      <c r="B24" s="2" t="s">
        <v>90</v>
      </c>
      <c r="C24" s="16"/>
      <c r="D24" s="8"/>
      <c r="E24" s="18"/>
      <c r="G24" s="304">
        <f>'Billing Determ'!K161+'Billing Determ'!K182</f>
        <v>646472.5</v>
      </c>
      <c r="H24" s="11"/>
      <c r="I24" s="11"/>
      <c r="J24" s="326">
        <f>G24-D17*'Present and Proposed Rates'!I56</f>
        <v>-99250.88321</v>
      </c>
      <c r="K24" s="128"/>
      <c r="L24" s="11"/>
      <c r="M24" s="1"/>
      <c r="N24" s="2" t="s">
        <v>90</v>
      </c>
      <c r="O24" s="16"/>
      <c r="P24" s="8"/>
      <c r="Q24" s="18"/>
      <c r="S24" s="407">
        <v>0</v>
      </c>
    </row>
    <row r="25" spans="1:21" x14ac:dyDescent="0.25">
      <c r="A25" s="1"/>
      <c r="B25" s="2" t="s">
        <v>97</v>
      </c>
      <c r="C25" s="16"/>
      <c r="D25" s="8"/>
      <c r="E25" s="18"/>
      <c r="G25" s="304">
        <f>'Billing Determ'!L161+'Billing Determ'!L182</f>
        <v>521609.37</v>
      </c>
      <c r="H25" s="11"/>
      <c r="I25" s="11"/>
      <c r="J25" s="11">
        <f>G25</f>
        <v>521609.37</v>
      </c>
      <c r="K25" s="128"/>
      <c r="L25" s="11"/>
      <c r="M25" s="1"/>
      <c r="N25" s="2" t="s">
        <v>97</v>
      </c>
      <c r="O25" s="16"/>
      <c r="P25" s="8"/>
      <c r="Q25" s="18"/>
      <c r="S25" s="407">
        <v>0</v>
      </c>
    </row>
    <row r="26" spans="1:21" x14ac:dyDescent="0.25">
      <c r="B26" s="2" t="s">
        <v>204</v>
      </c>
      <c r="D26" s="8"/>
      <c r="E26" s="18"/>
      <c r="G26" s="305">
        <v>0</v>
      </c>
      <c r="H26" s="39"/>
      <c r="I26" s="39"/>
      <c r="J26" s="39">
        <f>G26</f>
        <v>0</v>
      </c>
      <c r="K26" s="128"/>
      <c r="L26" s="39"/>
      <c r="M26" s="102"/>
      <c r="N26" s="2" t="str">
        <f>B26</f>
        <v>Min Bill</v>
      </c>
      <c r="S26" s="407">
        <v>0</v>
      </c>
    </row>
    <row r="27" spans="1:21" x14ac:dyDescent="0.25">
      <c r="D27" s="8"/>
      <c r="E27" s="18"/>
      <c r="G27" s="39"/>
      <c r="H27" s="39"/>
      <c r="I27" s="39"/>
      <c r="J27" s="39"/>
      <c r="K27" s="128"/>
      <c r="L27" s="39"/>
      <c r="M27" s="102"/>
      <c r="S27" s="11"/>
    </row>
    <row r="28" spans="1:21" x14ac:dyDescent="0.25">
      <c r="A28" s="1"/>
      <c r="D28" s="25"/>
      <c r="G28" s="11"/>
      <c r="H28" s="11"/>
      <c r="I28" s="11"/>
      <c r="J28" s="11"/>
      <c r="K28" s="128"/>
      <c r="L28" s="11"/>
      <c r="M28" s="1"/>
      <c r="S28" s="11"/>
    </row>
    <row r="29" spans="1:21" ht="16.5" thickBot="1" x14ac:dyDescent="0.3">
      <c r="A29" s="1" t="s">
        <v>79</v>
      </c>
      <c r="G29" s="24">
        <f>SUM(G12:G27)</f>
        <v>4804107.1202200009</v>
      </c>
      <c r="H29" s="11"/>
      <c r="I29" s="11"/>
      <c r="J29" s="24">
        <f>SUM(J12:J27)</f>
        <v>4804107.1202200009</v>
      </c>
      <c r="K29" s="128"/>
      <c r="L29" s="11"/>
      <c r="M29" s="1" t="s">
        <v>79</v>
      </c>
      <c r="S29" s="24">
        <f>SUM(S12:S27)</f>
        <v>0</v>
      </c>
    </row>
    <row r="30" spans="1:21" ht="16.5" thickTop="1" x14ac:dyDescent="0.25">
      <c r="A30" s="1"/>
      <c r="B30" s="1"/>
      <c r="G30" s="11"/>
      <c r="H30" s="11"/>
      <c r="I30" s="11"/>
      <c r="J30" s="11"/>
      <c r="K30" s="128"/>
      <c r="L30" s="11"/>
      <c r="M30" s="1"/>
      <c r="N30" s="1"/>
      <c r="S30" s="11"/>
    </row>
    <row r="31" spans="1:21" x14ac:dyDescent="0.25">
      <c r="A31" s="1" t="s">
        <v>19</v>
      </c>
      <c r="B31" s="10"/>
      <c r="G31" s="11">
        <f>'Billing Determ'!G161+'Billing Determ'!H161+'Billing Determ'!I161+'Billing Determ'!J161+'Billing Determ'!K161+'Billing Determ'!L161+'Billing Determ'!G182+'Billing Determ'!H182+'Billing Determ'!I182+'Billing Determ'!J182+'Billing Determ'!K182</f>
        <v>4817126.8800000008</v>
      </c>
      <c r="H31" s="11"/>
      <c r="I31" s="11"/>
      <c r="J31" s="11"/>
      <c r="K31" s="129"/>
      <c r="L31" s="11"/>
      <c r="M31" s="1" t="s">
        <v>103</v>
      </c>
      <c r="N31" s="10"/>
      <c r="S31" s="31">
        <f>S29-J29</f>
        <v>-4804107.1202200009</v>
      </c>
    </row>
    <row r="32" spans="1:21" x14ac:dyDescent="0.25">
      <c r="A32" s="10"/>
      <c r="B32" s="10"/>
      <c r="G32" s="10"/>
      <c r="H32" s="10"/>
      <c r="I32" s="10"/>
      <c r="J32" s="10"/>
      <c r="K32" s="130"/>
      <c r="L32" s="10"/>
      <c r="N32" s="10"/>
      <c r="S32" s="10"/>
    </row>
    <row r="33" spans="1:19" x14ac:dyDescent="0.25">
      <c r="A33" s="1" t="s">
        <v>13</v>
      </c>
      <c r="B33" s="10"/>
      <c r="G33" s="22">
        <f>G29-G31</f>
        <v>-13019.759779999964</v>
      </c>
      <c r="H33" s="22"/>
      <c r="I33" s="22"/>
      <c r="J33" s="22">
        <f>J29-G29</f>
        <v>0</v>
      </c>
      <c r="K33" s="128"/>
      <c r="L33" s="22"/>
      <c r="M33" s="1" t="s">
        <v>104</v>
      </c>
      <c r="N33" s="10"/>
      <c r="S33" s="98">
        <f>S31/J29</f>
        <v>-1</v>
      </c>
    </row>
    <row r="34" spans="1:19" x14ac:dyDescent="0.25">
      <c r="A34" s="10"/>
      <c r="B34" s="10"/>
      <c r="G34" s="11"/>
      <c r="H34" s="11"/>
      <c r="I34" s="11"/>
      <c r="J34" s="11"/>
      <c r="K34" s="131"/>
      <c r="L34" s="11"/>
      <c r="N34" s="10"/>
      <c r="S34" s="11"/>
    </row>
    <row r="35" spans="1:19" x14ac:dyDescent="0.25">
      <c r="A35" s="1" t="s">
        <v>26</v>
      </c>
      <c r="B35" s="10"/>
      <c r="G35" s="23">
        <f>G33/G31</f>
        <v>-2.7028060718217914E-3</v>
      </c>
      <c r="H35" s="23"/>
      <c r="I35" s="23"/>
      <c r="J35" s="23">
        <f>J33/G31</f>
        <v>0</v>
      </c>
      <c r="K35" s="128"/>
      <c r="L35" s="23"/>
      <c r="M35" s="1" t="s">
        <v>84</v>
      </c>
      <c r="N35" s="10"/>
      <c r="S35" s="39" t="e">
        <f>S31/P12</f>
        <v>#DIV/0!</v>
      </c>
    </row>
    <row r="36" spans="1:19" x14ac:dyDescent="0.25">
      <c r="A36" s="1"/>
      <c r="B36" s="10"/>
      <c r="G36" s="23"/>
      <c r="H36" s="23"/>
      <c r="I36" s="23"/>
      <c r="J36" s="23"/>
      <c r="K36" s="23"/>
      <c r="L36" s="23"/>
      <c r="M36" s="1"/>
      <c r="N36" s="10"/>
      <c r="S36" s="23"/>
    </row>
    <row r="37" spans="1:19" x14ac:dyDescent="0.25">
      <c r="A37" s="1"/>
      <c r="B37" s="10"/>
      <c r="G37" s="138"/>
      <c r="H37" s="23"/>
      <c r="I37" s="23"/>
      <c r="J37" s="23"/>
      <c r="K37" s="23"/>
      <c r="L37" s="23"/>
      <c r="M37" s="1"/>
      <c r="N37" s="10"/>
      <c r="S37" s="23"/>
    </row>
    <row r="38" spans="1:19" x14ac:dyDescent="0.25">
      <c r="A38" s="1"/>
      <c r="B38" s="10"/>
      <c r="G38" s="138">
        <f>G12+G17+G21</f>
        <v>3636025.2502200003</v>
      </c>
      <c r="H38" s="23"/>
      <c r="I38" s="23"/>
      <c r="J38" s="138"/>
      <c r="K38" s="23"/>
      <c r="L38" s="23"/>
      <c r="M38" s="1"/>
      <c r="N38" s="10"/>
      <c r="S38" s="23"/>
    </row>
    <row r="39" spans="1:19" x14ac:dyDescent="0.25">
      <c r="A39" s="1"/>
      <c r="B39" s="10"/>
      <c r="G39" s="138"/>
      <c r="H39" s="23"/>
      <c r="I39" s="23"/>
      <c r="J39" s="23"/>
      <c r="K39" s="23"/>
      <c r="L39" s="23"/>
      <c r="M39" s="1"/>
      <c r="N39" s="10"/>
      <c r="S39" s="23"/>
    </row>
    <row r="40" spans="1:19" x14ac:dyDescent="0.25">
      <c r="A40" s="1"/>
      <c r="B40" s="10"/>
      <c r="G40" s="23"/>
      <c r="H40" s="23"/>
      <c r="I40" s="23"/>
      <c r="J40" s="23"/>
      <c r="K40" s="23"/>
      <c r="L40" s="23"/>
      <c r="M40" s="1"/>
      <c r="N40" s="10"/>
      <c r="S40" s="23"/>
    </row>
    <row r="41" spans="1:19" x14ac:dyDescent="0.25">
      <c r="A41" s="1"/>
      <c r="B41" s="10"/>
      <c r="G41" s="23"/>
      <c r="H41" s="23"/>
      <c r="I41" s="23"/>
      <c r="J41" s="23"/>
      <c r="K41" s="23"/>
      <c r="L41" s="23"/>
      <c r="M41" s="1"/>
      <c r="N41" s="10"/>
      <c r="S41" s="23"/>
    </row>
    <row r="42" spans="1:19" ht="18.75" customHeight="1" x14ac:dyDescent="0.25">
      <c r="A42" s="1"/>
      <c r="B42" s="11"/>
      <c r="G42" s="23"/>
      <c r="H42" s="23"/>
      <c r="I42" s="23"/>
      <c r="J42" s="23"/>
      <c r="K42" s="23"/>
      <c r="L42" s="23"/>
    </row>
    <row r="43" spans="1:19" x14ac:dyDescent="0.25">
      <c r="E43" s="11"/>
    </row>
    <row r="57" ht="16.5" customHeight="1" x14ac:dyDescent="0.25"/>
    <row r="90" ht="15" customHeight="1" x14ac:dyDescent="0.25"/>
    <row r="136" spans="3:14" x14ac:dyDescent="0.25">
      <c r="N136" s="41"/>
    </row>
    <row r="137" spans="3:14" x14ac:dyDescent="0.25">
      <c r="C137" s="41"/>
      <c r="D137" s="41"/>
      <c r="N137" s="41"/>
    </row>
    <row r="138" spans="3:14" x14ac:dyDescent="0.25">
      <c r="C138" s="43"/>
      <c r="D138" s="55"/>
      <c r="E138" s="60"/>
      <c r="N138" s="41"/>
    </row>
    <row r="139" spans="3:14" x14ac:dyDescent="0.25">
      <c r="C139" s="43"/>
      <c r="D139" s="55"/>
      <c r="E139" s="60"/>
      <c r="N139" s="41"/>
    </row>
    <row r="140" spans="3:14" x14ac:dyDescent="0.25">
      <c r="C140" s="43"/>
      <c r="D140" s="55"/>
      <c r="E140" s="60"/>
      <c r="N140" s="41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7" orientation="landscape" r:id="rId1"/>
  <headerFooter alignWithMargins="0">
    <oddFooter>&amp;RExhibit JW-9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3C32B-0F90-4E87-8B38-A4C7A8E1D3DA}">
  <sheetPr>
    <pageSetUpPr fitToPage="1"/>
  </sheetPr>
  <dimension ref="A1:U140"/>
  <sheetViews>
    <sheetView view="pageBreakPreview" zoomScale="75" zoomScaleNormal="85" zoomScaleSheetLayoutView="75" workbookViewId="0">
      <selection activeCell="V28" sqref="V28"/>
    </sheetView>
  </sheetViews>
  <sheetFormatPr defaultColWidth="9.140625"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10" width="14.42578125" style="2" customWidth="1"/>
    <col min="11" max="11" width="2" style="2" customWidth="1"/>
    <col min="12" max="12" width="2.85546875" style="2" customWidth="1"/>
    <col min="13" max="13" width="9.85546875" style="2" customWidth="1"/>
    <col min="14" max="14" width="18.28515625" style="2" customWidth="1"/>
    <col min="15" max="15" width="3.42578125" style="2" customWidth="1"/>
    <col min="16" max="16" width="12.7109375" style="2" bestFit="1" customWidth="1"/>
    <col min="17" max="17" width="14.5703125" style="2" bestFit="1" customWidth="1"/>
    <col min="18" max="18" width="4.28515625" style="2" customWidth="1"/>
    <col min="19" max="19" width="15.5703125" style="2" customWidth="1"/>
    <col min="20" max="21" width="9.140625" style="2"/>
    <col min="22" max="22" width="17.7109375" style="2" customWidth="1"/>
    <col min="23" max="16384" width="9.140625" style="2"/>
  </cols>
  <sheetData>
    <row r="1" spans="1:19" x14ac:dyDescent="0.25">
      <c r="A1" s="1" t="str">
        <f>'Present and Proposed Rates'!A1</f>
        <v>Cumberland Valley Electric</v>
      </c>
      <c r="N1" s="1"/>
    </row>
    <row r="2" spans="1:19" x14ac:dyDescent="0.25">
      <c r="A2" s="1" t="str">
        <f>List!B15</f>
        <v xml:space="preserve">Sch V-C - Large Power Rate </v>
      </c>
    </row>
    <row r="3" spans="1:19" ht="16.5" thickBot="1" x14ac:dyDescent="0.3">
      <c r="A3" s="69" t="str">
        <f>List!C15</f>
        <v>VC</v>
      </c>
    </row>
    <row r="4" spans="1:19" x14ac:dyDescent="0.25">
      <c r="D4" s="421" t="s">
        <v>30</v>
      </c>
      <c r="E4" s="422"/>
      <c r="F4" s="422"/>
      <c r="G4" s="423"/>
      <c r="H4" s="3"/>
      <c r="I4" s="421" t="s">
        <v>102</v>
      </c>
      <c r="J4" s="423"/>
      <c r="K4" s="127"/>
      <c r="L4" s="3"/>
      <c r="P4" s="421" t="s">
        <v>87</v>
      </c>
      <c r="Q4" s="422"/>
      <c r="R4" s="422"/>
      <c r="S4" s="423"/>
    </row>
    <row r="5" spans="1:19" ht="16.5" thickBot="1" x14ac:dyDescent="0.3">
      <c r="A5" s="44"/>
      <c r="B5" s="59"/>
      <c r="C5" s="3"/>
      <c r="D5" s="424"/>
      <c r="E5" s="425"/>
      <c r="F5" s="425"/>
      <c r="G5" s="426"/>
      <c r="H5" s="3"/>
      <c r="I5" s="424"/>
      <c r="J5" s="426"/>
      <c r="K5" s="127"/>
      <c r="L5" s="3"/>
      <c r="M5" s="44"/>
      <c r="N5" s="59"/>
      <c r="O5" s="3"/>
      <c r="P5" s="424"/>
      <c r="Q5" s="425"/>
      <c r="R5" s="425"/>
      <c r="S5" s="426"/>
    </row>
    <row r="6" spans="1:19" x14ac:dyDescent="0.25">
      <c r="A6" s="4"/>
      <c r="B6" s="4"/>
      <c r="C6" s="4"/>
      <c r="D6" s="4" t="s">
        <v>1</v>
      </c>
      <c r="E6" s="4"/>
      <c r="F6" s="4"/>
      <c r="G6" s="4" t="s">
        <v>2</v>
      </c>
      <c r="H6" s="4"/>
      <c r="I6" s="4"/>
      <c r="J6" s="4" t="s">
        <v>2</v>
      </c>
      <c r="K6" s="127"/>
      <c r="L6" s="4"/>
      <c r="M6" s="4"/>
      <c r="N6" s="4"/>
      <c r="O6" s="4"/>
      <c r="P6" s="4" t="s">
        <v>1</v>
      </c>
      <c r="Q6" s="4"/>
      <c r="R6" s="4"/>
      <c r="S6" s="4" t="s">
        <v>2</v>
      </c>
    </row>
    <row r="7" spans="1:19" ht="16.5" thickBot="1" x14ac:dyDescent="0.3">
      <c r="A7" s="5"/>
      <c r="B7" s="5"/>
      <c r="C7" s="5"/>
      <c r="D7" s="5" t="s">
        <v>4</v>
      </c>
      <c r="E7" s="425" t="s">
        <v>5</v>
      </c>
      <c r="F7" s="425"/>
      <c r="G7" s="5" t="s">
        <v>6</v>
      </c>
      <c r="H7" s="5"/>
      <c r="I7" s="5" t="s">
        <v>5</v>
      </c>
      <c r="J7" s="5" t="s">
        <v>6</v>
      </c>
      <c r="K7" s="126"/>
      <c r="L7" s="5"/>
      <c r="M7" s="5"/>
      <c r="N7" s="5"/>
      <c r="O7" s="5"/>
      <c r="P7" s="5" t="s">
        <v>4</v>
      </c>
      <c r="Q7" s="425" t="s">
        <v>5</v>
      </c>
      <c r="R7" s="425"/>
      <c r="S7" s="5" t="s">
        <v>6</v>
      </c>
    </row>
    <row r="8" spans="1:19" x14ac:dyDescent="0.25">
      <c r="K8" s="127"/>
    </row>
    <row r="9" spans="1:19" x14ac:dyDescent="0.25">
      <c r="K9" s="127"/>
    </row>
    <row r="10" spans="1:19" x14ac:dyDescent="0.25">
      <c r="A10" s="102" t="s">
        <v>10</v>
      </c>
      <c r="K10" s="127"/>
      <c r="M10" s="102" t="s">
        <v>10</v>
      </c>
    </row>
    <row r="11" spans="1:19" x14ac:dyDescent="0.25">
      <c r="D11" s="139" t="s">
        <v>91</v>
      </c>
      <c r="E11" s="139" t="s">
        <v>92</v>
      </c>
      <c r="I11" s="139" t="s">
        <v>92</v>
      </c>
      <c r="K11" s="127"/>
      <c r="P11" s="139" t="s">
        <v>91</v>
      </c>
      <c r="Q11" s="139" t="s">
        <v>92</v>
      </c>
    </row>
    <row r="12" spans="1:19" x14ac:dyDescent="0.25">
      <c r="B12" s="2" t="s">
        <v>101</v>
      </c>
      <c r="D12" s="249">
        <f>'Billing Determ'!C200</f>
        <v>12</v>
      </c>
      <c r="E12" s="9">
        <f>'Present and Proposed Rates'!G33</f>
        <v>3025.05</v>
      </c>
      <c r="G12" s="11">
        <f>D12*E12</f>
        <v>36300.600000000006</v>
      </c>
      <c r="H12" s="11"/>
      <c r="I12" s="141">
        <f>'Present and Proposed Rates'!H33</f>
        <v>3025.05</v>
      </c>
      <c r="J12" s="11">
        <f>I12*D12</f>
        <v>36300.600000000006</v>
      </c>
      <c r="K12" s="128"/>
      <c r="L12" s="11"/>
      <c r="N12" s="2" t="s">
        <v>98</v>
      </c>
      <c r="P12" s="406">
        <v>0</v>
      </c>
      <c r="Q12" s="9">
        <f>'Present and Proposed Rates'!I33</f>
        <v>3025.05</v>
      </c>
      <c r="S12" s="11">
        <f>P12*Q12</f>
        <v>0</v>
      </c>
    </row>
    <row r="13" spans="1:19" x14ac:dyDescent="0.25">
      <c r="D13" s="8"/>
      <c r="E13" s="9"/>
      <c r="G13" s="11"/>
      <c r="H13" s="11"/>
      <c r="I13" s="141"/>
      <c r="J13" s="11"/>
      <c r="K13" s="128"/>
      <c r="L13" s="11"/>
      <c r="P13" s="8"/>
      <c r="Q13" s="9"/>
      <c r="S13" s="11"/>
    </row>
    <row r="14" spans="1:19" x14ac:dyDescent="0.25">
      <c r="D14" s="8"/>
      <c r="G14" s="11"/>
      <c r="H14" s="11"/>
      <c r="I14" s="41"/>
      <c r="J14" s="11"/>
      <c r="K14" s="128"/>
      <c r="L14" s="11"/>
      <c r="P14" s="8"/>
      <c r="S14" s="11"/>
    </row>
    <row r="15" spans="1:19" x14ac:dyDescent="0.25">
      <c r="A15" s="1" t="s">
        <v>7</v>
      </c>
      <c r="D15" s="8"/>
      <c r="G15" s="11"/>
      <c r="H15" s="11"/>
      <c r="I15" s="41"/>
      <c r="J15" s="11"/>
      <c r="K15" s="128"/>
      <c r="L15" s="11"/>
      <c r="M15" s="1" t="s">
        <v>7</v>
      </c>
      <c r="P15" s="38"/>
      <c r="Q15" s="41"/>
      <c r="S15" s="11"/>
    </row>
    <row r="16" spans="1:19" x14ac:dyDescent="0.25">
      <c r="D16" s="117" t="s">
        <v>8</v>
      </c>
      <c r="E16" s="118" t="s">
        <v>11</v>
      </c>
      <c r="G16" s="11"/>
      <c r="H16" s="11"/>
      <c r="I16" s="118" t="s">
        <v>11</v>
      </c>
      <c r="J16" s="11"/>
      <c r="K16" s="128"/>
      <c r="L16" s="11"/>
      <c r="P16" s="117" t="s">
        <v>8</v>
      </c>
      <c r="Q16" s="118" t="s">
        <v>11</v>
      </c>
      <c r="S16" s="11"/>
    </row>
    <row r="17" spans="1:21" x14ac:dyDescent="0.25">
      <c r="B17" s="2" t="s">
        <v>120</v>
      </c>
      <c r="D17" s="249">
        <f>'Billing Determ'!D200+'Billing Determ'!D221</f>
        <v>55031065</v>
      </c>
      <c r="E17" s="376">
        <f>'Present and Proposed Rates'!G34</f>
        <v>4.2883999999999999E-2</v>
      </c>
      <c r="G17" s="11">
        <f>D17*E17</f>
        <v>2359952.1914599999</v>
      </c>
      <c r="H17" s="11"/>
      <c r="I17" s="405">
        <f>'Present and Proposed Rates'!H34</f>
        <v>5.4674E-2</v>
      </c>
      <c r="J17" s="11">
        <f>I17*D17</f>
        <v>3008768.4478099998</v>
      </c>
      <c r="K17" s="128"/>
      <c r="L17" s="11"/>
      <c r="N17" s="2" t="s">
        <v>120</v>
      </c>
      <c r="P17" s="406">
        <v>0</v>
      </c>
      <c r="Q17" s="376">
        <f>'Present and Proposed Rates'!I34</f>
        <v>5.4674E-2</v>
      </c>
      <c r="S17" s="11">
        <f>P17*Q17</f>
        <v>0</v>
      </c>
    </row>
    <row r="18" spans="1:21" x14ac:dyDescent="0.25">
      <c r="A18" s="1"/>
      <c r="B18" s="16"/>
      <c r="C18" s="132" t="s">
        <v>215</v>
      </c>
      <c r="D18" s="292">
        <f>D17/D12</f>
        <v>4585922.083333333</v>
      </c>
      <c r="K18" s="127"/>
    </row>
    <row r="19" spans="1:21" x14ac:dyDescent="0.25">
      <c r="A19" s="1" t="s">
        <v>93</v>
      </c>
      <c r="D19" s="38"/>
      <c r="E19" s="140"/>
      <c r="G19" s="11"/>
      <c r="H19" s="11"/>
      <c r="I19" s="140"/>
      <c r="J19" s="11"/>
      <c r="K19" s="128"/>
      <c r="L19" s="11"/>
      <c r="M19" s="1" t="s">
        <v>93</v>
      </c>
      <c r="P19" s="8"/>
      <c r="Q19" s="18"/>
      <c r="S19" s="11"/>
    </row>
    <row r="20" spans="1:21" x14ac:dyDescent="0.25">
      <c r="A20" s="1"/>
      <c r="D20" s="117" t="s">
        <v>94</v>
      </c>
      <c r="E20" s="118" t="s">
        <v>95</v>
      </c>
      <c r="G20" s="11"/>
      <c r="H20" s="11"/>
      <c r="I20" s="118" t="s">
        <v>95</v>
      </c>
      <c r="J20" s="11"/>
      <c r="K20" s="128"/>
      <c r="L20" s="11"/>
      <c r="M20" s="1"/>
      <c r="P20" s="117" t="s">
        <v>94</v>
      </c>
      <c r="Q20" s="118" t="s">
        <v>95</v>
      </c>
      <c r="S20" s="11"/>
    </row>
    <row r="21" spans="1:21" x14ac:dyDescent="0.25">
      <c r="A21" s="1"/>
      <c r="B21" s="2" t="s">
        <v>155</v>
      </c>
      <c r="D21" s="249">
        <f>'Billing Determ'!R200</f>
        <v>97282</v>
      </c>
      <c r="E21" s="74">
        <f>'Present and Proposed Rates'!G35</f>
        <v>7.49</v>
      </c>
      <c r="G21" s="11">
        <f>D21*E21</f>
        <v>728642.18</v>
      </c>
      <c r="H21" s="11"/>
      <c r="I21" s="142">
        <f>'Present and Proposed Rates'!H35</f>
        <v>7.49</v>
      </c>
      <c r="J21" s="11">
        <f>I21*D21</f>
        <v>728642.18</v>
      </c>
      <c r="K21" s="135"/>
      <c r="L21" s="11"/>
      <c r="M21" s="1"/>
      <c r="N21" s="2" t="s">
        <v>121</v>
      </c>
      <c r="P21" s="406">
        <v>0</v>
      </c>
      <c r="Q21" s="74">
        <f>'Present and Proposed Rates'!I35</f>
        <v>7.49</v>
      </c>
      <c r="S21" s="11">
        <f>P21*Q21</f>
        <v>0</v>
      </c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244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1" t="s">
        <v>96</v>
      </c>
      <c r="B23" s="1"/>
      <c r="C23" s="16"/>
      <c r="D23" s="8"/>
      <c r="E23" s="18"/>
      <c r="G23" s="11"/>
      <c r="H23" s="11"/>
      <c r="I23" s="11"/>
      <c r="J23" s="11"/>
      <c r="K23" s="128"/>
      <c r="L23" s="11"/>
      <c r="M23" s="1" t="s">
        <v>96</v>
      </c>
      <c r="N23" s="1"/>
      <c r="O23" s="16"/>
      <c r="P23" s="8"/>
      <c r="Q23" s="18"/>
      <c r="S23" s="11"/>
    </row>
    <row r="24" spans="1:21" x14ac:dyDescent="0.25">
      <c r="A24" s="1"/>
      <c r="B24" s="2" t="s">
        <v>90</v>
      </c>
      <c r="C24" s="16"/>
      <c r="D24" s="8"/>
      <c r="E24" s="18"/>
      <c r="G24" s="304">
        <f>'Billing Determ'!K200+'Billing Determ'!K221</f>
        <v>629857.86</v>
      </c>
      <c r="H24" s="11"/>
      <c r="I24" s="11"/>
      <c r="J24" s="326">
        <f>G24-D17*'Present and Proposed Rates'!I56</f>
        <v>-18958.396350000054</v>
      </c>
      <c r="K24" s="128"/>
      <c r="L24" s="11"/>
      <c r="M24" s="1"/>
      <c r="N24" s="2" t="s">
        <v>90</v>
      </c>
      <c r="O24" s="16"/>
      <c r="P24" s="8"/>
      <c r="Q24" s="18"/>
      <c r="S24" s="407">
        <v>0</v>
      </c>
    </row>
    <row r="25" spans="1:21" x14ac:dyDescent="0.25">
      <c r="A25" s="1"/>
      <c r="B25" s="2" t="s">
        <v>97</v>
      </c>
      <c r="C25" s="16"/>
      <c r="D25" s="8"/>
      <c r="E25" s="18"/>
      <c r="G25" s="304">
        <f>'Billing Determ'!L200+'Billing Determ'!L221</f>
        <v>427569.51000000007</v>
      </c>
      <c r="H25" s="11"/>
      <c r="I25" s="11"/>
      <c r="J25" s="11">
        <f>G25</f>
        <v>427569.51000000007</v>
      </c>
      <c r="K25" s="128"/>
      <c r="L25" s="11"/>
      <c r="M25" s="1"/>
      <c r="N25" s="2" t="s">
        <v>97</v>
      </c>
      <c r="O25" s="16"/>
      <c r="P25" s="8"/>
      <c r="Q25" s="18"/>
      <c r="S25" s="407">
        <v>0</v>
      </c>
    </row>
    <row r="26" spans="1:21" x14ac:dyDescent="0.25">
      <c r="B26" s="2" t="s">
        <v>204</v>
      </c>
      <c r="D26" s="8"/>
      <c r="E26" s="18"/>
      <c r="G26" s="305">
        <v>0</v>
      </c>
      <c r="H26" s="39"/>
      <c r="I26" s="39"/>
      <c r="J26" s="39">
        <f>G26</f>
        <v>0</v>
      </c>
      <c r="K26" s="128"/>
      <c r="L26" s="39"/>
      <c r="M26" s="102"/>
      <c r="N26" s="2" t="str">
        <f>B26</f>
        <v>Min Bill</v>
      </c>
      <c r="S26" s="407">
        <v>0</v>
      </c>
    </row>
    <row r="27" spans="1:21" x14ac:dyDescent="0.25">
      <c r="D27" s="8"/>
      <c r="E27" s="18"/>
      <c r="G27" s="39"/>
      <c r="H27" s="39"/>
      <c r="I27" s="39"/>
      <c r="J27" s="39"/>
      <c r="K27" s="128"/>
      <c r="L27" s="39"/>
      <c r="M27" s="102"/>
      <c r="S27" s="11"/>
    </row>
    <row r="28" spans="1:21" x14ac:dyDescent="0.25">
      <c r="A28" s="1"/>
      <c r="D28" s="25"/>
      <c r="G28" s="11"/>
      <c r="H28" s="11"/>
      <c r="I28" s="11"/>
      <c r="J28" s="11"/>
      <c r="K28" s="128"/>
      <c r="L28" s="11"/>
      <c r="M28" s="1"/>
      <c r="S28" s="11"/>
    </row>
    <row r="29" spans="1:21" ht="16.5" thickBot="1" x14ac:dyDescent="0.3">
      <c r="A29" s="1" t="s">
        <v>79</v>
      </c>
      <c r="G29" s="24">
        <f>SUM(G12:G27)</f>
        <v>4182322.3414600003</v>
      </c>
      <c r="H29" s="11"/>
      <c r="I29" s="11"/>
      <c r="J29" s="24">
        <f>SUM(J12:J27)</f>
        <v>4182322.3414600003</v>
      </c>
      <c r="K29" s="128"/>
      <c r="L29" s="11"/>
      <c r="M29" s="1" t="s">
        <v>79</v>
      </c>
      <c r="S29" s="24">
        <f>SUM(S12:S27)</f>
        <v>0</v>
      </c>
    </row>
    <row r="30" spans="1:21" ht="16.5" thickTop="1" x14ac:dyDescent="0.25">
      <c r="A30" s="1"/>
      <c r="B30" s="1"/>
      <c r="G30" s="11"/>
      <c r="H30" s="11"/>
      <c r="I30" s="11"/>
      <c r="J30" s="11"/>
      <c r="K30" s="128"/>
      <c r="L30" s="11"/>
      <c r="M30" s="1"/>
      <c r="N30" s="1"/>
      <c r="S30" s="11"/>
    </row>
    <row r="31" spans="1:21" x14ac:dyDescent="0.25">
      <c r="A31" s="1" t="s">
        <v>19</v>
      </c>
      <c r="B31" s="10"/>
      <c r="G31" s="11">
        <f>'Billing Determ'!G200+'Billing Determ'!H200+'Billing Determ'!I200+'Billing Determ'!K200+'Billing Determ'!L200+'Billing Determ'!G221+'Billing Determ'!H221+'Billing Determ'!I221+'Billing Determ'!J221+'Billing Determ'!K221+'Billing Determ'!L221</f>
        <v>4212314.4899999993</v>
      </c>
      <c r="H31" s="11"/>
      <c r="I31" s="11"/>
      <c r="J31" s="11"/>
      <c r="K31" s="129"/>
      <c r="L31" s="11"/>
      <c r="M31" s="1" t="s">
        <v>103</v>
      </c>
      <c r="N31" s="10"/>
      <c r="S31" s="31">
        <f>S29-J29</f>
        <v>-4182322.3414600003</v>
      </c>
    </row>
    <row r="32" spans="1:21" x14ac:dyDescent="0.25">
      <c r="A32" s="10"/>
      <c r="B32" s="10"/>
      <c r="G32" s="10"/>
      <c r="H32" s="10"/>
      <c r="I32" s="10"/>
      <c r="J32" s="10"/>
      <c r="K32" s="130"/>
      <c r="L32" s="10"/>
      <c r="N32" s="10"/>
      <c r="S32" s="10"/>
    </row>
    <row r="33" spans="1:19" x14ac:dyDescent="0.25">
      <c r="A33" s="1" t="s">
        <v>13</v>
      </c>
      <c r="B33" s="10"/>
      <c r="G33" s="22">
        <f>G29-G31</f>
        <v>-29992.148539999034</v>
      </c>
      <c r="H33" s="22"/>
      <c r="I33" s="22"/>
      <c r="J33" s="22">
        <f>J29-G29</f>
        <v>0</v>
      </c>
      <c r="K33" s="128"/>
      <c r="L33" s="22"/>
      <c r="M33" s="1" t="s">
        <v>104</v>
      </c>
      <c r="N33" s="10"/>
      <c r="S33" s="98">
        <f>S31/J29</f>
        <v>-1</v>
      </c>
    </row>
    <row r="34" spans="1:19" x14ac:dyDescent="0.25">
      <c r="A34" s="10"/>
      <c r="B34" s="10"/>
      <c r="G34" s="11"/>
      <c r="H34" s="11"/>
      <c r="I34" s="11"/>
      <c r="J34" s="11"/>
      <c r="K34" s="131"/>
      <c r="L34" s="11"/>
      <c r="N34" s="10"/>
      <c r="S34" s="11"/>
    </row>
    <row r="35" spans="1:19" x14ac:dyDescent="0.25">
      <c r="A35" s="1" t="s">
        <v>26</v>
      </c>
      <c r="B35" s="10"/>
      <c r="G35" s="23">
        <f>G33/G31</f>
        <v>-7.1201114283371185E-3</v>
      </c>
      <c r="H35" s="23"/>
      <c r="I35" s="23"/>
      <c r="J35" s="23">
        <f>J33/G31</f>
        <v>0</v>
      </c>
      <c r="K35" s="128"/>
      <c r="L35" s="23"/>
      <c r="M35" s="1" t="s">
        <v>84</v>
      </c>
      <c r="N35" s="10"/>
      <c r="S35" s="39" t="e">
        <f>S31/P12</f>
        <v>#DIV/0!</v>
      </c>
    </row>
    <row r="36" spans="1:19" x14ac:dyDescent="0.25">
      <c r="A36" s="1"/>
      <c r="B36" s="10"/>
      <c r="G36" s="23"/>
      <c r="H36" s="23"/>
      <c r="I36" s="23"/>
      <c r="J36" s="23"/>
      <c r="K36" s="23"/>
      <c r="L36" s="23"/>
      <c r="M36" s="1"/>
      <c r="N36" s="10"/>
      <c r="S36" s="23"/>
    </row>
    <row r="37" spans="1:19" x14ac:dyDescent="0.25">
      <c r="A37" s="1"/>
      <c r="B37" s="10"/>
      <c r="G37" s="138"/>
      <c r="H37" s="23"/>
      <c r="I37" s="23"/>
      <c r="J37" s="23"/>
      <c r="K37" s="23"/>
      <c r="L37" s="23"/>
      <c r="M37" s="1"/>
      <c r="N37" s="10"/>
      <c r="S37" s="23"/>
    </row>
    <row r="38" spans="1:19" x14ac:dyDescent="0.25">
      <c r="A38" s="1"/>
      <c r="B38" s="10"/>
      <c r="G38" s="138">
        <f>G12+G17+G21</f>
        <v>3124894.9714600001</v>
      </c>
      <c r="H38" s="23"/>
      <c r="I38" s="23"/>
      <c r="J38" s="138"/>
      <c r="K38" s="23"/>
      <c r="L38" s="23"/>
      <c r="M38" s="1"/>
      <c r="N38" s="10"/>
      <c r="S38" s="23"/>
    </row>
    <row r="39" spans="1:19" x14ac:dyDescent="0.25">
      <c r="A39" s="1"/>
      <c r="B39" s="10"/>
      <c r="G39" s="138"/>
      <c r="H39" s="23"/>
      <c r="I39" s="23"/>
      <c r="J39" s="23"/>
      <c r="K39" s="23"/>
      <c r="L39" s="23"/>
      <c r="M39" s="1"/>
      <c r="N39" s="10"/>
      <c r="S39" s="23"/>
    </row>
    <row r="40" spans="1:19" x14ac:dyDescent="0.25">
      <c r="A40" s="1"/>
      <c r="B40" s="10"/>
      <c r="G40" s="23"/>
      <c r="H40" s="23"/>
      <c r="I40" s="23"/>
      <c r="J40" s="23"/>
      <c r="K40" s="23"/>
      <c r="L40" s="23"/>
      <c r="M40" s="1"/>
      <c r="N40" s="10"/>
      <c r="S40" s="23"/>
    </row>
    <row r="41" spans="1:19" x14ac:dyDescent="0.25">
      <c r="A41" s="1"/>
      <c r="B41" s="10"/>
      <c r="G41" s="23"/>
      <c r="H41" s="23"/>
      <c r="I41" s="23"/>
      <c r="J41" s="23"/>
      <c r="K41" s="23"/>
      <c r="L41" s="23"/>
      <c r="M41" s="1"/>
      <c r="N41" s="10"/>
      <c r="S41" s="23"/>
    </row>
    <row r="42" spans="1:19" ht="18.75" customHeight="1" x14ac:dyDescent="0.25">
      <c r="A42" s="1"/>
      <c r="B42" s="11"/>
      <c r="G42" s="23"/>
      <c r="H42" s="23"/>
      <c r="I42" s="23"/>
      <c r="J42" s="23"/>
      <c r="K42" s="23"/>
      <c r="L42" s="23"/>
    </row>
    <row r="43" spans="1:19" x14ac:dyDescent="0.25">
      <c r="E43" s="11"/>
    </row>
    <row r="57" ht="16.5" customHeight="1" x14ac:dyDescent="0.25"/>
    <row r="90" ht="15" customHeight="1" x14ac:dyDescent="0.25"/>
    <row r="136" spans="3:14" x14ac:dyDescent="0.25">
      <c r="N136" s="41"/>
    </row>
    <row r="137" spans="3:14" x14ac:dyDescent="0.25">
      <c r="C137" s="41"/>
      <c r="D137" s="41"/>
      <c r="N137" s="41"/>
    </row>
    <row r="138" spans="3:14" x14ac:dyDescent="0.25">
      <c r="C138" s="43"/>
      <c r="D138" s="55"/>
      <c r="E138" s="60"/>
      <c r="N138" s="41"/>
    </row>
    <row r="139" spans="3:14" x14ac:dyDescent="0.25">
      <c r="C139" s="43"/>
      <c r="D139" s="55"/>
      <c r="E139" s="60"/>
      <c r="N139" s="41"/>
    </row>
    <row r="140" spans="3:14" x14ac:dyDescent="0.25">
      <c r="C140" s="43"/>
      <c r="D140" s="55"/>
      <c r="E140" s="60"/>
      <c r="N140" s="41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7" orientation="landscape" r:id="rId1"/>
  <headerFooter alignWithMargins="0">
    <oddFooter>&amp;RExhibit JW-9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38"/>
  <sheetViews>
    <sheetView tabSelected="1" view="pageBreakPreview" zoomScale="75" zoomScaleNormal="75" zoomScaleSheetLayoutView="75" workbookViewId="0">
      <selection activeCell="C63" sqref="C63:G63"/>
    </sheetView>
  </sheetViews>
  <sheetFormatPr defaultColWidth="9.140625" defaultRowHeight="15.75" x14ac:dyDescent="0.25"/>
  <cols>
    <col min="1" max="1" width="40.42578125" style="2" customWidth="1"/>
    <col min="2" max="2" width="15.42578125" style="59" bestFit="1" customWidth="1"/>
    <col min="3" max="3" width="15" style="2" bestFit="1" customWidth="1"/>
    <col min="4" max="4" width="17.140625" style="2" customWidth="1"/>
    <col min="5" max="5" width="19.140625" style="2" customWidth="1"/>
    <col min="6" max="6" width="14.85546875" style="2" customWidth="1"/>
    <col min="7" max="7" width="12.5703125" style="2" bestFit="1" customWidth="1"/>
    <col min="8" max="8" width="19.140625" style="2" hidden="1" customWidth="1"/>
    <col min="9" max="9" width="15.85546875" style="2" hidden="1" customWidth="1"/>
    <col min="10" max="10" width="15.7109375" style="2" hidden="1" customWidth="1"/>
    <col min="11" max="11" width="4.5703125" style="2" customWidth="1"/>
    <col min="12" max="12" width="20" style="2" customWidth="1"/>
    <col min="13" max="13" width="18.140625" style="2" bestFit="1" customWidth="1"/>
    <col min="14" max="14" width="15.140625" style="2" customWidth="1"/>
    <col min="15" max="16" width="9.140625" style="2"/>
    <col min="17" max="17" width="10.7109375" style="2" customWidth="1"/>
    <col min="18" max="16384" width="9.140625" style="2"/>
  </cols>
  <sheetData>
    <row r="1" spans="1:14" ht="18.75" x14ac:dyDescent="0.3">
      <c r="A1" s="84" t="str">
        <f>List!A1</f>
        <v>Cumberland Valley Electric</v>
      </c>
      <c r="B1" s="96"/>
    </row>
    <row r="2" spans="1:14" x14ac:dyDescent="0.25">
      <c r="A2" s="1" t="s">
        <v>126</v>
      </c>
    </row>
    <row r="5" spans="1:14" ht="57" customHeight="1" x14ac:dyDescent="0.25">
      <c r="A5" s="29" t="s">
        <v>14</v>
      </c>
      <c r="B5" s="85" t="s">
        <v>80</v>
      </c>
      <c r="C5" s="30" t="s">
        <v>8</v>
      </c>
      <c r="D5" s="30" t="s">
        <v>19</v>
      </c>
      <c r="E5" s="30" t="s">
        <v>33</v>
      </c>
      <c r="F5" s="30" t="s">
        <v>13</v>
      </c>
      <c r="G5" s="30" t="s">
        <v>20</v>
      </c>
      <c r="H5" s="30" t="s">
        <v>15</v>
      </c>
      <c r="I5" s="30" t="s">
        <v>13</v>
      </c>
      <c r="J5" s="30" t="s">
        <v>20</v>
      </c>
    </row>
    <row r="7" spans="1:14" x14ac:dyDescent="0.25">
      <c r="A7" s="2" t="str">
        <f>List!B6</f>
        <v>Sch I - Residential, Schools &amp; Churches</v>
      </c>
      <c r="B7" s="59" t="str">
        <f>List!C6</f>
        <v>R</v>
      </c>
      <c r="C7" s="38">
        <f>'R'!D16</f>
        <v>268297725</v>
      </c>
      <c r="D7" s="87">
        <f>'R'!G26</f>
        <v>34527804.599999994</v>
      </c>
      <c r="E7" s="88">
        <f>'R'!G24</f>
        <v>34526442.473750003</v>
      </c>
      <c r="F7" s="88">
        <f t="shared" ref="F7:F14" si="0">E7-D7</f>
        <v>-1362.1262499913573</v>
      </c>
      <c r="G7" s="89">
        <f t="shared" ref="G7:G14" si="1">F7/D7</f>
        <v>-3.9450126232218007E-5</v>
      </c>
      <c r="H7" s="88">
        <v>0</v>
      </c>
      <c r="I7" s="88">
        <f t="shared" ref="I7:I11" si="2">H7-E7</f>
        <v>-34526442.473750003</v>
      </c>
      <c r="J7" s="89">
        <f t="shared" ref="J7:J17" si="3">I7/E7</f>
        <v>-1</v>
      </c>
      <c r="N7" s="11"/>
    </row>
    <row r="8" spans="1:14" x14ac:dyDescent="0.25">
      <c r="A8" s="2" t="str">
        <f>List!B7</f>
        <v>Sch I - Res TOD</v>
      </c>
      <c r="B8" s="59" t="str">
        <f>List!C7</f>
        <v>TOD</v>
      </c>
      <c r="C8" s="38">
        <f>TOD!D16+TOD!D17</f>
        <v>49591</v>
      </c>
      <c r="D8" s="87">
        <f>TOD!G28</f>
        <v>7534.4299999999994</v>
      </c>
      <c r="E8" s="88">
        <f>TOD!G26</f>
        <v>7374.9299699999992</v>
      </c>
      <c r="F8" s="88">
        <f t="shared" si="0"/>
        <v>-159.50003000000015</v>
      </c>
      <c r="G8" s="89">
        <f t="shared" si="1"/>
        <v>-2.1169488600995719E-2</v>
      </c>
      <c r="H8" s="47">
        <v>0</v>
      </c>
      <c r="I8" s="47">
        <f t="shared" si="2"/>
        <v>-7374.9299699999992</v>
      </c>
      <c r="J8" s="89">
        <f t="shared" si="3"/>
        <v>-1</v>
      </c>
    </row>
    <row r="9" spans="1:14" x14ac:dyDescent="0.25">
      <c r="A9" s="2" t="str">
        <f>List!B8</f>
        <v>Sch II - Small Commercial  Small Power</v>
      </c>
      <c r="B9" s="59" t="str">
        <f>List!C8</f>
        <v>C1</v>
      </c>
      <c r="C9" s="38">
        <f>'C1'!D16+'C1'!D17</f>
        <v>14518765</v>
      </c>
      <c r="D9" s="87">
        <f>'C1'!G28</f>
        <v>1909411.8199999998</v>
      </c>
      <c r="E9" s="88">
        <f>'C1'!G26</f>
        <v>1907993.1593500001</v>
      </c>
      <c r="F9" s="88">
        <f t="shared" si="0"/>
        <v>-1418.6606499997433</v>
      </c>
      <c r="G9" s="89">
        <f t="shared" si="1"/>
        <v>-7.4298306690054089E-4</v>
      </c>
      <c r="H9" s="47">
        <v>0</v>
      </c>
      <c r="I9" s="47">
        <f>H9-E9</f>
        <v>-1907993.1593500001</v>
      </c>
      <c r="J9" s="89">
        <f>I9/E9</f>
        <v>-1</v>
      </c>
    </row>
    <row r="10" spans="1:14" x14ac:dyDescent="0.25">
      <c r="A10" s="2" t="str">
        <f>List!B9</f>
        <v>Sch II - Small Commercial  Small Power</v>
      </c>
      <c r="B10" s="59" t="str">
        <f>List!C9</f>
        <v>C2</v>
      </c>
      <c r="C10" s="38">
        <f>'C2'!D16+'C2'!D17</f>
        <v>9739705</v>
      </c>
      <c r="D10" s="155">
        <f>'C2'!G32</f>
        <v>1357876.44</v>
      </c>
      <c r="E10" s="57">
        <f>'C2'!G30</f>
        <v>1354230.8737099997</v>
      </c>
      <c r="F10" s="57">
        <f t="shared" si="0"/>
        <v>-3645.5662900002208</v>
      </c>
      <c r="G10" s="89">
        <f t="shared" si="1"/>
        <v>-2.6847555363728242E-3</v>
      </c>
      <c r="H10" s="48">
        <v>0</v>
      </c>
      <c r="I10" s="48">
        <f t="shared" si="2"/>
        <v>-1354230.8737099997</v>
      </c>
      <c r="J10" s="50">
        <f t="shared" si="3"/>
        <v>-1</v>
      </c>
    </row>
    <row r="11" spans="1:14" x14ac:dyDescent="0.25">
      <c r="A11" s="2" t="str">
        <f>List!B10</f>
        <v>Sch VII - Inclining Block Rate</v>
      </c>
      <c r="B11" s="59" t="str">
        <f>List!C10</f>
        <v>IB</v>
      </c>
      <c r="C11" s="38">
        <f>IB!D16+IB!D17+IB!D18</f>
        <v>652099</v>
      </c>
      <c r="D11" s="155">
        <f>IB!G29</f>
        <v>103827.47</v>
      </c>
      <c r="E11" s="57">
        <f>IB!G27</f>
        <v>100449.43758000001</v>
      </c>
      <c r="F11" s="57">
        <f t="shared" si="0"/>
        <v>-3378.0324199999886</v>
      </c>
      <c r="G11" s="89">
        <f t="shared" si="1"/>
        <v>-3.2535054740330173E-2</v>
      </c>
      <c r="H11" s="48">
        <v>0</v>
      </c>
      <c r="I11" s="48">
        <f t="shared" si="2"/>
        <v>-100449.43758000001</v>
      </c>
      <c r="J11" s="50">
        <f t="shared" si="3"/>
        <v>-1</v>
      </c>
    </row>
    <row r="12" spans="1:14" x14ac:dyDescent="0.25">
      <c r="A12" s="2" t="str">
        <f>List!B11</f>
        <v>Sch III - All 3Phase Schools &amp; Churches</v>
      </c>
      <c r="B12" s="59" t="str">
        <f>List!C11</f>
        <v>E1</v>
      </c>
      <c r="C12" s="38">
        <f>'E1'!D15</f>
        <v>12328694</v>
      </c>
      <c r="D12" s="155">
        <f>'E1'!G25</f>
        <v>1272161.3099999998</v>
      </c>
      <c r="E12" s="57">
        <f>'E1'!G23</f>
        <v>1272025.19594</v>
      </c>
      <c r="F12" s="57">
        <f t="shared" si="0"/>
        <v>-136.11405999981798</v>
      </c>
      <c r="G12" s="89">
        <f t="shared" si="1"/>
        <v>-1.069943402066032E-4</v>
      </c>
      <c r="H12" s="88">
        <v>0</v>
      </c>
      <c r="I12" s="88">
        <f t="shared" ref="I12:I13" si="4">H12-E12</f>
        <v>-1272025.19594</v>
      </c>
      <c r="J12" s="89">
        <f t="shared" ref="J12:J13" si="5">I12/E12</f>
        <v>-1</v>
      </c>
    </row>
    <row r="13" spans="1:14" x14ac:dyDescent="0.25">
      <c r="A13" s="2" t="str">
        <f>List!B12</f>
        <v>Sch IV-A - Large Power 50-2500 kW</v>
      </c>
      <c r="B13" s="59" t="str">
        <f>List!C12</f>
        <v>L1</v>
      </c>
      <c r="C13" s="38">
        <f>'L1'!D17</f>
        <v>77310121</v>
      </c>
      <c r="D13" s="87">
        <f>'L1'!G31</f>
        <v>7414373.6000000006</v>
      </c>
      <c r="E13" s="88">
        <f>'L1'!G29</f>
        <v>7402299.7411700003</v>
      </c>
      <c r="F13" s="88">
        <f t="shared" si="0"/>
        <v>-12073.858830000274</v>
      </c>
      <c r="G13" s="89">
        <f t="shared" si="1"/>
        <v>-1.6284394989214291E-3</v>
      </c>
      <c r="H13" s="47">
        <v>0</v>
      </c>
      <c r="I13" s="47">
        <f t="shared" si="4"/>
        <v>-7402299.7411700003</v>
      </c>
      <c r="J13" s="89">
        <f t="shared" si="5"/>
        <v>-1</v>
      </c>
    </row>
    <row r="14" spans="1:14" x14ac:dyDescent="0.25">
      <c r="A14" s="2" t="str">
        <f>List!B13</f>
        <v>Sch VI - Outdoor Lighting - Security Lights</v>
      </c>
      <c r="B14" s="59" t="str">
        <f>List!C13</f>
        <v>S</v>
      </c>
      <c r="C14" s="38">
        <f>S!E24</f>
        <v>8549445</v>
      </c>
      <c r="D14" s="87">
        <f>S!I32</f>
        <v>1672272.4999999998</v>
      </c>
      <c r="E14" s="88">
        <f>S!I30</f>
        <v>1683639.8399999999</v>
      </c>
      <c r="F14" s="88">
        <f t="shared" si="0"/>
        <v>11367.340000000084</v>
      </c>
      <c r="G14" s="89">
        <f t="shared" si="1"/>
        <v>6.7975404726203928E-3</v>
      </c>
      <c r="H14" s="47">
        <v>0</v>
      </c>
      <c r="I14" s="47">
        <f>H14-E14</f>
        <v>-1683639.8399999999</v>
      </c>
      <c r="J14" s="89">
        <f>I14/E14</f>
        <v>-1</v>
      </c>
    </row>
    <row r="15" spans="1:14" x14ac:dyDescent="0.25">
      <c r="C15" s="38"/>
      <c r="D15" s="155"/>
      <c r="E15" s="57"/>
      <c r="F15" s="88"/>
      <c r="G15" s="89"/>
      <c r="H15" s="48">
        <v>0</v>
      </c>
      <c r="I15" s="48">
        <f t="shared" ref="I15:I16" si="6">H15-E15</f>
        <v>0</v>
      </c>
      <c r="J15" s="50" t="e">
        <f t="shared" ref="J15:J16" si="7">I15/E15</f>
        <v>#DIV/0!</v>
      </c>
    </row>
    <row r="16" spans="1:14" x14ac:dyDescent="0.25">
      <c r="C16" s="38"/>
      <c r="D16" s="155"/>
      <c r="E16" s="57"/>
      <c r="F16" s="88"/>
      <c r="G16" s="89"/>
      <c r="H16" s="48">
        <v>0</v>
      </c>
      <c r="I16" s="48">
        <f t="shared" si="6"/>
        <v>0</v>
      </c>
      <c r="J16" s="50" t="e">
        <f t="shared" si="7"/>
        <v>#DIV/0!</v>
      </c>
    </row>
    <row r="17" spans="1:10" ht="16.5" thickBot="1" x14ac:dyDescent="0.3">
      <c r="C17" s="62">
        <f>SUM(C7:C16)</f>
        <v>391446145</v>
      </c>
      <c r="D17" s="24">
        <f t="shared" ref="D17:F17" si="8">SUM(D7:D16)</f>
        <v>48265262.169999994</v>
      </c>
      <c r="E17" s="24">
        <f t="shared" si="8"/>
        <v>48254455.651470006</v>
      </c>
      <c r="F17" s="24">
        <f t="shared" si="8"/>
        <v>-10806.518529991317</v>
      </c>
      <c r="G17" s="63">
        <f>F17/D17</f>
        <v>-2.2389847364608895E-4</v>
      </c>
      <c r="H17" s="64">
        <f>SUM(H7:H16)</f>
        <v>0</v>
      </c>
      <c r="I17" s="24">
        <f>SUM(I7:I16)</f>
        <v>-48254455.651470006</v>
      </c>
      <c r="J17" s="63">
        <f t="shared" si="3"/>
        <v>-1</v>
      </c>
    </row>
    <row r="18" spans="1:10" ht="16.5" thickTop="1" x14ac:dyDescent="0.25">
      <c r="E18" s="11"/>
      <c r="H18" s="11"/>
    </row>
    <row r="19" spans="1:10" ht="15.75" customHeight="1" x14ac:dyDescent="0.25">
      <c r="C19" s="19"/>
      <c r="D19" s="19"/>
      <c r="F19" s="19"/>
    </row>
    <row r="20" spans="1:10" x14ac:dyDescent="0.25">
      <c r="A20" s="41"/>
      <c r="C20" s="47"/>
      <c r="D20" s="47"/>
      <c r="E20" s="44"/>
    </row>
    <row r="21" spans="1:10" x14ac:dyDescent="0.25">
      <c r="A21" s="1"/>
      <c r="B21" s="3"/>
      <c r="C21" s="137"/>
      <c r="D21" s="144"/>
      <c r="E21" s="73"/>
      <c r="F21" s="73"/>
      <c r="G21" s="73"/>
      <c r="H21" s="73"/>
      <c r="I21" s="73"/>
      <c r="J21" s="73"/>
    </row>
    <row r="22" spans="1:10" x14ac:dyDescent="0.25">
      <c r="C22" s="4"/>
      <c r="D22" s="4"/>
      <c r="E22" s="4"/>
      <c r="F22" s="4"/>
      <c r="G22" s="4"/>
      <c r="H22" s="4"/>
    </row>
    <row r="23" spans="1:10" x14ac:dyDescent="0.25">
      <c r="A23" s="41"/>
      <c r="C23" s="38"/>
      <c r="D23" s="40"/>
      <c r="E23" s="23"/>
      <c r="F23" s="39"/>
      <c r="G23" s="39"/>
      <c r="H23" s="23"/>
      <c r="I23" s="39"/>
      <c r="J23" s="23"/>
    </row>
    <row r="24" spans="1:10" x14ac:dyDescent="0.25">
      <c r="A24" s="41"/>
      <c r="C24" s="38"/>
      <c r="D24" s="35"/>
      <c r="E24" s="48"/>
      <c r="F24" s="57"/>
      <c r="G24" s="50"/>
      <c r="H24" s="48"/>
      <c r="I24" s="57"/>
      <c r="J24" s="50"/>
    </row>
    <row r="25" spans="1:10" x14ac:dyDescent="0.25">
      <c r="A25" s="41"/>
      <c r="C25" s="38"/>
      <c r="D25" s="40"/>
      <c r="E25" s="23"/>
      <c r="F25" s="48"/>
      <c r="G25" s="48"/>
      <c r="H25" s="23"/>
      <c r="I25" s="57"/>
      <c r="J25" s="50"/>
    </row>
    <row r="26" spans="1:10" x14ac:dyDescent="0.25">
      <c r="A26" s="41"/>
      <c r="C26" s="38"/>
      <c r="D26" s="35"/>
      <c r="E26" s="48"/>
      <c r="F26" s="48"/>
      <c r="G26" s="48"/>
      <c r="H26" s="48"/>
      <c r="I26" s="57"/>
      <c r="J26" s="50"/>
    </row>
    <row r="27" spans="1:10" x14ac:dyDescent="0.25">
      <c r="A27" s="41"/>
      <c r="C27" s="38"/>
      <c r="D27" s="40"/>
      <c r="E27" s="23"/>
      <c r="F27" s="48"/>
      <c r="G27" s="48"/>
      <c r="H27" s="23"/>
      <c r="I27" s="57"/>
      <c r="J27" s="50"/>
    </row>
    <row r="28" spans="1:10" x14ac:dyDescent="0.25">
      <c r="A28" s="41"/>
      <c r="C28" s="38"/>
      <c r="D28" s="35"/>
      <c r="E28" s="48"/>
      <c r="F28" s="48"/>
      <c r="G28" s="48"/>
      <c r="H28" s="48"/>
      <c r="I28" s="57"/>
      <c r="J28" s="50"/>
    </row>
    <row r="29" spans="1:10" x14ac:dyDescent="0.25">
      <c r="A29" s="41"/>
      <c r="C29" s="40"/>
      <c r="D29" s="40"/>
      <c r="E29" s="23"/>
      <c r="F29" s="48"/>
      <c r="G29" s="48"/>
      <c r="H29" s="23"/>
      <c r="I29" s="57"/>
      <c r="J29" s="50"/>
    </row>
    <row r="30" spans="1:10" x14ac:dyDescent="0.25">
      <c r="A30" s="41"/>
      <c r="C30" s="8"/>
      <c r="D30" s="33"/>
      <c r="E30" s="34"/>
      <c r="F30" s="36"/>
      <c r="G30" s="36"/>
      <c r="H30" s="34"/>
      <c r="I30" s="11"/>
      <c r="J30" s="23"/>
    </row>
    <row r="31" spans="1:10" x14ac:dyDescent="0.25">
      <c r="A31" s="41"/>
      <c r="C31" s="8"/>
      <c r="D31" s="40"/>
      <c r="E31" s="23"/>
      <c r="F31" s="14"/>
      <c r="G31" s="14"/>
      <c r="H31" s="23"/>
    </row>
    <row r="32" spans="1:10" x14ac:dyDescent="0.25">
      <c r="C32" s="8"/>
      <c r="E32" s="26"/>
      <c r="F32" s="20"/>
      <c r="H32" s="56"/>
    </row>
    <row r="33" spans="1:7" x14ac:dyDescent="0.25">
      <c r="C33" s="8"/>
      <c r="F33" s="8"/>
      <c r="G33" s="8"/>
    </row>
    <row r="35" spans="1:7" x14ac:dyDescent="0.25">
      <c r="G35" s="25"/>
    </row>
    <row r="37" spans="1:7" x14ac:dyDescent="0.25">
      <c r="A37" s="41"/>
      <c r="C37" s="9"/>
    </row>
    <row r="38" spans="1:7" x14ac:dyDescent="0.25">
      <c r="A38" s="41"/>
    </row>
  </sheetData>
  <phoneticPr fontId="0" type="noConversion"/>
  <pageMargins left="0.75" right="0.35" top="1" bottom="1" header="0.5" footer="0.5"/>
  <pageSetup scale="92" orientation="landscape" r:id="rId1"/>
  <headerFooter alignWithMargins="0">
    <oddFooter>&amp;RExhibit JW-9
Page &amp;P of &amp;N</oddFooter>
  </headerFooter>
  <ignoredErrors>
    <ignoredError sqref="G1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40"/>
  <sheetViews>
    <sheetView tabSelected="1" view="pageBreakPreview" topLeftCell="A5" zoomScaleNormal="100" zoomScaleSheetLayoutView="100" workbookViewId="0">
      <selection activeCell="C63" sqref="C63:G63"/>
    </sheetView>
  </sheetViews>
  <sheetFormatPr defaultColWidth="9.140625" defaultRowHeight="12.75" x14ac:dyDescent="0.2"/>
  <cols>
    <col min="1" max="1" width="3.42578125" style="159" customWidth="1"/>
    <col min="2" max="2" width="5.28515625" style="158" customWidth="1"/>
    <col min="3" max="4" width="9.140625" style="159"/>
    <col min="5" max="5" width="10.28515625" style="159" bestFit="1" customWidth="1"/>
    <col min="6" max="6" width="10.28515625" style="159" customWidth="1"/>
    <col min="7" max="7" width="9.140625" style="159"/>
    <col min="8" max="8" width="10.5703125" style="159" customWidth="1"/>
    <col min="9" max="9" width="10.28515625" style="159" bestFit="1" customWidth="1"/>
    <col min="10" max="10" width="10.28515625" style="159" customWidth="1"/>
    <col min="11" max="11" width="9.140625" style="159"/>
    <col min="12" max="12" width="8.28515625" style="159" bestFit="1" customWidth="1"/>
    <col min="13" max="13" width="7.7109375" style="159" customWidth="1"/>
    <col min="14" max="16384" width="9.140625" style="159"/>
  </cols>
  <sheetData>
    <row r="1" spans="1:13" ht="18.75" x14ac:dyDescent="0.3">
      <c r="A1" s="157" t="str">
        <f>'Present and Proposed Rates'!A1</f>
        <v>Cumberland Valley Electric</v>
      </c>
    </row>
    <row r="2" spans="1:13" ht="18.75" x14ac:dyDescent="0.3">
      <c r="A2" s="100" t="s">
        <v>242</v>
      </c>
      <c r="I2" s="160"/>
      <c r="J2" s="160"/>
    </row>
    <row r="3" spans="1:13" ht="18.75" x14ac:dyDescent="0.3">
      <c r="A3" s="157" t="s">
        <v>124</v>
      </c>
    </row>
    <row r="4" spans="1:13" ht="13.5" thickBot="1" x14ac:dyDescent="0.25"/>
    <row r="5" spans="1:13" ht="21" customHeight="1" thickTop="1" x14ac:dyDescent="0.2">
      <c r="B5" s="161"/>
      <c r="C5" s="162" t="s">
        <v>99</v>
      </c>
      <c r="D5" s="431" t="s">
        <v>240</v>
      </c>
      <c r="E5" s="431"/>
      <c r="F5" s="431"/>
      <c r="G5" s="432"/>
      <c r="H5" s="433" t="s">
        <v>241</v>
      </c>
      <c r="I5" s="431"/>
      <c r="J5" s="431"/>
      <c r="K5" s="432"/>
      <c r="L5" s="433" t="s">
        <v>58</v>
      </c>
      <c r="M5" s="434"/>
    </row>
    <row r="6" spans="1:13" ht="23.25" customHeight="1" x14ac:dyDescent="0.2">
      <c r="B6" s="163" t="s">
        <v>109</v>
      </c>
      <c r="C6" s="164" t="s">
        <v>8</v>
      </c>
      <c r="D6" s="165" t="s">
        <v>107</v>
      </c>
      <c r="E6" s="165" t="s">
        <v>110</v>
      </c>
      <c r="F6" s="165" t="s">
        <v>239</v>
      </c>
      <c r="G6" s="165" t="s">
        <v>83</v>
      </c>
      <c r="H6" s="165" t="s">
        <v>111</v>
      </c>
      <c r="I6" s="165" t="s">
        <v>108</v>
      </c>
      <c r="J6" s="165" t="s">
        <v>239</v>
      </c>
      <c r="K6" s="165" t="s">
        <v>83</v>
      </c>
      <c r="L6" s="165" t="s">
        <v>62</v>
      </c>
      <c r="M6" s="166" t="s">
        <v>63</v>
      </c>
    </row>
    <row r="7" spans="1:13" s="167" customFormat="1" ht="18" customHeight="1" thickBot="1" x14ac:dyDescent="0.25">
      <c r="B7" s="168"/>
      <c r="C7" s="169"/>
      <c r="D7" s="170">
        <f>'Present and Proposed Rates'!H8</f>
        <v>17.62</v>
      </c>
      <c r="E7" s="187">
        <f>'Present and Proposed Rates'!H9</f>
        <v>9.6939999999999998E-2</v>
      </c>
      <c r="F7" s="187">
        <f>('R'!G19+'R'!G20)/'R'!D16</f>
        <v>2.582259268132072E-2</v>
      </c>
      <c r="G7" s="171"/>
      <c r="H7" s="170">
        <f>'Present and Proposed Rates'!I8</f>
        <v>25</v>
      </c>
      <c r="I7" s="187">
        <f>'Present and Proposed Rates'!I9</f>
        <v>9.5079999999999998E-2</v>
      </c>
      <c r="J7" s="187">
        <f>F7</f>
        <v>2.582259268132072E-2</v>
      </c>
      <c r="K7" s="169"/>
      <c r="L7" s="169"/>
      <c r="M7" s="172"/>
    </row>
    <row r="8" spans="1:13" ht="13.5" thickTop="1" x14ac:dyDescent="0.2">
      <c r="B8" s="173">
        <v>1</v>
      </c>
      <c r="C8" s="174">
        <v>0</v>
      </c>
      <c r="D8" s="175">
        <f>D$7</f>
        <v>17.62</v>
      </c>
      <c r="E8" s="176">
        <f>$E$7*C8</f>
        <v>0</v>
      </c>
      <c r="F8" s="176">
        <f>F$7*C8</f>
        <v>0</v>
      </c>
      <c r="G8" s="177">
        <f>E8+D8+F8</f>
        <v>17.62</v>
      </c>
      <c r="H8" s="178">
        <f>$H$7</f>
        <v>25</v>
      </c>
      <c r="I8" s="176">
        <f>$I$7*C8</f>
        <v>0</v>
      </c>
      <c r="J8" s="176">
        <f>J$7*C8</f>
        <v>0</v>
      </c>
      <c r="K8" s="179">
        <f>H8+I8+J8</f>
        <v>25</v>
      </c>
      <c r="L8" s="178">
        <f t="shared" ref="L8:L38" si="0">K8-G8</f>
        <v>7.379999999999999</v>
      </c>
      <c r="M8" s="180">
        <f t="shared" ref="M8:M38" si="1">L8/G8</f>
        <v>0.4188422247446083</v>
      </c>
    </row>
    <row r="9" spans="1:13" x14ac:dyDescent="0.2">
      <c r="B9" s="173">
        <v>2</v>
      </c>
      <c r="C9" s="174">
        <f t="shared" ref="C9:C38" si="2">C8+100</f>
        <v>100</v>
      </c>
      <c r="D9" s="175">
        <f t="shared" ref="D9:D12" si="3">D$7</f>
        <v>17.62</v>
      </c>
      <c r="E9" s="176">
        <f t="shared" ref="E9" si="4">$E$7*C9</f>
        <v>9.6939999999999991</v>
      </c>
      <c r="F9" s="176">
        <f t="shared" ref="F9:F38" si="5">F$7*C9</f>
        <v>2.5822592681320722</v>
      </c>
      <c r="G9" s="177">
        <f t="shared" ref="G9:G39" si="6">E9+D9+F9</f>
        <v>29.896259268132074</v>
      </c>
      <c r="H9" s="178">
        <f t="shared" ref="H9:H12" si="7">$H$7</f>
        <v>25</v>
      </c>
      <c r="I9" s="176">
        <f t="shared" ref="I9" si="8">$I$7*C9</f>
        <v>9.5079999999999991</v>
      </c>
      <c r="J9" s="176">
        <f t="shared" ref="J9:J38" si="9">J$7*C9</f>
        <v>2.5822592681320722</v>
      </c>
      <c r="K9" s="179">
        <f t="shared" ref="K9:K38" si="10">H9+I9+J9</f>
        <v>37.090259268132066</v>
      </c>
      <c r="L9" s="178">
        <f t="shared" si="0"/>
        <v>7.193999999999992</v>
      </c>
      <c r="M9" s="180">
        <f t="shared" si="1"/>
        <v>0.2406321117126663</v>
      </c>
    </row>
    <row r="10" spans="1:13" x14ac:dyDescent="0.2">
      <c r="B10" s="173">
        <v>2</v>
      </c>
      <c r="C10" s="174">
        <f t="shared" si="2"/>
        <v>200</v>
      </c>
      <c r="D10" s="175">
        <f t="shared" si="3"/>
        <v>17.62</v>
      </c>
      <c r="E10" s="176">
        <f t="shared" ref="E10:E12" si="11">$E$7*C10</f>
        <v>19.387999999999998</v>
      </c>
      <c r="F10" s="176">
        <f t="shared" si="5"/>
        <v>5.1645185362641444</v>
      </c>
      <c r="G10" s="177">
        <f t="shared" si="6"/>
        <v>42.172518536264143</v>
      </c>
      <c r="H10" s="178">
        <f t="shared" si="7"/>
        <v>25</v>
      </c>
      <c r="I10" s="176">
        <f t="shared" ref="I10:I12" si="12">$I$7*C10</f>
        <v>19.015999999999998</v>
      </c>
      <c r="J10" s="176">
        <f t="shared" si="9"/>
        <v>5.1645185362641444</v>
      </c>
      <c r="K10" s="179">
        <f t="shared" si="10"/>
        <v>49.180518536264145</v>
      </c>
      <c r="L10" s="178">
        <f t="shared" ref="L10:L12" si="13">K10-G10</f>
        <v>7.0080000000000027</v>
      </c>
      <c r="M10" s="180">
        <f t="shared" ref="M10:M12" si="14">L10/G10</f>
        <v>0.16617456683251736</v>
      </c>
    </row>
    <row r="11" spans="1:13" x14ac:dyDescent="0.2">
      <c r="B11" s="173">
        <v>3</v>
      </c>
      <c r="C11" s="174">
        <f t="shared" si="2"/>
        <v>300</v>
      </c>
      <c r="D11" s="175">
        <f t="shared" si="3"/>
        <v>17.62</v>
      </c>
      <c r="E11" s="176">
        <f t="shared" si="11"/>
        <v>29.082000000000001</v>
      </c>
      <c r="F11" s="176">
        <f t="shared" si="5"/>
        <v>7.7467778043962161</v>
      </c>
      <c r="G11" s="177">
        <f t="shared" si="6"/>
        <v>54.448777804396215</v>
      </c>
      <c r="H11" s="178">
        <f t="shared" si="7"/>
        <v>25</v>
      </c>
      <c r="I11" s="176">
        <f t="shared" si="12"/>
        <v>28.524000000000001</v>
      </c>
      <c r="J11" s="176">
        <f t="shared" si="9"/>
        <v>7.7467778043962161</v>
      </c>
      <c r="K11" s="179">
        <f t="shared" si="10"/>
        <v>61.270777804396218</v>
      </c>
      <c r="L11" s="178">
        <f t="shared" si="13"/>
        <v>6.8220000000000027</v>
      </c>
      <c r="M11" s="180">
        <f t="shared" si="14"/>
        <v>0.12529206852920749</v>
      </c>
    </row>
    <row r="12" spans="1:13" x14ac:dyDescent="0.2">
      <c r="B12" s="173">
        <v>4</v>
      </c>
      <c r="C12" s="174">
        <f t="shared" si="2"/>
        <v>400</v>
      </c>
      <c r="D12" s="175">
        <f t="shared" si="3"/>
        <v>17.62</v>
      </c>
      <c r="E12" s="176">
        <f t="shared" si="11"/>
        <v>38.775999999999996</v>
      </c>
      <c r="F12" s="176">
        <f t="shared" si="5"/>
        <v>10.329037072528289</v>
      </c>
      <c r="G12" s="177">
        <f t="shared" si="6"/>
        <v>66.725037072528295</v>
      </c>
      <c r="H12" s="178">
        <f t="shared" si="7"/>
        <v>25</v>
      </c>
      <c r="I12" s="176">
        <f t="shared" si="12"/>
        <v>38.031999999999996</v>
      </c>
      <c r="J12" s="176">
        <f t="shared" si="9"/>
        <v>10.329037072528289</v>
      </c>
      <c r="K12" s="179">
        <f t="shared" si="10"/>
        <v>73.361037072528291</v>
      </c>
      <c r="L12" s="178">
        <f t="shared" si="13"/>
        <v>6.6359999999999957</v>
      </c>
      <c r="M12" s="180">
        <f t="shared" si="14"/>
        <v>9.9452923387466155E-2</v>
      </c>
    </row>
    <row r="13" spans="1:13" x14ac:dyDescent="0.2">
      <c r="B13" s="173">
        <v>2</v>
      </c>
      <c r="C13" s="174">
        <f t="shared" si="2"/>
        <v>500</v>
      </c>
      <c r="D13" s="175">
        <f t="shared" ref="D13:D39" si="15">D$7</f>
        <v>17.62</v>
      </c>
      <c r="E13" s="176">
        <f t="shared" ref="E13:E38" si="16">$E$7*C13</f>
        <v>48.47</v>
      </c>
      <c r="F13" s="176">
        <f t="shared" si="5"/>
        <v>12.91129634066036</v>
      </c>
      <c r="G13" s="177">
        <f t="shared" si="6"/>
        <v>79.00129634066036</v>
      </c>
      <c r="H13" s="178">
        <f t="shared" ref="H13:H39" si="17">$H$7</f>
        <v>25</v>
      </c>
      <c r="I13" s="176">
        <f t="shared" ref="I13:I38" si="18">$I$7*C13</f>
        <v>47.54</v>
      </c>
      <c r="J13" s="176">
        <f t="shared" si="9"/>
        <v>12.91129634066036</v>
      </c>
      <c r="K13" s="179">
        <f t="shared" si="10"/>
        <v>85.451296340660349</v>
      </c>
      <c r="L13" s="178">
        <f t="shared" si="0"/>
        <v>6.4499999999999886</v>
      </c>
      <c r="M13" s="180">
        <f t="shared" si="1"/>
        <v>8.1644229889431638E-2</v>
      </c>
    </row>
    <row r="14" spans="1:13" x14ac:dyDescent="0.2">
      <c r="B14" s="173">
        <v>3</v>
      </c>
      <c r="C14" s="174">
        <f t="shared" si="2"/>
        <v>600</v>
      </c>
      <c r="D14" s="175">
        <f t="shared" si="15"/>
        <v>17.62</v>
      </c>
      <c r="E14" s="176">
        <f t="shared" si="16"/>
        <v>58.164000000000001</v>
      </c>
      <c r="F14" s="176">
        <f t="shared" si="5"/>
        <v>15.493555608792432</v>
      </c>
      <c r="G14" s="177">
        <f t="shared" si="6"/>
        <v>91.27755560879244</v>
      </c>
      <c r="H14" s="178">
        <f t="shared" si="17"/>
        <v>25</v>
      </c>
      <c r="I14" s="176">
        <f t="shared" si="18"/>
        <v>57.048000000000002</v>
      </c>
      <c r="J14" s="176">
        <f t="shared" si="9"/>
        <v>15.493555608792432</v>
      </c>
      <c r="K14" s="179">
        <f t="shared" si="10"/>
        <v>97.541555608792436</v>
      </c>
      <c r="L14" s="178">
        <f t="shared" si="0"/>
        <v>6.2639999999999958</v>
      </c>
      <c r="M14" s="180">
        <f t="shared" si="1"/>
        <v>6.8625851757544293E-2</v>
      </c>
    </row>
    <row r="15" spans="1:13" x14ac:dyDescent="0.2">
      <c r="B15" s="173">
        <v>4</v>
      </c>
      <c r="C15" s="174">
        <f t="shared" si="2"/>
        <v>700</v>
      </c>
      <c r="D15" s="175">
        <f t="shared" si="15"/>
        <v>17.62</v>
      </c>
      <c r="E15" s="176">
        <f t="shared" si="16"/>
        <v>67.858000000000004</v>
      </c>
      <c r="F15" s="176">
        <f t="shared" si="5"/>
        <v>18.075814876924504</v>
      </c>
      <c r="G15" s="177">
        <f t="shared" si="6"/>
        <v>103.55381487692452</v>
      </c>
      <c r="H15" s="178">
        <f t="shared" si="17"/>
        <v>25</v>
      </c>
      <c r="I15" s="176">
        <f t="shared" si="18"/>
        <v>66.555999999999997</v>
      </c>
      <c r="J15" s="176">
        <f t="shared" si="9"/>
        <v>18.075814876924504</v>
      </c>
      <c r="K15" s="179">
        <f t="shared" si="10"/>
        <v>109.63181487692449</v>
      </c>
      <c r="L15" s="178">
        <f t="shared" si="0"/>
        <v>6.0779999999999745</v>
      </c>
      <c r="M15" s="180">
        <f t="shared" si="1"/>
        <v>5.8694119644204144E-2</v>
      </c>
    </row>
    <row r="16" spans="1:13" x14ac:dyDescent="0.2">
      <c r="B16" s="173">
        <v>5</v>
      </c>
      <c r="C16" s="174">
        <f t="shared" si="2"/>
        <v>800</v>
      </c>
      <c r="D16" s="175">
        <f t="shared" si="15"/>
        <v>17.62</v>
      </c>
      <c r="E16" s="176">
        <f t="shared" si="16"/>
        <v>77.551999999999992</v>
      </c>
      <c r="F16" s="176">
        <f t="shared" si="5"/>
        <v>20.658074145056577</v>
      </c>
      <c r="G16" s="177">
        <f t="shared" si="6"/>
        <v>115.83007414505657</v>
      </c>
      <c r="H16" s="178">
        <f t="shared" si="17"/>
        <v>25</v>
      </c>
      <c r="I16" s="176">
        <f t="shared" si="18"/>
        <v>76.063999999999993</v>
      </c>
      <c r="J16" s="176">
        <f t="shared" si="9"/>
        <v>20.658074145056577</v>
      </c>
      <c r="K16" s="179">
        <f t="shared" si="10"/>
        <v>121.72207414505657</v>
      </c>
      <c r="L16" s="178">
        <f t="shared" si="0"/>
        <v>5.8919999999999959</v>
      </c>
      <c r="M16" s="180">
        <f t="shared" si="1"/>
        <v>5.08676183062899E-2</v>
      </c>
    </row>
    <row r="17" spans="2:13" x14ac:dyDescent="0.2">
      <c r="B17" s="173">
        <v>6</v>
      </c>
      <c r="C17" s="174">
        <f t="shared" si="2"/>
        <v>900</v>
      </c>
      <c r="D17" s="175">
        <f t="shared" si="15"/>
        <v>17.62</v>
      </c>
      <c r="E17" s="176">
        <f t="shared" si="16"/>
        <v>87.245999999999995</v>
      </c>
      <c r="F17" s="176">
        <f t="shared" si="5"/>
        <v>23.240333413188647</v>
      </c>
      <c r="G17" s="177">
        <f t="shared" si="6"/>
        <v>128.10633341318865</v>
      </c>
      <c r="H17" s="178">
        <f t="shared" si="17"/>
        <v>25</v>
      </c>
      <c r="I17" s="176">
        <f t="shared" si="18"/>
        <v>85.572000000000003</v>
      </c>
      <c r="J17" s="176">
        <f t="shared" si="9"/>
        <v>23.240333413188647</v>
      </c>
      <c r="K17" s="179">
        <f t="shared" si="10"/>
        <v>133.81233341318864</v>
      </c>
      <c r="L17" s="178">
        <f t="shared" si="0"/>
        <v>5.7059999999999889</v>
      </c>
      <c r="M17" s="180">
        <f t="shared" si="1"/>
        <v>4.4541123361919212E-2</v>
      </c>
    </row>
    <row r="18" spans="2:13" x14ac:dyDescent="0.2">
      <c r="B18" s="173">
        <v>7</v>
      </c>
      <c r="C18" s="174">
        <f t="shared" si="2"/>
        <v>1000</v>
      </c>
      <c r="D18" s="175">
        <f t="shared" si="15"/>
        <v>17.62</v>
      </c>
      <c r="E18" s="176">
        <f t="shared" si="16"/>
        <v>96.94</v>
      </c>
      <c r="F18" s="176">
        <f t="shared" si="5"/>
        <v>25.822592681320721</v>
      </c>
      <c r="G18" s="177">
        <f t="shared" si="6"/>
        <v>140.38259268132072</v>
      </c>
      <c r="H18" s="178">
        <f t="shared" si="17"/>
        <v>25</v>
      </c>
      <c r="I18" s="176">
        <f t="shared" si="18"/>
        <v>95.08</v>
      </c>
      <c r="J18" s="176">
        <f t="shared" si="9"/>
        <v>25.822592681320721</v>
      </c>
      <c r="K18" s="179">
        <f t="shared" si="10"/>
        <v>145.90259268132073</v>
      </c>
      <c r="L18" s="178">
        <f t="shared" si="0"/>
        <v>5.5200000000000102</v>
      </c>
      <c r="M18" s="180">
        <f t="shared" si="1"/>
        <v>3.9321114495518936E-2</v>
      </c>
    </row>
    <row r="19" spans="2:13" x14ac:dyDescent="0.2">
      <c r="B19" s="173">
        <v>8</v>
      </c>
      <c r="C19" s="174">
        <f t="shared" si="2"/>
        <v>1100</v>
      </c>
      <c r="D19" s="175">
        <f t="shared" si="15"/>
        <v>17.62</v>
      </c>
      <c r="E19" s="176">
        <f t="shared" si="16"/>
        <v>106.634</v>
      </c>
      <c r="F19" s="176">
        <f t="shared" si="5"/>
        <v>28.404851949452791</v>
      </c>
      <c r="G19" s="177">
        <f t="shared" si="6"/>
        <v>152.65885194945281</v>
      </c>
      <c r="H19" s="178">
        <f t="shared" si="17"/>
        <v>25</v>
      </c>
      <c r="I19" s="176">
        <f t="shared" si="18"/>
        <v>104.58799999999999</v>
      </c>
      <c r="J19" s="176">
        <f t="shared" si="9"/>
        <v>28.404851949452791</v>
      </c>
      <c r="K19" s="179">
        <f t="shared" si="10"/>
        <v>157.99285194945278</v>
      </c>
      <c r="L19" s="178">
        <f t="shared" si="0"/>
        <v>5.3339999999999748</v>
      </c>
      <c r="M19" s="180">
        <f t="shared" si="1"/>
        <v>3.4940653174610058E-2</v>
      </c>
    </row>
    <row r="20" spans="2:13" x14ac:dyDescent="0.2">
      <c r="B20" s="173">
        <v>9</v>
      </c>
      <c r="C20" s="174">
        <f t="shared" si="2"/>
        <v>1200</v>
      </c>
      <c r="D20" s="175">
        <f t="shared" si="15"/>
        <v>17.62</v>
      </c>
      <c r="E20" s="176">
        <f t="shared" si="16"/>
        <v>116.328</v>
      </c>
      <c r="F20" s="176">
        <f t="shared" si="5"/>
        <v>30.987111217584864</v>
      </c>
      <c r="G20" s="177">
        <f t="shared" si="6"/>
        <v>164.93511121758488</v>
      </c>
      <c r="H20" s="178">
        <f t="shared" si="17"/>
        <v>25</v>
      </c>
      <c r="I20" s="176">
        <f t="shared" si="18"/>
        <v>114.096</v>
      </c>
      <c r="J20" s="176">
        <f t="shared" si="9"/>
        <v>30.987111217584864</v>
      </c>
      <c r="K20" s="179">
        <f t="shared" si="10"/>
        <v>170.08311121758487</v>
      </c>
      <c r="L20" s="178">
        <f t="shared" si="0"/>
        <v>5.1479999999999961</v>
      </c>
      <c r="M20" s="180">
        <f t="shared" si="1"/>
        <v>3.1212274706073209E-2</v>
      </c>
    </row>
    <row r="21" spans="2:13" x14ac:dyDescent="0.2">
      <c r="B21" s="173">
        <v>10</v>
      </c>
      <c r="C21" s="174">
        <f t="shared" si="2"/>
        <v>1300</v>
      </c>
      <c r="D21" s="175">
        <f t="shared" si="15"/>
        <v>17.62</v>
      </c>
      <c r="E21" s="176">
        <f t="shared" si="16"/>
        <v>126.02199999999999</v>
      </c>
      <c r="F21" s="176">
        <f t="shared" si="5"/>
        <v>33.569370485716938</v>
      </c>
      <c r="G21" s="177">
        <f t="shared" si="6"/>
        <v>177.21137048571694</v>
      </c>
      <c r="H21" s="178">
        <f t="shared" si="17"/>
        <v>25</v>
      </c>
      <c r="I21" s="176">
        <f t="shared" si="18"/>
        <v>123.604</v>
      </c>
      <c r="J21" s="176">
        <f t="shared" si="9"/>
        <v>33.569370485716938</v>
      </c>
      <c r="K21" s="179">
        <f t="shared" si="10"/>
        <v>182.17337048571693</v>
      </c>
      <c r="L21" s="178">
        <f t="shared" si="0"/>
        <v>4.9619999999999891</v>
      </c>
      <c r="M21" s="180">
        <f t="shared" si="1"/>
        <v>2.8000460616041122E-2</v>
      </c>
    </row>
    <row r="22" spans="2:13" x14ac:dyDescent="0.2">
      <c r="B22" s="173">
        <v>11</v>
      </c>
      <c r="C22" s="174">
        <f t="shared" si="2"/>
        <v>1400</v>
      </c>
      <c r="D22" s="175">
        <f t="shared" si="15"/>
        <v>17.62</v>
      </c>
      <c r="E22" s="176">
        <f t="shared" si="16"/>
        <v>135.71600000000001</v>
      </c>
      <c r="F22" s="176">
        <f t="shared" si="5"/>
        <v>36.151629753849008</v>
      </c>
      <c r="G22" s="177">
        <f t="shared" si="6"/>
        <v>189.48762975384903</v>
      </c>
      <c r="H22" s="178">
        <f t="shared" si="17"/>
        <v>25</v>
      </c>
      <c r="I22" s="176">
        <f t="shared" si="18"/>
        <v>133.11199999999999</v>
      </c>
      <c r="J22" s="176">
        <f t="shared" si="9"/>
        <v>36.151629753849008</v>
      </c>
      <c r="K22" s="179">
        <f t="shared" si="10"/>
        <v>194.26362975384899</v>
      </c>
      <c r="L22" s="178">
        <f t="shared" si="0"/>
        <v>4.7759999999999536</v>
      </c>
      <c r="M22" s="180">
        <f t="shared" si="1"/>
        <v>2.5204811555266916E-2</v>
      </c>
    </row>
    <row r="23" spans="2:13" x14ac:dyDescent="0.2">
      <c r="B23" s="173">
        <v>12</v>
      </c>
      <c r="C23" s="174">
        <f t="shared" si="2"/>
        <v>1500</v>
      </c>
      <c r="D23" s="175">
        <f t="shared" si="15"/>
        <v>17.62</v>
      </c>
      <c r="E23" s="176">
        <f t="shared" si="16"/>
        <v>145.41</v>
      </c>
      <c r="F23" s="176">
        <f t="shared" si="5"/>
        <v>38.733889021981078</v>
      </c>
      <c r="G23" s="177">
        <f t="shared" si="6"/>
        <v>201.76388902198107</v>
      </c>
      <c r="H23" s="178">
        <f t="shared" si="17"/>
        <v>25</v>
      </c>
      <c r="I23" s="176">
        <f t="shared" si="18"/>
        <v>142.62</v>
      </c>
      <c r="J23" s="176">
        <f t="shared" si="9"/>
        <v>38.733889021981078</v>
      </c>
      <c r="K23" s="179">
        <f t="shared" si="10"/>
        <v>206.35388902198108</v>
      </c>
      <c r="L23" s="178">
        <f t="shared" si="0"/>
        <v>4.5900000000000034</v>
      </c>
      <c r="M23" s="180">
        <f t="shared" si="1"/>
        <v>2.2749363239622865E-2</v>
      </c>
    </row>
    <row r="24" spans="2:13" x14ac:dyDescent="0.2">
      <c r="B24" s="173">
        <v>13</v>
      </c>
      <c r="C24" s="174">
        <f t="shared" si="2"/>
        <v>1600</v>
      </c>
      <c r="D24" s="175">
        <f t="shared" si="15"/>
        <v>17.62</v>
      </c>
      <c r="E24" s="176">
        <f t="shared" si="16"/>
        <v>155.10399999999998</v>
      </c>
      <c r="F24" s="176">
        <f t="shared" si="5"/>
        <v>41.316148290113155</v>
      </c>
      <c r="G24" s="177">
        <f t="shared" si="6"/>
        <v>214.04014829011314</v>
      </c>
      <c r="H24" s="178">
        <f t="shared" si="17"/>
        <v>25</v>
      </c>
      <c r="I24" s="176">
        <f t="shared" si="18"/>
        <v>152.12799999999999</v>
      </c>
      <c r="J24" s="176">
        <f t="shared" si="9"/>
        <v>41.316148290113155</v>
      </c>
      <c r="K24" s="179">
        <f t="shared" si="10"/>
        <v>218.44414829011313</v>
      </c>
      <c r="L24" s="178">
        <f t="shared" si="0"/>
        <v>4.4039999999999964</v>
      </c>
      <c r="M24" s="180">
        <f t="shared" si="1"/>
        <v>2.0575579091969002E-2</v>
      </c>
    </row>
    <row r="25" spans="2:13" x14ac:dyDescent="0.2">
      <c r="B25" s="173">
        <v>14</v>
      </c>
      <c r="C25" s="174">
        <f t="shared" si="2"/>
        <v>1700</v>
      </c>
      <c r="D25" s="175">
        <f t="shared" si="15"/>
        <v>17.62</v>
      </c>
      <c r="E25" s="176">
        <f t="shared" si="16"/>
        <v>164.798</v>
      </c>
      <c r="F25" s="176">
        <f t="shared" si="5"/>
        <v>43.898407558245225</v>
      </c>
      <c r="G25" s="177">
        <f t="shared" si="6"/>
        <v>226.31640755824523</v>
      </c>
      <c r="H25" s="178">
        <f t="shared" si="17"/>
        <v>25</v>
      </c>
      <c r="I25" s="176">
        <f t="shared" si="18"/>
        <v>161.636</v>
      </c>
      <c r="J25" s="176">
        <f t="shared" si="9"/>
        <v>43.898407558245225</v>
      </c>
      <c r="K25" s="179">
        <f t="shared" si="10"/>
        <v>230.53440755824522</v>
      </c>
      <c r="L25" s="178">
        <f t="shared" si="0"/>
        <v>4.2179999999999893</v>
      </c>
      <c r="M25" s="180">
        <f t="shared" si="1"/>
        <v>1.8637623517925615E-2</v>
      </c>
    </row>
    <row r="26" spans="2:13" x14ac:dyDescent="0.2">
      <c r="B26" s="173">
        <v>15</v>
      </c>
      <c r="C26" s="174">
        <f t="shared" si="2"/>
        <v>1800</v>
      </c>
      <c r="D26" s="175">
        <f t="shared" si="15"/>
        <v>17.62</v>
      </c>
      <c r="E26" s="176">
        <f t="shared" si="16"/>
        <v>174.49199999999999</v>
      </c>
      <c r="F26" s="176">
        <f t="shared" si="5"/>
        <v>46.480666826377295</v>
      </c>
      <c r="G26" s="177">
        <f t="shared" si="6"/>
        <v>238.5926668263773</v>
      </c>
      <c r="H26" s="178">
        <f t="shared" si="17"/>
        <v>25</v>
      </c>
      <c r="I26" s="176">
        <f t="shared" si="18"/>
        <v>171.14400000000001</v>
      </c>
      <c r="J26" s="176">
        <f t="shared" si="9"/>
        <v>46.480666826377295</v>
      </c>
      <c r="K26" s="179">
        <f t="shared" si="10"/>
        <v>242.62466682637731</v>
      </c>
      <c r="L26" s="178">
        <f t="shared" si="0"/>
        <v>4.0320000000000107</v>
      </c>
      <c r="M26" s="180">
        <f t="shared" si="1"/>
        <v>1.6899094400642568E-2</v>
      </c>
    </row>
    <row r="27" spans="2:13" x14ac:dyDescent="0.2">
      <c r="B27" s="173">
        <v>16</v>
      </c>
      <c r="C27" s="174">
        <f t="shared" si="2"/>
        <v>1900</v>
      </c>
      <c r="D27" s="175">
        <f t="shared" si="15"/>
        <v>17.62</v>
      </c>
      <c r="E27" s="176">
        <f t="shared" si="16"/>
        <v>184.18600000000001</v>
      </c>
      <c r="F27" s="176">
        <f t="shared" si="5"/>
        <v>49.062926094509372</v>
      </c>
      <c r="G27" s="177">
        <f t="shared" si="6"/>
        <v>250.86892609450939</v>
      </c>
      <c r="H27" s="178">
        <f t="shared" si="17"/>
        <v>25</v>
      </c>
      <c r="I27" s="176">
        <f t="shared" si="18"/>
        <v>180.65199999999999</v>
      </c>
      <c r="J27" s="176">
        <f t="shared" si="9"/>
        <v>49.062926094509372</v>
      </c>
      <c r="K27" s="179">
        <f t="shared" si="10"/>
        <v>254.71492609450937</v>
      </c>
      <c r="L27" s="178">
        <f t="shared" si="0"/>
        <v>3.8459999999999752</v>
      </c>
      <c r="M27" s="180">
        <f t="shared" si="1"/>
        <v>1.5330714966871101E-2</v>
      </c>
    </row>
    <row r="28" spans="2:13" x14ac:dyDescent="0.2">
      <c r="B28" s="173">
        <v>17</v>
      </c>
      <c r="C28" s="174">
        <f t="shared" si="2"/>
        <v>2000</v>
      </c>
      <c r="D28" s="175">
        <f t="shared" si="15"/>
        <v>17.62</v>
      </c>
      <c r="E28" s="176">
        <f t="shared" si="16"/>
        <v>193.88</v>
      </c>
      <c r="F28" s="176">
        <f t="shared" si="5"/>
        <v>51.645185362641442</v>
      </c>
      <c r="G28" s="177">
        <f t="shared" si="6"/>
        <v>263.14518536264143</v>
      </c>
      <c r="H28" s="178">
        <f t="shared" si="17"/>
        <v>25</v>
      </c>
      <c r="I28" s="176">
        <f t="shared" si="18"/>
        <v>190.16</v>
      </c>
      <c r="J28" s="176">
        <f t="shared" si="9"/>
        <v>51.645185362641442</v>
      </c>
      <c r="K28" s="179">
        <f t="shared" si="10"/>
        <v>266.80518536264145</v>
      </c>
      <c r="L28" s="178">
        <f t="shared" si="0"/>
        <v>3.660000000000025</v>
      </c>
      <c r="M28" s="180">
        <f t="shared" si="1"/>
        <v>1.390867172795187E-2</v>
      </c>
    </row>
    <row r="29" spans="2:13" x14ac:dyDescent="0.2">
      <c r="B29" s="173">
        <v>18</v>
      </c>
      <c r="C29" s="174">
        <f t="shared" si="2"/>
        <v>2100</v>
      </c>
      <c r="D29" s="175">
        <f t="shared" si="15"/>
        <v>17.62</v>
      </c>
      <c r="E29" s="176">
        <f t="shared" si="16"/>
        <v>203.57399999999998</v>
      </c>
      <c r="F29" s="176">
        <f t="shared" si="5"/>
        <v>54.227444630773512</v>
      </c>
      <c r="G29" s="177">
        <f t="shared" si="6"/>
        <v>275.42144463077352</v>
      </c>
      <c r="H29" s="178">
        <f t="shared" si="17"/>
        <v>25</v>
      </c>
      <c r="I29" s="176">
        <f t="shared" si="18"/>
        <v>199.66800000000001</v>
      </c>
      <c r="J29" s="176">
        <f t="shared" si="9"/>
        <v>54.227444630773512</v>
      </c>
      <c r="K29" s="179">
        <f t="shared" si="10"/>
        <v>278.89544463077351</v>
      </c>
      <c r="L29" s="178">
        <f t="shared" si="0"/>
        <v>3.4739999999999895</v>
      </c>
      <c r="M29" s="180">
        <f t="shared" si="1"/>
        <v>1.2613396914888707E-2</v>
      </c>
    </row>
    <row r="30" spans="2:13" x14ac:dyDescent="0.2">
      <c r="B30" s="173">
        <v>19</v>
      </c>
      <c r="C30" s="174">
        <f t="shared" si="2"/>
        <v>2200</v>
      </c>
      <c r="D30" s="175">
        <f t="shared" si="15"/>
        <v>17.62</v>
      </c>
      <c r="E30" s="176">
        <f t="shared" si="16"/>
        <v>213.268</v>
      </c>
      <c r="F30" s="176">
        <f t="shared" si="5"/>
        <v>56.809703898905582</v>
      </c>
      <c r="G30" s="177">
        <f t="shared" si="6"/>
        <v>287.69770389890562</v>
      </c>
      <c r="H30" s="178">
        <f t="shared" si="17"/>
        <v>25</v>
      </c>
      <c r="I30" s="176">
        <f t="shared" si="18"/>
        <v>209.17599999999999</v>
      </c>
      <c r="J30" s="176">
        <f t="shared" si="9"/>
        <v>56.809703898905582</v>
      </c>
      <c r="K30" s="179">
        <f t="shared" si="10"/>
        <v>290.98570389890557</v>
      </c>
      <c r="L30" s="178">
        <f t="shared" si="0"/>
        <v>3.2879999999999541</v>
      </c>
      <c r="M30" s="180">
        <f t="shared" si="1"/>
        <v>1.1428662639432562E-2</v>
      </c>
    </row>
    <row r="31" spans="2:13" x14ac:dyDescent="0.2">
      <c r="B31" s="173">
        <v>20</v>
      </c>
      <c r="C31" s="174">
        <f t="shared" si="2"/>
        <v>2300</v>
      </c>
      <c r="D31" s="175">
        <f t="shared" si="15"/>
        <v>17.62</v>
      </c>
      <c r="E31" s="176">
        <f t="shared" si="16"/>
        <v>222.96199999999999</v>
      </c>
      <c r="F31" s="176">
        <f t="shared" si="5"/>
        <v>59.391963167037659</v>
      </c>
      <c r="G31" s="177">
        <f t="shared" si="6"/>
        <v>299.97396316703765</v>
      </c>
      <c r="H31" s="178">
        <f t="shared" si="17"/>
        <v>25</v>
      </c>
      <c r="I31" s="176">
        <f t="shared" si="18"/>
        <v>218.684</v>
      </c>
      <c r="J31" s="176">
        <f t="shared" si="9"/>
        <v>59.391963167037659</v>
      </c>
      <c r="K31" s="179">
        <f t="shared" si="10"/>
        <v>303.07596316703768</v>
      </c>
      <c r="L31" s="178">
        <f t="shared" si="0"/>
        <v>3.1020000000000323</v>
      </c>
      <c r="M31" s="180">
        <f t="shared" si="1"/>
        <v>1.034089748073473E-2</v>
      </c>
    </row>
    <row r="32" spans="2:13" x14ac:dyDescent="0.2">
      <c r="B32" s="173">
        <v>21</v>
      </c>
      <c r="C32" s="174">
        <f t="shared" si="2"/>
        <v>2400</v>
      </c>
      <c r="D32" s="175">
        <f t="shared" si="15"/>
        <v>17.62</v>
      </c>
      <c r="E32" s="176">
        <f t="shared" si="16"/>
        <v>232.65600000000001</v>
      </c>
      <c r="F32" s="176">
        <f t="shared" si="5"/>
        <v>61.974222435169729</v>
      </c>
      <c r="G32" s="177">
        <f t="shared" si="6"/>
        <v>312.25022243516975</v>
      </c>
      <c r="H32" s="178">
        <f t="shared" si="17"/>
        <v>25</v>
      </c>
      <c r="I32" s="176">
        <f t="shared" si="18"/>
        <v>228.19200000000001</v>
      </c>
      <c r="J32" s="176">
        <f t="shared" si="9"/>
        <v>61.974222435169729</v>
      </c>
      <c r="K32" s="179">
        <f t="shared" si="10"/>
        <v>315.16622243516974</v>
      </c>
      <c r="L32" s="178">
        <f t="shared" si="0"/>
        <v>2.9159999999999968</v>
      </c>
      <c r="M32" s="180">
        <f t="shared" si="1"/>
        <v>9.3386642842357773E-3</v>
      </c>
    </row>
    <row r="33" spans="2:13" x14ac:dyDescent="0.2">
      <c r="B33" s="173">
        <v>22</v>
      </c>
      <c r="C33" s="174">
        <f t="shared" si="2"/>
        <v>2500</v>
      </c>
      <c r="D33" s="175">
        <f t="shared" si="15"/>
        <v>17.62</v>
      </c>
      <c r="E33" s="176">
        <f t="shared" si="16"/>
        <v>242.35</v>
      </c>
      <c r="F33" s="176">
        <f t="shared" si="5"/>
        <v>64.556481703301799</v>
      </c>
      <c r="G33" s="177">
        <f t="shared" si="6"/>
        <v>324.52648170330178</v>
      </c>
      <c r="H33" s="178">
        <f t="shared" si="17"/>
        <v>25</v>
      </c>
      <c r="I33" s="176">
        <f t="shared" si="18"/>
        <v>237.7</v>
      </c>
      <c r="J33" s="176">
        <f t="shared" si="9"/>
        <v>64.556481703301799</v>
      </c>
      <c r="K33" s="179">
        <f t="shared" si="10"/>
        <v>327.2564817033018</v>
      </c>
      <c r="L33" s="178">
        <f t="shared" si="0"/>
        <v>2.7300000000000182</v>
      </c>
      <c r="M33" s="180">
        <f t="shared" si="1"/>
        <v>8.4122564841901549E-3</v>
      </c>
    </row>
    <row r="34" spans="2:13" x14ac:dyDescent="0.2">
      <c r="B34" s="173">
        <v>23</v>
      </c>
      <c r="C34" s="174">
        <f t="shared" si="2"/>
        <v>2600</v>
      </c>
      <c r="D34" s="175">
        <f t="shared" si="15"/>
        <v>17.62</v>
      </c>
      <c r="E34" s="176">
        <f t="shared" si="16"/>
        <v>252.04399999999998</v>
      </c>
      <c r="F34" s="176">
        <f t="shared" si="5"/>
        <v>67.138740971433876</v>
      </c>
      <c r="G34" s="177">
        <f t="shared" si="6"/>
        <v>336.80274097143388</v>
      </c>
      <c r="H34" s="178">
        <f t="shared" si="17"/>
        <v>25</v>
      </c>
      <c r="I34" s="176">
        <f t="shared" si="18"/>
        <v>247.208</v>
      </c>
      <c r="J34" s="176">
        <f t="shared" si="9"/>
        <v>67.138740971433876</v>
      </c>
      <c r="K34" s="179">
        <f t="shared" si="10"/>
        <v>339.34674097143386</v>
      </c>
      <c r="L34" s="178">
        <f t="shared" si="0"/>
        <v>2.5439999999999827</v>
      </c>
      <c r="M34" s="180">
        <f t="shared" si="1"/>
        <v>7.5533827090075662E-3</v>
      </c>
    </row>
    <row r="35" spans="2:13" x14ac:dyDescent="0.2">
      <c r="B35" s="173">
        <v>24</v>
      </c>
      <c r="C35" s="174">
        <f t="shared" si="2"/>
        <v>2700</v>
      </c>
      <c r="D35" s="175">
        <f t="shared" si="15"/>
        <v>17.62</v>
      </c>
      <c r="E35" s="176">
        <f t="shared" si="16"/>
        <v>261.738</v>
      </c>
      <c r="F35" s="176">
        <f t="shared" si="5"/>
        <v>69.721000239565939</v>
      </c>
      <c r="G35" s="177">
        <f t="shared" si="6"/>
        <v>349.07900023956597</v>
      </c>
      <c r="H35" s="178">
        <f t="shared" si="17"/>
        <v>25</v>
      </c>
      <c r="I35" s="176">
        <f t="shared" si="18"/>
        <v>256.71600000000001</v>
      </c>
      <c r="J35" s="176">
        <f t="shared" si="9"/>
        <v>69.721000239565939</v>
      </c>
      <c r="K35" s="179">
        <f t="shared" si="10"/>
        <v>351.43700023956592</v>
      </c>
      <c r="L35" s="178">
        <f t="shared" si="0"/>
        <v>2.3579999999999472</v>
      </c>
      <c r="M35" s="180">
        <f t="shared" si="1"/>
        <v>6.7549179365750988E-3</v>
      </c>
    </row>
    <row r="36" spans="2:13" x14ac:dyDescent="0.2">
      <c r="B36" s="173">
        <v>25</v>
      </c>
      <c r="C36" s="174">
        <f t="shared" si="2"/>
        <v>2800</v>
      </c>
      <c r="D36" s="175">
        <f t="shared" si="15"/>
        <v>17.62</v>
      </c>
      <c r="E36" s="176">
        <f t="shared" si="16"/>
        <v>271.43200000000002</v>
      </c>
      <c r="F36" s="176">
        <f t="shared" si="5"/>
        <v>72.303259507698016</v>
      </c>
      <c r="G36" s="177">
        <f t="shared" si="6"/>
        <v>361.35525950769807</v>
      </c>
      <c r="H36" s="178">
        <f t="shared" si="17"/>
        <v>25</v>
      </c>
      <c r="I36" s="176">
        <f t="shared" si="18"/>
        <v>266.22399999999999</v>
      </c>
      <c r="J36" s="176">
        <f t="shared" si="9"/>
        <v>72.303259507698016</v>
      </c>
      <c r="K36" s="179">
        <f t="shared" si="10"/>
        <v>363.52725950769798</v>
      </c>
      <c r="L36" s="178">
        <f t="shared" si="0"/>
        <v>2.1719999999999118</v>
      </c>
      <c r="M36" s="180">
        <f t="shared" si="1"/>
        <v>6.010705373318749E-3</v>
      </c>
    </row>
    <row r="37" spans="2:13" x14ac:dyDescent="0.2">
      <c r="B37" s="173">
        <v>26</v>
      </c>
      <c r="C37" s="174">
        <f t="shared" si="2"/>
        <v>2900</v>
      </c>
      <c r="D37" s="175">
        <f t="shared" si="15"/>
        <v>17.62</v>
      </c>
      <c r="E37" s="176">
        <f t="shared" si="16"/>
        <v>281.12599999999998</v>
      </c>
      <c r="F37" s="176">
        <f t="shared" si="5"/>
        <v>74.885518775830093</v>
      </c>
      <c r="G37" s="177">
        <f t="shared" si="6"/>
        <v>373.63151877583005</v>
      </c>
      <c r="H37" s="178">
        <f t="shared" si="17"/>
        <v>25</v>
      </c>
      <c r="I37" s="176">
        <f t="shared" si="18"/>
        <v>275.73199999999997</v>
      </c>
      <c r="J37" s="176">
        <f t="shared" si="9"/>
        <v>74.885518775830093</v>
      </c>
      <c r="K37" s="179">
        <f t="shared" si="10"/>
        <v>375.61751877583004</v>
      </c>
      <c r="L37" s="178">
        <f t="shared" si="0"/>
        <v>1.98599999999999</v>
      </c>
      <c r="M37" s="180">
        <f t="shared" si="1"/>
        <v>5.3153973907419261E-3</v>
      </c>
    </row>
    <row r="38" spans="2:13" ht="13.5" thickBot="1" x14ac:dyDescent="0.25">
      <c r="B38" s="181">
        <v>27</v>
      </c>
      <c r="C38" s="186">
        <f t="shared" si="2"/>
        <v>3000</v>
      </c>
      <c r="D38" s="182">
        <f t="shared" si="15"/>
        <v>17.62</v>
      </c>
      <c r="E38" s="183">
        <f t="shared" si="16"/>
        <v>290.82</v>
      </c>
      <c r="F38" s="176">
        <f t="shared" si="5"/>
        <v>77.467778043962156</v>
      </c>
      <c r="G38" s="177">
        <f t="shared" si="6"/>
        <v>385.90777804396214</v>
      </c>
      <c r="H38" s="184">
        <f t="shared" si="17"/>
        <v>25</v>
      </c>
      <c r="I38" s="183">
        <f t="shared" si="18"/>
        <v>285.24</v>
      </c>
      <c r="J38" s="176">
        <f t="shared" si="9"/>
        <v>77.467778043962156</v>
      </c>
      <c r="K38" s="179">
        <f t="shared" si="10"/>
        <v>387.70777804396215</v>
      </c>
      <c r="L38" s="184">
        <f t="shared" si="0"/>
        <v>1.8000000000000114</v>
      </c>
      <c r="M38" s="185">
        <f t="shared" si="1"/>
        <v>4.6643268221325087E-3</v>
      </c>
    </row>
    <row r="39" spans="2:13" s="250" customFormat="1" ht="21.75" customHeight="1" thickTop="1" thickBot="1" x14ac:dyDescent="0.25">
      <c r="B39" s="251" t="s">
        <v>205</v>
      </c>
      <c r="C39" s="252">
        <f>'R'!D16/('R'!D11+'R'!D12)</f>
        <v>994.66784188984786</v>
      </c>
      <c r="D39" s="253">
        <f t="shared" si="15"/>
        <v>17.62</v>
      </c>
      <c r="E39" s="254">
        <f t="shared" ref="E39" si="19">$E$7*C39</f>
        <v>96.423100592801845</v>
      </c>
      <c r="F39" s="254">
        <f t="shared" ref="F39" si="20">F$7*C39</f>
        <v>25.684902534329861</v>
      </c>
      <c r="G39" s="255">
        <f t="shared" ref="G39" si="21">E39+D39+F39</f>
        <v>139.7280031271317</v>
      </c>
      <c r="H39" s="256">
        <f t="shared" si="17"/>
        <v>25</v>
      </c>
      <c r="I39" s="254">
        <f t="shared" ref="I39" si="22">$I$7*C39</f>
        <v>94.573018406886732</v>
      </c>
      <c r="J39" s="254">
        <f t="shared" ref="J39" si="23">J$7*C39</f>
        <v>25.684902534329861</v>
      </c>
      <c r="K39" s="257">
        <f t="shared" ref="K39" si="24">H39+I39+J39</f>
        <v>145.25792094121658</v>
      </c>
      <c r="L39" s="256">
        <f t="shared" ref="L39" si="25">K39-G39</f>
        <v>5.5299178140848824</v>
      </c>
      <c r="M39" s="258">
        <f t="shared" ref="M39" si="26">L39/G39</f>
        <v>3.9576303177062365E-2</v>
      </c>
    </row>
    <row r="40" spans="2:13" ht="13.5" thickTop="1" x14ac:dyDescent="0.2"/>
  </sheetData>
  <mergeCells count="3">
    <mergeCell ref="D5:G5"/>
    <mergeCell ref="H5:K5"/>
    <mergeCell ref="L5:M5"/>
  </mergeCells>
  <printOptions horizontalCentered="1"/>
  <pageMargins left="1" right="0.75" top="0.75" bottom="0.75" header="0.3" footer="0.3"/>
  <pageSetup scale="77" fitToHeight="2" orientation="portrait" r:id="rId1"/>
  <headerFooter>
    <oddFooter>&amp;RExhibit JW-9
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2:AF306"/>
  <sheetViews>
    <sheetView topLeftCell="A218" zoomScale="75" zoomScaleNormal="75" workbookViewId="0">
      <selection activeCell="P247" sqref="P247"/>
    </sheetView>
  </sheetViews>
  <sheetFormatPr defaultRowHeight="12.75" x14ac:dyDescent="0.2"/>
  <cols>
    <col min="1" max="1" width="26.28515625" bestFit="1" customWidth="1"/>
    <col min="3" max="3" width="12" bestFit="1" customWidth="1"/>
    <col min="4" max="4" width="15.42578125" bestFit="1" customWidth="1"/>
    <col min="5" max="5" width="12.7109375" bestFit="1" customWidth="1"/>
    <col min="6" max="6" width="12.5703125" bestFit="1" customWidth="1"/>
    <col min="7" max="7" width="13.85546875" bestFit="1" customWidth="1"/>
    <col min="8" max="8" width="12.85546875" customWidth="1"/>
    <col min="9" max="9" width="12" customWidth="1"/>
    <col min="10" max="10" width="14" bestFit="1" customWidth="1"/>
    <col min="11" max="11" width="10.5703125" bestFit="1" customWidth="1"/>
    <col min="12" max="12" width="14.85546875" customWidth="1"/>
    <col min="13" max="13" width="12.7109375" bestFit="1" customWidth="1"/>
    <col min="14" max="14" width="12.5703125" bestFit="1" customWidth="1"/>
    <col min="15" max="15" width="12.140625" bestFit="1" customWidth="1"/>
    <col min="16" max="16" width="12.5703125" bestFit="1" customWidth="1"/>
    <col min="17" max="17" width="10.5703125" bestFit="1" customWidth="1"/>
    <col min="18" max="18" width="12.5703125" customWidth="1"/>
    <col min="21" max="21" width="15.5703125" customWidth="1"/>
    <col min="22" max="22" width="11.5703125" bestFit="1" customWidth="1"/>
    <col min="23" max="23" width="12.7109375" bestFit="1" customWidth="1"/>
    <col min="24" max="24" width="14.85546875" bestFit="1" customWidth="1"/>
    <col min="26" max="26" width="12.42578125" customWidth="1"/>
    <col min="27" max="27" width="11.42578125" customWidth="1"/>
    <col min="30" max="30" width="12.7109375" bestFit="1" customWidth="1"/>
    <col min="31" max="31" width="12.7109375" customWidth="1"/>
    <col min="257" max="257" width="26.28515625" bestFit="1" customWidth="1"/>
    <col min="259" max="259" width="12" bestFit="1" customWidth="1"/>
    <col min="260" max="260" width="11.140625" bestFit="1" customWidth="1"/>
    <col min="263" max="263" width="10.140625" bestFit="1" customWidth="1"/>
    <col min="513" max="513" width="26.28515625" bestFit="1" customWidth="1"/>
    <col min="515" max="515" width="12" bestFit="1" customWidth="1"/>
    <col min="516" max="516" width="11.140625" bestFit="1" customWidth="1"/>
    <col min="519" max="519" width="10.140625" bestFit="1" customWidth="1"/>
    <col min="769" max="769" width="26.28515625" bestFit="1" customWidth="1"/>
    <col min="771" max="771" width="12" bestFit="1" customWidth="1"/>
    <col min="772" max="772" width="11.140625" bestFit="1" customWidth="1"/>
    <col min="775" max="775" width="10.140625" bestFit="1" customWidth="1"/>
    <col min="1025" max="1025" width="26.28515625" bestFit="1" customWidth="1"/>
    <col min="1027" max="1027" width="12" bestFit="1" customWidth="1"/>
    <col min="1028" max="1028" width="11.140625" bestFit="1" customWidth="1"/>
    <col min="1031" max="1031" width="10.140625" bestFit="1" customWidth="1"/>
    <col min="1281" max="1281" width="26.28515625" bestFit="1" customWidth="1"/>
    <col min="1283" max="1283" width="12" bestFit="1" customWidth="1"/>
    <col min="1284" max="1284" width="11.140625" bestFit="1" customWidth="1"/>
    <col min="1287" max="1287" width="10.140625" bestFit="1" customWidth="1"/>
    <col min="1537" max="1537" width="26.28515625" bestFit="1" customWidth="1"/>
    <col min="1539" max="1539" width="12" bestFit="1" customWidth="1"/>
    <col min="1540" max="1540" width="11.140625" bestFit="1" customWidth="1"/>
    <col min="1543" max="1543" width="10.140625" bestFit="1" customWidth="1"/>
    <col min="1793" max="1793" width="26.28515625" bestFit="1" customWidth="1"/>
    <col min="1795" max="1795" width="12" bestFit="1" customWidth="1"/>
    <col min="1796" max="1796" width="11.140625" bestFit="1" customWidth="1"/>
    <col min="1799" max="1799" width="10.140625" bestFit="1" customWidth="1"/>
    <col min="2049" max="2049" width="26.28515625" bestFit="1" customWidth="1"/>
    <col min="2051" max="2051" width="12" bestFit="1" customWidth="1"/>
    <col min="2052" max="2052" width="11.140625" bestFit="1" customWidth="1"/>
    <col min="2055" max="2055" width="10.140625" bestFit="1" customWidth="1"/>
    <col min="2305" max="2305" width="26.28515625" bestFit="1" customWidth="1"/>
    <col min="2307" max="2307" width="12" bestFit="1" customWidth="1"/>
    <col min="2308" max="2308" width="11.140625" bestFit="1" customWidth="1"/>
    <col min="2311" max="2311" width="10.140625" bestFit="1" customWidth="1"/>
    <col min="2561" max="2561" width="26.28515625" bestFit="1" customWidth="1"/>
    <col min="2563" max="2563" width="12" bestFit="1" customWidth="1"/>
    <col min="2564" max="2564" width="11.140625" bestFit="1" customWidth="1"/>
    <col min="2567" max="2567" width="10.140625" bestFit="1" customWidth="1"/>
    <col min="2817" max="2817" width="26.28515625" bestFit="1" customWidth="1"/>
    <col min="2819" max="2819" width="12" bestFit="1" customWidth="1"/>
    <col min="2820" max="2820" width="11.140625" bestFit="1" customWidth="1"/>
    <col min="2823" max="2823" width="10.140625" bestFit="1" customWidth="1"/>
    <col min="3073" max="3073" width="26.28515625" bestFit="1" customWidth="1"/>
    <col min="3075" max="3075" width="12" bestFit="1" customWidth="1"/>
    <col min="3076" max="3076" width="11.140625" bestFit="1" customWidth="1"/>
    <col min="3079" max="3079" width="10.140625" bestFit="1" customWidth="1"/>
    <col min="3329" max="3329" width="26.28515625" bestFit="1" customWidth="1"/>
    <col min="3331" max="3331" width="12" bestFit="1" customWidth="1"/>
    <col min="3332" max="3332" width="11.140625" bestFit="1" customWidth="1"/>
    <col min="3335" max="3335" width="10.140625" bestFit="1" customWidth="1"/>
    <col min="3585" max="3585" width="26.28515625" bestFit="1" customWidth="1"/>
    <col min="3587" max="3587" width="12" bestFit="1" customWidth="1"/>
    <col min="3588" max="3588" width="11.140625" bestFit="1" customWidth="1"/>
    <col min="3591" max="3591" width="10.140625" bestFit="1" customWidth="1"/>
    <col min="3841" max="3841" width="26.28515625" bestFit="1" customWidth="1"/>
    <col min="3843" max="3843" width="12" bestFit="1" customWidth="1"/>
    <col min="3844" max="3844" width="11.140625" bestFit="1" customWidth="1"/>
    <col min="3847" max="3847" width="10.140625" bestFit="1" customWidth="1"/>
    <col min="4097" max="4097" width="26.28515625" bestFit="1" customWidth="1"/>
    <col min="4099" max="4099" width="12" bestFit="1" customWidth="1"/>
    <col min="4100" max="4100" width="11.140625" bestFit="1" customWidth="1"/>
    <col min="4103" max="4103" width="10.140625" bestFit="1" customWidth="1"/>
    <col min="4353" max="4353" width="26.28515625" bestFit="1" customWidth="1"/>
    <col min="4355" max="4355" width="12" bestFit="1" customWidth="1"/>
    <col min="4356" max="4356" width="11.140625" bestFit="1" customWidth="1"/>
    <col min="4359" max="4359" width="10.140625" bestFit="1" customWidth="1"/>
    <col min="4609" max="4609" width="26.28515625" bestFit="1" customWidth="1"/>
    <col min="4611" max="4611" width="12" bestFit="1" customWidth="1"/>
    <col min="4612" max="4612" width="11.140625" bestFit="1" customWidth="1"/>
    <col min="4615" max="4615" width="10.140625" bestFit="1" customWidth="1"/>
    <col min="4865" max="4865" width="26.28515625" bestFit="1" customWidth="1"/>
    <col min="4867" max="4867" width="12" bestFit="1" customWidth="1"/>
    <col min="4868" max="4868" width="11.140625" bestFit="1" customWidth="1"/>
    <col min="4871" max="4871" width="10.140625" bestFit="1" customWidth="1"/>
    <col min="5121" max="5121" width="26.28515625" bestFit="1" customWidth="1"/>
    <col min="5123" max="5123" width="12" bestFit="1" customWidth="1"/>
    <col min="5124" max="5124" width="11.140625" bestFit="1" customWidth="1"/>
    <col min="5127" max="5127" width="10.140625" bestFit="1" customWidth="1"/>
    <col min="5377" max="5377" width="26.28515625" bestFit="1" customWidth="1"/>
    <col min="5379" max="5379" width="12" bestFit="1" customWidth="1"/>
    <col min="5380" max="5380" width="11.140625" bestFit="1" customWidth="1"/>
    <col min="5383" max="5383" width="10.140625" bestFit="1" customWidth="1"/>
    <col min="5633" max="5633" width="26.28515625" bestFit="1" customWidth="1"/>
    <col min="5635" max="5635" width="12" bestFit="1" customWidth="1"/>
    <col min="5636" max="5636" width="11.140625" bestFit="1" customWidth="1"/>
    <col min="5639" max="5639" width="10.140625" bestFit="1" customWidth="1"/>
    <col min="5889" max="5889" width="26.28515625" bestFit="1" customWidth="1"/>
    <col min="5891" max="5891" width="12" bestFit="1" customWidth="1"/>
    <col min="5892" max="5892" width="11.140625" bestFit="1" customWidth="1"/>
    <col min="5895" max="5895" width="10.140625" bestFit="1" customWidth="1"/>
    <col min="6145" max="6145" width="26.28515625" bestFit="1" customWidth="1"/>
    <col min="6147" max="6147" width="12" bestFit="1" customWidth="1"/>
    <col min="6148" max="6148" width="11.140625" bestFit="1" customWidth="1"/>
    <col min="6151" max="6151" width="10.140625" bestFit="1" customWidth="1"/>
    <col min="6401" max="6401" width="26.28515625" bestFit="1" customWidth="1"/>
    <col min="6403" max="6403" width="12" bestFit="1" customWidth="1"/>
    <col min="6404" max="6404" width="11.140625" bestFit="1" customWidth="1"/>
    <col min="6407" max="6407" width="10.140625" bestFit="1" customWidth="1"/>
    <col min="6657" max="6657" width="26.28515625" bestFit="1" customWidth="1"/>
    <col min="6659" max="6659" width="12" bestFit="1" customWidth="1"/>
    <col min="6660" max="6660" width="11.140625" bestFit="1" customWidth="1"/>
    <col min="6663" max="6663" width="10.140625" bestFit="1" customWidth="1"/>
    <col min="6913" max="6913" width="26.28515625" bestFit="1" customWidth="1"/>
    <col min="6915" max="6915" width="12" bestFit="1" customWidth="1"/>
    <col min="6916" max="6916" width="11.140625" bestFit="1" customWidth="1"/>
    <col min="6919" max="6919" width="10.140625" bestFit="1" customWidth="1"/>
    <col min="7169" max="7169" width="26.28515625" bestFit="1" customWidth="1"/>
    <col min="7171" max="7171" width="12" bestFit="1" customWidth="1"/>
    <col min="7172" max="7172" width="11.140625" bestFit="1" customWidth="1"/>
    <col min="7175" max="7175" width="10.140625" bestFit="1" customWidth="1"/>
    <col min="7425" max="7425" width="26.28515625" bestFit="1" customWidth="1"/>
    <col min="7427" max="7427" width="12" bestFit="1" customWidth="1"/>
    <col min="7428" max="7428" width="11.140625" bestFit="1" customWidth="1"/>
    <col min="7431" max="7431" width="10.140625" bestFit="1" customWidth="1"/>
    <col min="7681" max="7681" width="26.28515625" bestFit="1" customWidth="1"/>
    <col min="7683" max="7683" width="12" bestFit="1" customWidth="1"/>
    <col min="7684" max="7684" width="11.140625" bestFit="1" customWidth="1"/>
    <col min="7687" max="7687" width="10.140625" bestFit="1" customWidth="1"/>
    <col min="7937" max="7937" width="26.28515625" bestFit="1" customWidth="1"/>
    <col min="7939" max="7939" width="12" bestFit="1" customWidth="1"/>
    <col min="7940" max="7940" width="11.140625" bestFit="1" customWidth="1"/>
    <col min="7943" max="7943" width="10.140625" bestFit="1" customWidth="1"/>
    <col min="8193" max="8193" width="26.28515625" bestFit="1" customWidth="1"/>
    <col min="8195" max="8195" width="12" bestFit="1" customWidth="1"/>
    <col min="8196" max="8196" width="11.140625" bestFit="1" customWidth="1"/>
    <col min="8199" max="8199" width="10.140625" bestFit="1" customWidth="1"/>
    <col min="8449" max="8449" width="26.28515625" bestFit="1" customWidth="1"/>
    <col min="8451" max="8451" width="12" bestFit="1" customWidth="1"/>
    <col min="8452" max="8452" width="11.140625" bestFit="1" customWidth="1"/>
    <col min="8455" max="8455" width="10.140625" bestFit="1" customWidth="1"/>
    <col min="8705" max="8705" width="26.28515625" bestFit="1" customWidth="1"/>
    <col min="8707" max="8707" width="12" bestFit="1" customWidth="1"/>
    <col min="8708" max="8708" width="11.140625" bestFit="1" customWidth="1"/>
    <col min="8711" max="8711" width="10.140625" bestFit="1" customWidth="1"/>
    <col min="8961" max="8961" width="26.28515625" bestFit="1" customWidth="1"/>
    <col min="8963" max="8963" width="12" bestFit="1" customWidth="1"/>
    <col min="8964" max="8964" width="11.140625" bestFit="1" customWidth="1"/>
    <col min="8967" max="8967" width="10.140625" bestFit="1" customWidth="1"/>
    <col min="9217" max="9217" width="26.28515625" bestFit="1" customWidth="1"/>
    <col min="9219" max="9219" width="12" bestFit="1" customWidth="1"/>
    <col min="9220" max="9220" width="11.140625" bestFit="1" customWidth="1"/>
    <col min="9223" max="9223" width="10.140625" bestFit="1" customWidth="1"/>
    <col min="9473" max="9473" width="26.28515625" bestFit="1" customWidth="1"/>
    <col min="9475" max="9475" width="12" bestFit="1" customWidth="1"/>
    <col min="9476" max="9476" width="11.140625" bestFit="1" customWidth="1"/>
    <col min="9479" max="9479" width="10.140625" bestFit="1" customWidth="1"/>
    <col min="9729" max="9729" width="26.28515625" bestFit="1" customWidth="1"/>
    <col min="9731" max="9731" width="12" bestFit="1" customWidth="1"/>
    <col min="9732" max="9732" width="11.140625" bestFit="1" customWidth="1"/>
    <col min="9735" max="9735" width="10.140625" bestFit="1" customWidth="1"/>
    <col min="9985" max="9985" width="26.28515625" bestFit="1" customWidth="1"/>
    <col min="9987" max="9987" width="12" bestFit="1" customWidth="1"/>
    <col min="9988" max="9988" width="11.140625" bestFit="1" customWidth="1"/>
    <col min="9991" max="9991" width="10.140625" bestFit="1" customWidth="1"/>
    <col min="10241" max="10241" width="26.28515625" bestFit="1" customWidth="1"/>
    <col min="10243" max="10243" width="12" bestFit="1" customWidth="1"/>
    <col min="10244" max="10244" width="11.140625" bestFit="1" customWidth="1"/>
    <col min="10247" max="10247" width="10.140625" bestFit="1" customWidth="1"/>
    <col min="10497" max="10497" width="26.28515625" bestFit="1" customWidth="1"/>
    <col min="10499" max="10499" width="12" bestFit="1" customWidth="1"/>
    <col min="10500" max="10500" width="11.140625" bestFit="1" customWidth="1"/>
    <col min="10503" max="10503" width="10.140625" bestFit="1" customWidth="1"/>
    <col min="10753" max="10753" width="26.28515625" bestFit="1" customWidth="1"/>
    <col min="10755" max="10755" width="12" bestFit="1" customWidth="1"/>
    <col min="10756" max="10756" width="11.140625" bestFit="1" customWidth="1"/>
    <col min="10759" max="10759" width="10.140625" bestFit="1" customWidth="1"/>
    <col min="11009" max="11009" width="26.28515625" bestFit="1" customWidth="1"/>
    <col min="11011" max="11011" width="12" bestFit="1" customWidth="1"/>
    <col min="11012" max="11012" width="11.140625" bestFit="1" customWidth="1"/>
    <col min="11015" max="11015" width="10.140625" bestFit="1" customWidth="1"/>
    <col min="11265" max="11265" width="26.28515625" bestFit="1" customWidth="1"/>
    <col min="11267" max="11267" width="12" bestFit="1" customWidth="1"/>
    <col min="11268" max="11268" width="11.140625" bestFit="1" customWidth="1"/>
    <col min="11271" max="11271" width="10.140625" bestFit="1" customWidth="1"/>
    <col min="11521" max="11521" width="26.28515625" bestFit="1" customWidth="1"/>
    <col min="11523" max="11523" width="12" bestFit="1" customWidth="1"/>
    <col min="11524" max="11524" width="11.140625" bestFit="1" customWidth="1"/>
    <col min="11527" max="11527" width="10.140625" bestFit="1" customWidth="1"/>
    <col min="11777" max="11777" width="26.28515625" bestFit="1" customWidth="1"/>
    <col min="11779" max="11779" width="12" bestFit="1" customWidth="1"/>
    <col min="11780" max="11780" width="11.140625" bestFit="1" customWidth="1"/>
    <col min="11783" max="11783" width="10.140625" bestFit="1" customWidth="1"/>
    <col min="12033" max="12033" width="26.28515625" bestFit="1" customWidth="1"/>
    <col min="12035" max="12035" width="12" bestFit="1" customWidth="1"/>
    <col min="12036" max="12036" width="11.140625" bestFit="1" customWidth="1"/>
    <col min="12039" max="12039" width="10.140625" bestFit="1" customWidth="1"/>
    <col min="12289" max="12289" width="26.28515625" bestFit="1" customWidth="1"/>
    <col min="12291" max="12291" width="12" bestFit="1" customWidth="1"/>
    <col min="12292" max="12292" width="11.140625" bestFit="1" customWidth="1"/>
    <col min="12295" max="12295" width="10.140625" bestFit="1" customWidth="1"/>
    <col min="12545" max="12545" width="26.28515625" bestFit="1" customWidth="1"/>
    <col min="12547" max="12547" width="12" bestFit="1" customWidth="1"/>
    <col min="12548" max="12548" width="11.140625" bestFit="1" customWidth="1"/>
    <col min="12551" max="12551" width="10.140625" bestFit="1" customWidth="1"/>
    <col min="12801" max="12801" width="26.28515625" bestFit="1" customWidth="1"/>
    <col min="12803" max="12803" width="12" bestFit="1" customWidth="1"/>
    <col min="12804" max="12804" width="11.140625" bestFit="1" customWidth="1"/>
    <col min="12807" max="12807" width="10.140625" bestFit="1" customWidth="1"/>
    <col min="13057" max="13057" width="26.28515625" bestFit="1" customWidth="1"/>
    <col min="13059" max="13059" width="12" bestFit="1" customWidth="1"/>
    <col min="13060" max="13060" width="11.140625" bestFit="1" customWidth="1"/>
    <col min="13063" max="13063" width="10.140625" bestFit="1" customWidth="1"/>
    <col min="13313" max="13313" width="26.28515625" bestFit="1" customWidth="1"/>
    <col min="13315" max="13315" width="12" bestFit="1" customWidth="1"/>
    <col min="13316" max="13316" width="11.140625" bestFit="1" customWidth="1"/>
    <col min="13319" max="13319" width="10.140625" bestFit="1" customWidth="1"/>
    <col min="13569" max="13569" width="26.28515625" bestFit="1" customWidth="1"/>
    <col min="13571" max="13571" width="12" bestFit="1" customWidth="1"/>
    <col min="13572" max="13572" width="11.140625" bestFit="1" customWidth="1"/>
    <col min="13575" max="13575" width="10.140625" bestFit="1" customWidth="1"/>
    <col min="13825" max="13825" width="26.28515625" bestFit="1" customWidth="1"/>
    <col min="13827" max="13827" width="12" bestFit="1" customWidth="1"/>
    <col min="13828" max="13828" width="11.140625" bestFit="1" customWidth="1"/>
    <col min="13831" max="13831" width="10.140625" bestFit="1" customWidth="1"/>
    <col min="14081" max="14081" width="26.28515625" bestFit="1" customWidth="1"/>
    <col min="14083" max="14083" width="12" bestFit="1" customWidth="1"/>
    <col min="14084" max="14084" width="11.140625" bestFit="1" customWidth="1"/>
    <col min="14087" max="14087" width="10.140625" bestFit="1" customWidth="1"/>
    <col min="14337" max="14337" width="26.28515625" bestFit="1" customWidth="1"/>
    <col min="14339" max="14339" width="12" bestFit="1" customWidth="1"/>
    <col min="14340" max="14340" width="11.140625" bestFit="1" customWidth="1"/>
    <col min="14343" max="14343" width="10.140625" bestFit="1" customWidth="1"/>
    <col min="14593" max="14593" width="26.28515625" bestFit="1" customWidth="1"/>
    <col min="14595" max="14595" width="12" bestFit="1" customWidth="1"/>
    <col min="14596" max="14596" width="11.140625" bestFit="1" customWidth="1"/>
    <col min="14599" max="14599" width="10.140625" bestFit="1" customWidth="1"/>
    <col min="14849" max="14849" width="26.28515625" bestFit="1" customWidth="1"/>
    <col min="14851" max="14851" width="12" bestFit="1" customWidth="1"/>
    <col min="14852" max="14852" width="11.140625" bestFit="1" customWidth="1"/>
    <col min="14855" max="14855" width="10.140625" bestFit="1" customWidth="1"/>
    <col min="15105" max="15105" width="26.28515625" bestFit="1" customWidth="1"/>
    <col min="15107" max="15107" width="12" bestFit="1" customWidth="1"/>
    <col min="15108" max="15108" width="11.140625" bestFit="1" customWidth="1"/>
    <col min="15111" max="15111" width="10.140625" bestFit="1" customWidth="1"/>
    <col min="15361" max="15361" width="26.28515625" bestFit="1" customWidth="1"/>
    <col min="15363" max="15363" width="12" bestFit="1" customWidth="1"/>
    <col min="15364" max="15364" width="11.140625" bestFit="1" customWidth="1"/>
    <col min="15367" max="15367" width="10.140625" bestFit="1" customWidth="1"/>
    <col min="15617" max="15617" width="26.28515625" bestFit="1" customWidth="1"/>
    <col min="15619" max="15619" width="12" bestFit="1" customWidth="1"/>
    <col min="15620" max="15620" width="11.140625" bestFit="1" customWidth="1"/>
    <col min="15623" max="15623" width="10.140625" bestFit="1" customWidth="1"/>
    <col min="15873" max="15873" width="26.28515625" bestFit="1" customWidth="1"/>
    <col min="15875" max="15875" width="12" bestFit="1" customWidth="1"/>
    <col min="15876" max="15876" width="11.140625" bestFit="1" customWidth="1"/>
    <col min="15879" max="15879" width="10.140625" bestFit="1" customWidth="1"/>
    <col min="16129" max="16129" width="26.28515625" bestFit="1" customWidth="1"/>
    <col min="16131" max="16131" width="12" bestFit="1" customWidth="1"/>
    <col min="16132" max="16132" width="11.140625" bestFit="1" customWidth="1"/>
    <col min="16135" max="16135" width="10.140625" bestFit="1" customWidth="1"/>
  </cols>
  <sheetData>
    <row r="2" spans="1:27" x14ac:dyDescent="0.2">
      <c r="V2" s="152"/>
      <c r="W2" s="152"/>
      <c r="X2" s="152"/>
    </row>
    <row r="3" spans="1:27" x14ac:dyDescent="0.2">
      <c r="A3" s="197" t="s">
        <v>127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  <c r="N3" s="199"/>
      <c r="O3" s="200"/>
      <c r="P3" s="201"/>
      <c r="Q3" s="202"/>
      <c r="AA3" s="152"/>
    </row>
    <row r="4" spans="1:27" x14ac:dyDescent="0.2">
      <c r="A4" s="198" t="s">
        <v>150</v>
      </c>
      <c r="B4" s="198"/>
      <c r="C4" s="198"/>
      <c r="D4" s="198"/>
      <c r="E4" s="198"/>
      <c r="F4" s="198"/>
      <c r="G4" s="198"/>
      <c r="H4" s="198"/>
      <c r="I4" s="203" t="s">
        <v>151</v>
      </c>
      <c r="J4" s="198" t="s">
        <v>151</v>
      </c>
      <c r="K4" s="198" t="s">
        <v>152</v>
      </c>
      <c r="L4" s="204" t="s">
        <v>152</v>
      </c>
      <c r="M4" s="205"/>
      <c r="N4" s="199" t="s">
        <v>152</v>
      </c>
      <c r="O4" s="206" t="s">
        <v>151</v>
      </c>
      <c r="P4" s="206" t="s">
        <v>151</v>
      </c>
      <c r="Q4" s="206"/>
      <c r="R4" s="261"/>
    </row>
    <row r="5" spans="1:27" x14ac:dyDescent="0.2">
      <c r="A5" s="197"/>
      <c r="B5" s="197">
        <v>2023</v>
      </c>
      <c r="C5" s="197" t="s">
        <v>176</v>
      </c>
      <c r="D5" s="197"/>
      <c r="E5" s="197" t="s">
        <v>154</v>
      </c>
      <c r="F5" s="197" t="s">
        <v>154</v>
      </c>
      <c r="G5" s="197" t="s">
        <v>123</v>
      </c>
      <c r="H5" s="197"/>
      <c r="I5" s="207" t="s">
        <v>155</v>
      </c>
      <c r="J5" s="197" t="s">
        <v>107</v>
      </c>
      <c r="K5" s="197" t="s">
        <v>156</v>
      </c>
      <c r="L5" s="208" t="s">
        <v>157</v>
      </c>
      <c r="M5" s="209"/>
      <c r="N5" s="206" t="s">
        <v>158</v>
      </c>
      <c r="O5" s="206" t="s">
        <v>159</v>
      </c>
      <c r="P5" s="206" t="s">
        <v>160</v>
      </c>
      <c r="Q5" s="206" t="s">
        <v>159</v>
      </c>
      <c r="R5" s="261"/>
      <c r="X5" s="151" t="s">
        <v>64</v>
      </c>
    </row>
    <row r="6" spans="1:27" x14ac:dyDescent="0.2">
      <c r="A6" s="204" t="s">
        <v>161</v>
      </c>
      <c r="B6" s="197" t="s">
        <v>162</v>
      </c>
      <c r="C6" s="197" t="s">
        <v>163</v>
      </c>
      <c r="D6" s="197" t="s">
        <v>123</v>
      </c>
      <c r="E6" s="197" t="s">
        <v>164</v>
      </c>
      <c r="F6" s="197" t="s">
        <v>164</v>
      </c>
      <c r="G6" s="197" t="s">
        <v>41</v>
      </c>
      <c r="H6" s="197"/>
      <c r="I6" s="207" t="s">
        <v>41</v>
      </c>
      <c r="J6" s="197" t="s">
        <v>165</v>
      </c>
      <c r="K6" s="197" t="s">
        <v>166</v>
      </c>
      <c r="L6" s="208" t="s">
        <v>41</v>
      </c>
      <c r="M6" s="209"/>
      <c r="N6" s="206" t="s">
        <v>41</v>
      </c>
      <c r="O6" s="206" t="s">
        <v>41</v>
      </c>
      <c r="P6" s="206" t="s">
        <v>123</v>
      </c>
      <c r="Q6" s="206" t="s">
        <v>167</v>
      </c>
      <c r="R6" s="261"/>
      <c r="T6" s="151" t="s">
        <v>202</v>
      </c>
      <c r="U6" s="151" t="s">
        <v>123</v>
      </c>
      <c r="V6" s="151"/>
      <c r="X6" s="151" t="s">
        <v>209</v>
      </c>
    </row>
    <row r="7" spans="1:27" x14ac:dyDescent="0.2">
      <c r="A7" s="204" t="s">
        <v>200</v>
      </c>
      <c r="B7" s="210" t="s">
        <v>112</v>
      </c>
      <c r="C7" s="211">
        <v>21393</v>
      </c>
      <c r="D7" s="211">
        <v>25474823</v>
      </c>
      <c r="E7" s="198"/>
      <c r="F7" s="198"/>
      <c r="G7" s="241">
        <v>2498825.17</v>
      </c>
      <c r="H7" s="306"/>
      <c r="I7" s="198"/>
      <c r="J7" s="211">
        <v>376715.6</v>
      </c>
      <c r="K7" s="211"/>
      <c r="L7" s="211">
        <v>368316.87</v>
      </c>
      <c r="M7" s="237"/>
      <c r="N7" s="237">
        <v>329209.25</v>
      </c>
      <c r="O7" s="211">
        <v>115038.8</v>
      </c>
      <c r="P7" s="237">
        <v>578479</v>
      </c>
      <c r="Q7" s="219">
        <v>10478</v>
      </c>
      <c r="R7" s="261"/>
      <c r="T7" s="217">
        <f>C7+C25</f>
        <v>22474</v>
      </c>
      <c r="U7" s="217">
        <f>D7+D25</f>
        <v>26900123</v>
      </c>
      <c r="X7" s="283">
        <f t="shared" ref="X7:X18" si="0">G7+I7+J7+K7+L7</f>
        <v>3243857.64</v>
      </c>
      <c r="AA7" s="217"/>
    </row>
    <row r="8" spans="1:27" x14ac:dyDescent="0.2">
      <c r="A8" s="198"/>
      <c r="B8" s="210" t="s">
        <v>113</v>
      </c>
      <c r="C8" s="211">
        <v>21327</v>
      </c>
      <c r="D8" s="211">
        <v>26265772</v>
      </c>
      <c r="E8" s="198"/>
      <c r="F8" s="198"/>
      <c r="G8" s="241">
        <v>2569155.94</v>
      </c>
      <c r="H8" s="306"/>
      <c r="I8" s="198"/>
      <c r="J8" s="211">
        <v>375570.3</v>
      </c>
      <c r="K8" s="211"/>
      <c r="L8" s="211">
        <v>703878.83</v>
      </c>
      <c r="M8" s="237"/>
      <c r="N8" s="237">
        <v>332059.92</v>
      </c>
      <c r="O8" s="211">
        <v>114626.72</v>
      </c>
      <c r="P8" s="237">
        <v>575148</v>
      </c>
      <c r="Q8" s="219">
        <v>10452</v>
      </c>
      <c r="R8" s="261"/>
      <c r="T8" s="217">
        <f t="shared" ref="T8:U8" si="1">C8+C26</f>
        <v>22394</v>
      </c>
      <c r="U8" s="217">
        <f t="shared" si="1"/>
        <v>27734057</v>
      </c>
      <c r="X8" s="283">
        <f t="shared" si="0"/>
        <v>3648605.07</v>
      </c>
      <c r="AA8" s="217"/>
    </row>
    <row r="9" spans="1:27" x14ac:dyDescent="0.2">
      <c r="A9" s="198"/>
      <c r="B9" s="210" t="s">
        <v>114</v>
      </c>
      <c r="C9" s="211">
        <v>21333</v>
      </c>
      <c r="D9" s="211">
        <v>22184483</v>
      </c>
      <c r="E9" s="198"/>
      <c r="F9" s="198"/>
      <c r="G9" s="241">
        <v>2054126.66</v>
      </c>
      <c r="H9" s="306"/>
      <c r="I9" s="198"/>
      <c r="J9" s="211">
        <v>375869.84</v>
      </c>
      <c r="K9" s="211"/>
      <c r="L9" s="211">
        <v>324132.40000000002</v>
      </c>
      <c r="M9" s="237"/>
      <c r="N9" s="237">
        <v>164770.93</v>
      </c>
      <c r="O9" s="211">
        <v>114353.21</v>
      </c>
      <c r="P9" s="237">
        <v>570273</v>
      </c>
      <c r="Q9" s="219">
        <v>10458</v>
      </c>
      <c r="R9" s="261"/>
      <c r="T9" s="217">
        <f t="shared" ref="T9:U9" si="2">C9+C27</f>
        <v>22418</v>
      </c>
      <c r="U9" s="217">
        <f t="shared" si="2"/>
        <v>23436776</v>
      </c>
      <c r="X9" s="283">
        <f t="shared" si="0"/>
        <v>2754128.9</v>
      </c>
      <c r="AA9" s="217"/>
    </row>
    <row r="10" spans="1:27" x14ac:dyDescent="0.2">
      <c r="A10" s="198"/>
      <c r="B10" s="210" t="s">
        <v>168</v>
      </c>
      <c r="C10" s="211">
        <v>21325</v>
      </c>
      <c r="D10" s="211">
        <v>16607455</v>
      </c>
      <c r="E10" s="198"/>
      <c r="F10" s="198"/>
      <c r="G10" s="211">
        <v>1608745.63</v>
      </c>
      <c r="H10" s="306"/>
      <c r="I10" s="198"/>
      <c r="J10" s="211">
        <v>375711.26</v>
      </c>
      <c r="K10" s="211"/>
      <c r="L10" s="211">
        <v>155745.48000000001</v>
      </c>
      <c r="M10" s="237"/>
      <c r="N10" s="237">
        <v>194352.54</v>
      </c>
      <c r="O10" s="211">
        <v>115205.36</v>
      </c>
      <c r="P10" s="237">
        <v>571764</v>
      </c>
      <c r="Q10" s="219">
        <v>10478</v>
      </c>
      <c r="R10" s="261"/>
      <c r="T10" s="217">
        <f t="shared" ref="T10:U10" si="3">C10+C28</f>
        <v>22419</v>
      </c>
      <c r="U10" s="217">
        <f t="shared" si="3"/>
        <v>17548794</v>
      </c>
      <c r="X10" s="283">
        <f t="shared" si="0"/>
        <v>2140202.37</v>
      </c>
      <c r="AA10" s="217"/>
    </row>
    <row r="11" spans="1:27" x14ac:dyDescent="0.2">
      <c r="A11" s="198"/>
      <c r="B11" s="210" t="s">
        <v>115</v>
      </c>
      <c r="C11" s="211">
        <v>21369</v>
      </c>
      <c r="D11" s="211">
        <v>17351207</v>
      </c>
      <c r="E11" s="198"/>
      <c r="F11" s="198"/>
      <c r="G11" s="211">
        <v>1758725.11</v>
      </c>
      <c r="H11" s="306"/>
      <c r="I11" s="198"/>
      <c r="J11" s="211">
        <v>376486.54</v>
      </c>
      <c r="K11" s="211"/>
      <c r="L11" s="211">
        <v>218312.92</v>
      </c>
      <c r="M11" s="237"/>
      <c r="N11" s="237">
        <v>280928.38</v>
      </c>
      <c r="O11" s="211">
        <v>115102.68</v>
      </c>
      <c r="P11" s="237">
        <v>570579</v>
      </c>
      <c r="Q11" s="219">
        <v>10489</v>
      </c>
      <c r="R11" s="261"/>
      <c r="T11" s="217">
        <f t="shared" ref="T11:U11" si="4">C11+C29</f>
        <v>22467</v>
      </c>
      <c r="U11" s="217">
        <f t="shared" si="4"/>
        <v>18312507</v>
      </c>
      <c r="X11" s="283">
        <f t="shared" si="0"/>
        <v>2353524.5699999998</v>
      </c>
      <c r="AA11" s="217"/>
    </row>
    <row r="12" spans="1:27" x14ac:dyDescent="0.2">
      <c r="A12" s="198"/>
      <c r="B12" s="210" t="s">
        <v>169</v>
      </c>
      <c r="C12" s="211">
        <v>21352</v>
      </c>
      <c r="D12" s="211">
        <v>16774519</v>
      </c>
      <c r="E12" s="198"/>
      <c r="F12" s="198"/>
      <c r="G12" s="211">
        <v>1682384.33</v>
      </c>
      <c r="H12" s="306"/>
      <c r="I12" s="198"/>
      <c r="J12" s="211">
        <v>376169.38</v>
      </c>
      <c r="K12" s="211"/>
      <c r="L12" s="211">
        <v>186662.23</v>
      </c>
      <c r="M12" s="237"/>
      <c r="N12" s="237">
        <v>253689.37</v>
      </c>
      <c r="O12" s="211">
        <v>115390.71</v>
      </c>
      <c r="P12" s="237">
        <v>568917</v>
      </c>
      <c r="Q12" s="219">
        <v>10490</v>
      </c>
      <c r="R12" s="261"/>
      <c r="T12" s="217">
        <f t="shared" ref="T12:U12" si="5">C12+C30</f>
        <v>22447</v>
      </c>
      <c r="U12" s="217">
        <f t="shared" si="5"/>
        <v>17665725</v>
      </c>
      <c r="X12" s="283">
        <f t="shared" si="0"/>
        <v>2245215.94</v>
      </c>
      <c r="AA12" s="217"/>
    </row>
    <row r="13" spans="1:27" x14ac:dyDescent="0.2">
      <c r="A13" s="198"/>
      <c r="B13" s="210" t="s">
        <v>170</v>
      </c>
      <c r="C13" s="211">
        <v>21366</v>
      </c>
      <c r="D13" s="211">
        <v>21629789</v>
      </c>
      <c r="E13" s="198"/>
      <c r="F13" s="198"/>
      <c r="G13" s="211">
        <v>2205502.86</v>
      </c>
      <c r="H13" s="306"/>
      <c r="I13" s="198"/>
      <c r="J13" s="211">
        <v>376468.92</v>
      </c>
      <c r="K13" s="211">
        <v>30.39</v>
      </c>
      <c r="L13" s="211">
        <v>140384.28</v>
      </c>
      <c r="M13" s="237"/>
      <c r="N13" s="237">
        <v>363302.58</v>
      </c>
      <c r="O13" s="211">
        <v>115677.82</v>
      </c>
      <c r="P13" s="237">
        <v>567727</v>
      </c>
      <c r="Q13" s="219">
        <v>10512</v>
      </c>
      <c r="R13" s="261"/>
      <c r="T13" s="217">
        <f t="shared" ref="T13:U13" si="6">C13+C31</f>
        <v>22476</v>
      </c>
      <c r="U13" s="217">
        <f t="shared" si="6"/>
        <v>22748453</v>
      </c>
      <c r="X13" s="283">
        <f t="shared" si="0"/>
        <v>2722386.4499999997</v>
      </c>
      <c r="AA13" s="217"/>
    </row>
    <row r="14" spans="1:27" x14ac:dyDescent="0.2">
      <c r="A14" s="198"/>
      <c r="B14" s="210" t="s">
        <v>116</v>
      </c>
      <c r="C14" s="211">
        <v>21400</v>
      </c>
      <c r="D14" s="211">
        <v>24148607</v>
      </c>
      <c r="E14" s="198"/>
      <c r="F14" s="198"/>
      <c r="G14" s="211">
        <v>2471756.98</v>
      </c>
      <c r="H14" s="306"/>
      <c r="I14" s="198"/>
      <c r="J14" s="211">
        <v>377015.14</v>
      </c>
      <c r="K14" s="211">
        <v>2.2599999999999998</v>
      </c>
      <c r="L14" s="211">
        <v>134657.78</v>
      </c>
      <c r="M14" s="237"/>
      <c r="N14" s="237">
        <v>415011.99</v>
      </c>
      <c r="O14" s="211">
        <v>115950.52</v>
      </c>
      <c r="P14" s="237">
        <v>568286</v>
      </c>
      <c r="Q14" s="219">
        <v>10535</v>
      </c>
      <c r="R14" s="261"/>
      <c r="T14" s="217">
        <f t="shared" ref="T14:U14" si="7">C14+C32</f>
        <v>22505</v>
      </c>
      <c r="U14" s="217">
        <f t="shared" si="7"/>
        <v>25420336</v>
      </c>
      <c r="X14" s="283">
        <f t="shared" si="0"/>
        <v>2983432.1599999997</v>
      </c>
      <c r="AA14" s="217"/>
    </row>
    <row r="15" spans="1:27" x14ac:dyDescent="0.2">
      <c r="A15" s="198"/>
      <c r="B15" s="210" t="s">
        <v>171</v>
      </c>
      <c r="C15" s="211">
        <v>21383</v>
      </c>
      <c r="D15" s="211">
        <v>17354412</v>
      </c>
      <c r="E15" s="198"/>
      <c r="F15" s="198"/>
      <c r="G15" s="211">
        <v>1776453.61</v>
      </c>
      <c r="H15" s="306"/>
      <c r="I15" s="198"/>
      <c r="J15" s="211">
        <v>376750.84</v>
      </c>
      <c r="K15" s="211">
        <v>3.46</v>
      </c>
      <c r="L15" s="211">
        <v>200842.4</v>
      </c>
      <c r="M15" s="237"/>
      <c r="N15" s="237">
        <v>298483.52</v>
      </c>
      <c r="O15" s="211">
        <v>115787</v>
      </c>
      <c r="P15" s="237">
        <v>565967</v>
      </c>
      <c r="Q15" s="219">
        <v>10534</v>
      </c>
      <c r="R15" s="261"/>
      <c r="T15" s="217">
        <f t="shared" ref="T15:U15" si="8">C15+C33</f>
        <v>22512</v>
      </c>
      <c r="U15" s="217">
        <f t="shared" si="8"/>
        <v>18307503</v>
      </c>
      <c r="X15" s="283">
        <f t="shared" si="0"/>
        <v>2354050.31</v>
      </c>
      <c r="AA15" s="217"/>
    </row>
    <row r="16" spans="1:27" x14ac:dyDescent="0.2">
      <c r="A16" s="198"/>
      <c r="B16" s="210" t="s">
        <v>117</v>
      </c>
      <c r="C16" s="211">
        <v>21386</v>
      </c>
      <c r="D16" s="211">
        <v>15800164</v>
      </c>
      <c r="E16" s="198"/>
      <c r="F16" s="198"/>
      <c r="G16" s="211">
        <v>1540340.21</v>
      </c>
      <c r="H16" s="306"/>
      <c r="I16" s="198"/>
      <c r="J16" s="211">
        <v>376786.08</v>
      </c>
      <c r="K16" s="211">
        <v>1.04</v>
      </c>
      <c r="L16" s="211">
        <v>206787.85</v>
      </c>
      <c r="M16" s="237"/>
      <c r="N16" s="237">
        <v>194839.29</v>
      </c>
      <c r="O16" s="211">
        <v>115782.21</v>
      </c>
      <c r="P16" s="237">
        <v>562549</v>
      </c>
      <c r="Q16" s="219">
        <v>10526</v>
      </c>
      <c r="R16" s="261"/>
      <c r="T16" s="217">
        <f t="shared" ref="T16:U16" si="9">C16+C34</f>
        <v>22517</v>
      </c>
      <c r="U16" s="217">
        <f t="shared" si="9"/>
        <v>16731491</v>
      </c>
      <c r="X16" s="283">
        <f t="shared" si="0"/>
        <v>2123915.1800000002</v>
      </c>
      <c r="AA16" s="217"/>
    </row>
    <row r="17" spans="1:27" x14ac:dyDescent="0.2">
      <c r="A17" s="198"/>
      <c r="B17" s="210" t="s">
        <v>118</v>
      </c>
      <c r="C17" s="211">
        <v>21429</v>
      </c>
      <c r="D17" s="211">
        <v>23516416</v>
      </c>
      <c r="E17" s="198"/>
      <c r="F17" s="198"/>
      <c r="G17" s="211">
        <v>2283952.13</v>
      </c>
      <c r="H17" s="306"/>
      <c r="I17" s="198"/>
      <c r="J17" s="211">
        <v>377543.74</v>
      </c>
      <c r="K17" s="211">
        <v>0.96</v>
      </c>
      <c r="L17" s="211">
        <v>278626.43</v>
      </c>
      <c r="M17" s="237"/>
      <c r="N17" s="237">
        <v>281378.19</v>
      </c>
      <c r="O17" s="211">
        <v>116199.72</v>
      </c>
      <c r="P17" s="237">
        <v>562818</v>
      </c>
      <c r="Q17" s="219">
        <v>10561</v>
      </c>
      <c r="R17" s="261"/>
      <c r="T17" s="217">
        <f t="shared" ref="T17:U17" si="10">C17+C35</f>
        <v>22564</v>
      </c>
      <c r="U17" s="217">
        <f t="shared" si="10"/>
        <v>24940132</v>
      </c>
      <c r="X17" s="283">
        <f t="shared" si="0"/>
        <v>2940123.2600000002</v>
      </c>
      <c r="AA17" s="217"/>
    </row>
    <row r="18" spans="1:27" x14ac:dyDescent="0.2">
      <c r="A18" s="198"/>
      <c r="B18" s="210" t="s">
        <v>119</v>
      </c>
      <c r="C18" s="211">
        <v>21397</v>
      </c>
      <c r="D18" s="211">
        <v>26964973</v>
      </c>
      <c r="E18" s="198"/>
      <c r="F18" s="198"/>
      <c r="G18" s="211">
        <v>2655377.71</v>
      </c>
      <c r="H18" s="306"/>
      <c r="I18" s="198"/>
      <c r="J18" s="211">
        <v>376979.9</v>
      </c>
      <c r="K18" s="211"/>
      <c r="L18" s="211">
        <v>178054.66</v>
      </c>
      <c r="M18" s="237"/>
      <c r="N18" s="237">
        <v>359002.16</v>
      </c>
      <c r="O18" s="211">
        <v>115609</v>
      </c>
      <c r="P18" s="237">
        <v>558574</v>
      </c>
      <c r="Q18" s="219">
        <v>10529</v>
      </c>
      <c r="R18" s="261"/>
      <c r="T18" s="217">
        <f t="shared" ref="T18:U18" si="11">C18+C36</f>
        <v>22543</v>
      </c>
      <c r="U18" s="217">
        <f t="shared" si="11"/>
        <v>28551828</v>
      </c>
      <c r="X18" s="283">
        <f t="shared" si="0"/>
        <v>3210412.27</v>
      </c>
      <c r="AA18" s="217"/>
    </row>
    <row r="19" spans="1:27" x14ac:dyDescent="0.2">
      <c r="A19" s="197"/>
      <c r="B19" s="197" t="s">
        <v>83</v>
      </c>
      <c r="C19" s="212">
        <f>SUM(C7:C18)</f>
        <v>256460</v>
      </c>
      <c r="D19" s="212">
        <f>SUM(D7:D18)</f>
        <v>254072620</v>
      </c>
      <c r="E19" s="212"/>
      <c r="F19" s="212"/>
      <c r="G19" s="212">
        <f>SUM(G7:G18)</f>
        <v>25105346.339999996</v>
      </c>
      <c r="H19" s="212"/>
      <c r="I19" s="197"/>
      <c r="J19" s="212">
        <f t="shared" ref="J19:Q19" si="12">SUM(J7:J18)</f>
        <v>4518067.54</v>
      </c>
      <c r="K19" s="212"/>
      <c r="L19" s="212">
        <f t="shared" si="12"/>
        <v>3096402.13</v>
      </c>
      <c r="M19" s="212"/>
      <c r="N19" s="212">
        <f t="shared" si="12"/>
        <v>3467028.12</v>
      </c>
      <c r="O19" s="212">
        <f t="shared" si="12"/>
        <v>1384723.75</v>
      </c>
      <c r="P19" s="212">
        <f t="shared" si="12"/>
        <v>6821081</v>
      </c>
      <c r="Q19" s="212">
        <f t="shared" si="12"/>
        <v>126042</v>
      </c>
      <c r="R19" s="261"/>
      <c r="T19" s="264">
        <f t="shared" ref="T19:U19" si="13">C19+C37</f>
        <v>269736</v>
      </c>
      <c r="U19" s="264">
        <f t="shared" si="13"/>
        <v>268297725</v>
      </c>
      <c r="V19" s="217"/>
      <c r="W19" s="217"/>
      <c r="X19" s="264">
        <f>SUM(X7:X18)</f>
        <v>32719854.120000001</v>
      </c>
      <c r="AA19" s="217"/>
    </row>
    <row r="20" spans="1:27" x14ac:dyDescent="0.2">
      <c r="A20" s="151"/>
      <c r="B20" s="151"/>
      <c r="C20" s="240"/>
      <c r="D20" s="240"/>
      <c r="E20" s="240"/>
      <c r="F20" s="240"/>
      <c r="G20" s="240"/>
      <c r="H20" s="151"/>
      <c r="I20" s="240"/>
      <c r="J20" s="240"/>
      <c r="K20" s="240"/>
      <c r="L20" s="240"/>
      <c r="M20" s="240"/>
      <c r="N20" s="240"/>
      <c r="O20" s="240"/>
      <c r="T20" s="217">
        <f>T19/12</f>
        <v>22478</v>
      </c>
    </row>
    <row r="22" spans="1:27" x14ac:dyDescent="0.2">
      <c r="A22" s="198"/>
      <c r="B22" s="198"/>
      <c r="C22" s="198"/>
      <c r="D22" s="198"/>
      <c r="E22" s="198"/>
      <c r="F22" s="198"/>
      <c r="G22" s="198"/>
      <c r="H22" s="198"/>
      <c r="I22" s="203" t="s">
        <v>151</v>
      </c>
      <c r="J22" s="198" t="s">
        <v>151</v>
      </c>
      <c r="K22" s="198" t="s">
        <v>152</v>
      </c>
      <c r="L22" s="204" t="s">
        <v>152</v>
      </c>
      <c r="M22" s="205"/>
      <c r="N22" s="199" t="s">
        <v>152</v>
      </c>
      <c r="O22" s="206" t="s">
        <v>151</v>
      </c>
      <c r="P22" s="206" t="s">
        <v>151</v>
      </c>
      <c r="Q22" s="206"/>
      <c r="R22" s="261"/>
    </row>
    <row r="23" spans="1:27" x14ac:dyDescent="0.2">
      <c r="A23" s="197"/>
      <c r="B23" s="197">
        <v>2023</v>
      </c>
      <c r="C23" s="197" t="s">
        <v>176</v>
      </c>
      <c r="D23" s="197"/>
      <c r="E23" s="197" t="s">
        <v>154</v>
      </c>
      <c r="F23" s="197" t="s">
        <v>154</v>
      </c>
      <c r="G23" s="197" t="s">
        <v>123</v>
      </c>
      <c r="H23" s="197"/>
      <c r="I23" s="207" t="s">
        <v>155</v>
      </c>
      <c r="J23" s="197" t="s">
        <v>107</v>
      </c>
      <c r="K23" s="197" t="s">
        <v>156</v>
      </c>
      <c r="L23" s="208" t="s">
        <v>157</v>
      </c>
      <c r="M23" s="209"/>
      <c r="N23" s="206" t="s">
        <v>158</v>
      </c>
      <c r="O23" s="206" t="s">
        <v>159</v>
      </c>
      <c r="P23" s="206" t="s">
        <v>160</v>
      </c>
      <c r="Q23" s="206" t="s">
        <v>159</v>
      </c>
      <c r="R23" s="261"/>
      <c r="X23" s="151" t="s">
        <v>64</v>
      </c>
    </row>
    <row r="24" spans="1:27" x14ac:dyDescent="0.2">
      <c r="A24" s="204" t="s">
        <v>161</v>
      </c>
      <c r="B24" s="197" t="s">
        <v>162</v>
      </c>
      <c r="C24" s="197" t="s">
        <v>163</v>
      </c>
      <c r="D24" s="197" t="s">
        <v>123</v>
      </c>
      <c r="E24" s="197" t="s">
        <v>164</v>
      </c>
      <c r="F24" s="197" t="s">
        <v>164</v>
      </c>
      <c r="G24" s="197" t="s">
        <v>41</v>
      </c>
      <c r="H24" s="197"/>
      <c r="I24" s="207" t="s">
        <v>41</v>
      </c>
      <c r="J24" s="197" t="s">
        <v>165</v>
      </c>
      <c r="K24" s="197" t="s">
        <v>166</v>
      </c>
      <c r="L24" s="208" t="s">
        <v>41</v>
      </c>
      <c r="M24" s="209"/>
      <c r="N24" s="206" t="s">
        <v>41</v>
      </c>
      <c r="O24" s="206" t="s">
        <v>41</v>
      </c>
      <c r="P24" s="206" t="s">
        <v>123</v>
      </c>
      <c r="Q24" s="206" t="s">
        <v>167</v>
      </c>
      <c r="R24" s="261"/>
      <c r="X24" s="151" t="s">
        <v>209</v>
      </c>
    </row>
    <row r="25" spans="1:27" x14ac:dyDescent="0.2">
      <c r="A25" s="197" t="s">
        <v>201</v>
      </c>
      <c r="B25" s="210" t="s">
        <v>112</v>
      </c>
      <c r="C25" s="241">
        <v>1081</v>
      </c>
      <c r="D25" s="241">
        <v>1425300</v>
      </c>
      <c r="E25" s="241"/>
      <c r="F25" s="241"/>
      <c r="G25" s="241">
        <v>139408.71</v>
      </c>
      <c r="H25" s="241"/>
      <c r="I25" s="242"/>
      <c r="J25" s="241">
        <v>19064.84</v>
      </c>
      <c r="K25" s="241"/>
      <c r="L25" s="241">
        <v>20523.38</v>
      </c>
      <c r="M25" s="243"/>
      <c r="N25" s="243">
        <v>18439.490000000002</v>
      </c>
      <c r="O25" s="243">
        <v>5122.95</v>
      </c>
      <c r="P25" s="243">
        <v>26495</v>
      </c>
      <c r="Q25" s="243">
        <v>477</v>
      </c>
      <c r="R25" s="261"/>
      <c r="X25" s="283">
        <f t="shared" ref="X25:X36" si="14">G25+I25+J25+K25+L25</f>
        <v>178996.93</v>
      </c>
      <c r="Z25" s="283">
        <f>X25+X7</f>
        <v>3422854.5700000003</v>
      </c>
    </row>
    <row r="26" spans="1:27" x14ac:dyDescent="0.2">
      <c r="A26" s="197"/>
      <c r="B26" s="210" t="s">
        <v>113</v>
      </c>
      <c r="C26" s="241">
        <v>1067</v>
      </c>
      <c r="D26" s="241">
        <v>1468285</v>
      </c>
      <c r="E26" s="241"/>
      <c r="F26" s="241"/>
      <c r="G26" s="241">
        <v>143251.71</v>
      </c>
      <c r="H26" s="241"/>
      <c r="I26" s="242"/>
      <c r="J26" s="241">
        <v>18800.54</v>
      </c>
      <c r="K26" s="241"/>
      <c r="L26" s="241">
        <v>39190.1</v>
      </c>
      <c r="M26" s="243"/>
      <c r="N26" s="243">
        <v>18672.16</v>
      </c>
      <c r="O26" s="243">
        <v>5065.74</v>
      </c>
      <c r="P26" s="243">
        <v>26233</v>
      </c>
      <c r="Q26" s="243">
        <v>474</v>
      </c>
      <c r="R26" s="261"/>
      <c r="X26" s="283">
        <f t="shared" si="14"/>
        <v>201242.35</v>
      </c>
      <c r="Z26" s="283">
        <f t="shared" ref="Z26:Z37" si="15">X26+X8</f>
        <v>3849847.42</v>
      </c>
    </row>
    <row r="27" spans="1:27" x14ac:dyDescent="0.2">
      <c r="A27" s="197"/>
      <c r="B27" s="210" t="s">
        <v>114</v>
      </c>
      <c r="C27" s="241">
        <v>1085</v>
      </c>
      <c r="D27" s="241">
        <v>1252293</v>
      </c>
      <c r="E27" s="241"/>
      <c r="F27" s="241"/>
      <c r="G27" s="241">
        <v>115715.6</v>
      </c>
      <c r="H27" s="241"/>
      <c r="I27" s="242"/>
      <c r="J27" s="241">
        <v>19100.080000000002</v>
      </c>
      <c r="K27" s="241"/>
      <c r="L27" s="241">
        <v>18211.04</v>
      </c>
      <c r="M27" s="243"/>
      <c r="N27" s="243">
        <v>9266.89</v>
      </c>
      <c r="O27" s="243">
        <v>5134.12</v>
      </c>
      <c r="P27" s="243">
        <v>26304</v>
      </c>
      <c r="Q27" s="243">
        <v>482</v>
      </c>
      <c r="R27" s="261"/>
      <c r="X27" s="283">
        <f t="shared" si="14"/>
        <v>153026.72</v>
      </c>
      <c r="Z27" s="283">
        <f t="shared" si="15"/>
        <v>2907155.62</v>
      </c>
    </row>
    <row r="28" spans="1:27" x14ac:dyDescent="0.2">
      <c r="A28" s="197"/>
      <c r="B28" s="210" t="s">
        <v>168</v>
      </c>
      <c r="C28" s="241">
        <v>1094</v>
      </c>
      <c r="D28" s="241">
        <v>941339</v>
      </c>
      <c r="E28" s="241"/>
      <c r="F28" s="241"/>
      <c r="G28" s="241">
        <v>90856.43</v>
      </c>
      <c r="H28" s="241"/>
      <c r="I28" s="242"/>
      <c r="J28" s="241">
        <v>19276.28</v>
      </c>
      <c r="K28" s="241"/>
      <c r="L28" s="241">
        <v>8773.59</v>
      </c>
      <c r="M28" s="243"/>
      <c r="N28" s="243">
        <v>10840.94</v>
      </c>
      <c r="O28" s="243">
        <v>5136.83</v>
      </c>
      <c r="P28" s="243">
        <v>26454</v>
      </c>
      <c r="Q28" s="243">
        <v>480</v>
      </c>
      <c r="R28" s="261"/>
      <c r="X28" s="283">
        <f t="shared" si="14"/>
        <v>118906.29999999999</v>
      </c>
      <c r="Z28" s="283">
        <f t="shared" si="15"/>
        <v>2259108.67</v>
      </c>
    </row>
    <row r="29" spans="1:27" x14ac:dyDescent="0.2">
      <c r="A29" s="197"/>
      <c r="B29" s="210" t="s">
        <v>115</v>
      </c>
      <c r="C29" s="241">
        <v>1098</v>
      </c>
      <c r="D29" s="241">
        <v>961300</v>
      </c>
      <c r="E29" s="241"/>
      <c r="F29" s="241"/>
      <c r="G29" s="241">
        <v>97071.039999999994</v>
      </c>
      <c r="H29" s="241"/>
      <c r="I29" s="242"/>
      <c r="J29" s="241">
        <v>19329.14</v>
      </c>
      <c r="K29" s="241"/>
      <c r="L29" s="241">
        <v>12033.01</v>
      </c>
      <c r="M29" s="243"/>
      <c r="N29" s="243">
        <v>15398.04</v>
      </c>
      <c r="O29" s="243">
        <v>5180.3</v>
      </c>
      <c r="P29" s="243">
        <v>26584</v>
      </c>
      <c r="Q29" s="243">
        <v>485</v>
      </c>
      <c r="R29" s="261"/>
      <c r="X29" s="283">
        <f t="shared" si="14"/>
        <v>128433.18999999999</v>
      </c>
      <c r="Z29" s="283">
        <f t="shared" si="15"/>
        <v>2481957.7599999998</v>
      </c>
    </row>
    <row r="30" spans="1:27" x14ac:dyDescent="0.2">
      <c r="A30" s="197"/>
      <c r="B30" s="210" t="s">
        <v>169</v>
      </c>
      <c r="C30" s="241">
        <v>1095</v>
      </c>
      <c r="D30" s="241">
        <v>891206</v>
      </c>
      <c r="E30" s="241"/>
      <c r="F30" s="241"/>
      <c r="G30" s="241">
        <v>89163.56</v>
      </c>
      <c r="H30" s="241"/>
      <c r="I30" s="242"/>
      <c r="J30" s="241">
        <v>19276.28</v>
      </c>
      <c r="K30" s="241"/>
      <c r="L30" s="241">
        <v>9875.82</v>
      </c>
      <c r="M30" s="243"/>
      <c r="N30" s="243">
        <v>13426.39</v>
      </c>
      <c r="O30" s="243">
        <v>5192.78</v>
      </c>
      <c r="P30" s="243">
        <v>26464</v>
      </c>
      <c r="Q30" s="243">
        <v>484</v>
      </c>
      <c r="R30" s="261"/>
      <c r="X30" s="283">
        <f t="shared" si="14"/>
        <v>118315.66</v>
      </c>
      <c r="Z30" s="283">
        <f t="shared" si="15"/>
        <v>2363531.6</v>
      </c>
    </row>
    <row r="31" spans="1:27" x14ac:dyDescent="0.2">
      <c r="A31" s="197"/>
      <c r="B31" s="210" t="s">
        <v>170</v>
      </c>
      <c r="C31" s="241">
        <v>1110</v>
      </c>
      <c r="D31" s="241">
        <v>1118664</v>
      </c>
      <c r="E31" s="241"/>
      <c r="F31" s="241"/>
      <c r="G31" s="241">
        <v>113963.11</v>
      </c>
      <c r="H31" s="241"/>
      <c r="I31" s="242"/>
      <c r="J31" s="241">
        <v>19575.82</v>
      </c>
      <c r="K31" s="241"/>
      <c r="L31" s="241">
        <v>7242.82</v>
      </c>
      <c r="M31" s="243"/>
      <c r="N31" s="243">
        <v>18866.009999999998</v>
      </c>
      <c r="O31" s="243">
        <v>5245.74</v>
      </c>
      <c r="P31" s="243">
        <v>26614</v>
      </c>
      <c r="Q31" s="243">
        <v>489</v>
      </c>
      <c r="R31" s="261"/>
      <c r="X31" s="283">
        <f t="shared" si="14"/>
        <v>140781.75</v>
      </c>
      <c r="Z31" s="283">
        <f t="shared" si="15"/>
        <v>2863168.1999999997</v>
      </c>
    </row>
    <row r="32" spans="1:27" x14ac:dyDescent="0.2">
      <c r="A32" s="197"/>
      <c r="B32" s="210" t="s">
        <v>116</v>
      </c>
      <c r="C32" s="241">
        <v>1105</v>
      </c>
      <c r="D32" s="241">
        <v>1271729</v>
      </c>
      <c r="E32" s="241"/>
      <c r="F32" s="241"/>
      <c r="G32" s="241">
        <v>129906.14</v>
      </c>
      <c r="H32" s="241"/>
      <c r="I32" s="242"/>
      <c r="J32" s="241">
        <v>19575.82</v>
      </c>
      <c r="K32" s="241"/>
      <c r="L32" s="241">
        <v>7096.8</v>
      </c>
      <c r="M32" s="243"/>
      <c r="N32" s="243">
        <v>21796.29</v>
      </c>
      <c r="O32" s="243">
        <v>5298.89</v>
      </c>
      <c r="P32" s="243">
        <v>26652</v>
      </c>
      <c r="Q32" s="243">
        <v>495</v>
      </c>
      <c r="R32" s="261"/>
      <c r="X32" s="283">
        <f t="shared" si="14"/>
        <v>156578.75999999998</v>
      </c>
      <c r="Z32" s="283">
        <f t="shared" si="15"/>
        <v>3140010.9199999995</v>
      </c>
    </row>
    <row r="33" spans="1:26" x14ac:dyDescent="0.2">
      <c r="A33" s="197"/>
      <c r="B33" s="210" t="s">
        <v>171</v>
      </c>
      <c r="C33" s="241">
        <v>1129</v>
      </c>
      <c r="D33" s="241">
        <v>953091</v>
      </c>
      <c r="E33" s="241"/>
      <c r="F33" s="241"/>
      <c r="G33" s="241">
        <v>97306.17</v>
      </c>
      <c r="H33" s="241"/>
      <c r="I33" s="242"/>
      <c r="J33" s="241">
        <v>19892.98</v>
      </c>
      <c r="K33" s="241"/>
      <c r="L33" s="241">
        <v>10988.14</v>
      </c>
      <c r="M33" s="243"/>
      <c r="N33" s="243">
        <v>16250.49</v>
      </c>
      <c r="O33" s="243">
        <v>5468.21</v>
      </c>
      <c r="P33" s="243">
        <v>27504</v>
      </c>
      <c r="Q33" s="243">
        <v>508</v>
      </c>
      <c r="R33" s="261"/>
      <c r="X33" s="283">
        <f t="shared" si="14"/>
        <v>128187.29</v>
      </c>
      <c r="Z33" s="283">
        <f t="shared" si="15"/>
        <v>2482237.6</v>
      </c>
    </row>
    <row r="34" spans="1:26" x14ac:dyDescent="0.2">
      <c r="A34" s="197"/>
      <c r="B34" s="210" t="s">
        <v>117</v>
      </c>
      <c r="C34" s="241">
        <v>1131</v>
      </c>
      <c r="D34" s="241">
        <v>931327</v>
      </c>
      <c r="E34" s="241"/>
      <c r="F34" s="241"/>
      <c r="G34" s="241">
        <v>90434.27</v>
      </c>
      <c r="H34" s="241"/>
      <c r="I34" s="242"/>
      <c r="J34" s="241">
        <v>19910.599999999999</v>
      </c>
      <c r="K34" s="241"/>
      <c r="L34" s="241">
        <v>12115.84</v>
      </c>
      <c r="M34" s="243"/>
      <c r="N34" s="243">
        <v>11152.41</v>
      </c>
      <c r="O34" s="243">
        <v>5457.1</v>
      </c>
      <c r="P34" s="243">
        <v>27413</v>
      </c>
      <c r="Q34" s="243">
        <v>507</v>
      </c>
      <c r="R34" s="261"/>
      <c r="X34" s="283">
        <f t="shared" si="14"/>
        <v>122460.70999999999</v>
      </c>
      <c r="Z34" s="283">
        <f t="shared" si="15"/>
        <v>2246375.89</v>
      </c>
    </row>
    <row r="35" spans="1:26" x14ac:dyDescent="0.2">
      <c r="A35" s="197"/>
      <c r="B35" s="210" t="s">
        <v>118</v>
      </c>
      <c r="C35" s="241">
        <v>1135</v>
      </c>
      <c r="D35" s="241">
        <v>1423716</v>
      </c>
      <c r="E35" s="241"/>
      <c r="F35" s="241"/>
      <c r="G35" s="241">
        <v>137808.28</v>
      </c>
      <c r="H35" s="241"/>
      <c r="I35" s="242"/>
      <c r="J35" s="241">
        <v>20016.32</v>
      </c>
      <c r="K35" s="241"/>
      <c r="L35" s="241">
        <v>16784.189999999999</v>
      </c>
      <c r="M35" s="243"/>
      <c r="N35" s="243">
        <v>16583.580000000002</v>
      </c>
      <c r="O35" s="243">
        <v>5450.65</v>
      </c>
      <c r="P35" s="243">
        <v>26865</v>
      </c>
      <c r="Q35" s="243">
        <v>504</v>
      </c>
      <c r="R35" s="261"/>
      <c r="X35" s="283">
        <f t="shared" si="14"/>
        <v>174608.79</v>
      </c>
      <c r="Z35" s="283">
        <f t="shared" si="15"/>
        <v>3114732.0500000003</v>
      </c>
    </row>
    <row r="36" spans="1:26" x14ac:dyDescent="0.2">
      <c r="A36" s="197"/>
      <c r="B36" s="210" t="s">
        <v>119</v>
      </c>
      <c r="C36" s="241">
        <v>1146</v>
      </c>
      <c r="D36" s="241">
        <v>1586855</v>
      </c>
      <c r="E36" s="241"/>
      <c r="F36" s="241"/>
      <c r="G36" s="241">
        <v>155835.46</v>
      </c>
      <c r="H36" s="241"/>
      <c r="I36" s="242"/>
      <c r="J36" s="241">
        <v>20174.900000000001</v>
      </c>
      <c r="K36" s="241"/>
      <c r="L36" s="241">
        <v>10439.780000000001</v>
      </c>
      <c r="M36" s="243"/>
      <c r="N36" s="243">
        <v>20745.419999999998</v>
      </c>
      <c r="O36" s="243">
        <v>5444.57</v>
      </c>
      <c r="P36" s="243">
        <v>27087</v>
      </c>
      <c r="Q36" s="243">
        <v>504</v>
      </c>
      <c r="R36" s="261"/>
      <c r="X36" s="283">
        <f t="shared" si="14"/>
        <v>186450.13999999998</v>
      </c>
      <c r="Z36" s="283">
        <f t="shared" si="15"/>
        <v>3396862.41</v>
      </c>
    </row>
    <row r="37" spans="1:26" x14ac:dyDescent="0.2">
      <c r="A37" s="197"/>
      <c r="B37" s="197" t="s">
        <v>83</v>
      </c>
      <c r="C37" s="212">
        <f>SUM(C25:C36)</f>
        <v>13276</v>
      </c>
      <c r="D37" s="212">
        <f>SUM(D25:D36)</f>
        <v>14225105</v>
      </c>
      <c r="E37" s="212"/>
      <c r="F37" s="212"/>
      <c r="G37" s="212">
        <f>SUM(G25:G36)</f>
        <v>1400720.48</v>
      </c>
      <c r="H37" s="212"/>
      <c r="I37" s="197"/>
      <c r="J37" s="212">
        <f t="shared" ref="J37:Q37" si="16">SUM(J25:J36)</f>
        <v>233993.60000000003</v>
      </c>
      <c r="K37" s="212"/>
      <c r="L37" s="212">
        <f t="shared" si="16"/>
        <v>173274.50999999998</v>
      </c>
      <c r="M37" s="218"/>
      <c r="N37" s="218">
        <f t="shared" si="16"/>
        <v>191438.11</v>
      </c>
      <c r="O37" s="218">
        <f t="shared" si="16"/>
        <v>63197.88</v>
      </c>
      <c r="P37" s="218">
        <f t="shared" si="16"/>
        <v>320669</v>
      </c>
      <c r="Q37" s="218">
        <f t="shared" si="16"/>
        <v>5889</v>
      </c>
      <c r="R37" s="261"/>
      <c r="V37" s="217"/>
      <c r="W37" s="217"/>
      <c r="X37" s="264">
        <f>SUM(X25:X36)</f>
        <v>1807988.5899999999</v>
      </c>
      <c r="Z37" s="264">
        <f t="shared" si="15"/>
        <v>34527842.710000001</v>
      </c>
    </row>
    <row r="40" spans="1:26" x14ac:dyDescent="0.2">
      <c r="A40" s="151"/>
      <c r="B40" s="151"/>
      <c r="C40" s="240"/>
      <c r="D40" s="240"/>
      <c r="E40" s="240"/>
      <c r="F40" s="240"/>
      <c r="G40" s="240"/>
      <c r="H40" s="240"/>
      <c r="I40" s="151"/>
      <c r="J40" s="240"/>
      <c r="K40" s="240"/>
      <c r="L40" s="240"/>
      <c r="M40" s="240"/>
      <c r="N40" s="240"/>
      <c r="O40" s="240"/>
      <c r="P40" s="240"/>
      <c r="Q40" s="240"/>
    </row>
    <row r="42" spans="1:26" x14ac:dyDescent="0.2">
      <c r="A42" s="213"/>
      <c r="B42" s="197">
        <v>2023</v>
      </c>
      <c r="C42" s="197" t="s">
        <v>176</v>
      </c>
      <c r="D42" s="197" t="s">
        <v>38</v>
      </c>
      <c r="E42" s="197" t="s">
        <v>39</v>
      </c>
      <c r="F42" s="197" t="s">
        <v>172</v>
      </c>
      <c r="G42" s="197" t="s">
        <v>173</v>
      </c>
      <c r="H42" s="197"/>
      <c r="I42" s="207" t="s">
        <v>155</v>
      </c>
      <c r="J42" s="197" t="s">
        <v>107</v>
      </c>
      <c r="K42" s="197" t="s">
        <v>156</v>
      </c>
      <c r="L42" s="208" t="s">
        <v>174</v>
      </c>
      <c r="M42" s="208" t="s">
        <v>175</v>
      </c>
      <c r="N42" s="206" t="s">
        <v>158</v>
      </c>
      <c r="O42" s="206" t="s">
        <v>159</v>
      </c>
      <c r="P42" s="206" t="s">
        <v>160</v>
      </c>
      <c r="Q42" s="206" t="s">
        <v>159</v>
      </c>
      <c r="R42" s="261"/>
      <c r="X42" s="151" t="s">
        <v>64</v>
      </c>
    </row>
    <row r="43" spans="1:26" x14ac:dyDescent="0.2">
      <c r="A43" s="204" t="s">
        <v>161</v>
      </c>
      <c r="B43" s="197" t="s">
        <v>162</v>
      </c>
      <c r="C43" s="197" t="s">
        <v>163</v>
      </c>
      <c r="D43" s="197" t="s">
        <v>8</v>
      </c>
      <c r="E43" s="197" t="s">
        <v>8</v>
      </c>
      <c r="F43" s="197" t="s">
        <v>41</v>
      </c>
      <c r="G43" s="197" t="s">
        <v>41</v>
      </c>
      <c r="H43" s="197"/>
      <c r="I43" s="207" t="s">
        <v>41</v>
      </c>
      <c r="J43" s="197" t="s">
        <v>165</v>
      </c>
      <c r="K43" s="197" t="s">
        <v>166</v>
      </c>
      <c r="L43" s="208" t="s">
        <v>41</v>
      </c>
      <c r="M43" s="208" t="s">
        <v>41</v>
      </c>
      <c r="N43" s="206" t="s">
        <v>41</v>
      </c>
      <c r="O43" s="206" t="s">
        <v>41</v>
      </c>
      <c r="P43" s="206" t="s">
        <v>123</v>
      </c>
      <c r="Q43" s="206" t="s">
        <v>167</v>
      </c>
      <c r="R43" s="261"/>
      <c r="T43" s="151" t="s">
        <v>202</v>
      </c>
      <c r="U43" s="151" t="s">
        <v>123</v>
      </c>
      <c r="X43" s="151" t="s">
        <v>209</v>
      </c>
    </row>
    <row r="44" spans="1:26" x14ac:dyDescent="0.2">
      <c r="A44" s="204" t="s">
        <v>141</v>
      </c>
      <c r="B44" s="210" t="s">
        <v>112</v>
      </c>
      <c r="C44" s="214">
        <v>8</v>
      </c>
      <c r="D44" s="262">
        <v>2152</v>
      </c>
      <c r="E44" s="262">
        <v>5563</v>
      </c>
      <c r="F44" s="262">
        <v>306.33999999999997</v>
      </c>
      <c r="G44" s="262">
        <v>322.42</v>
      </c>
      <c r="H44" s="214"/>
      <c r="I44" s="214"/>
      <c r="J44" s="214">
        <v>165.84</v>
      </c>
      <c r="K44" s="214"/>
      <c r="L44" s="214">
        <v>30.42</v>
      </c>
      <c r="M44" s="214">
        <v>78.63</v>
      </c>
      <c r="N44" s="214">
        <v>112.74</v>
      </c>
      <c r="O44" s="214">
        <v>0</v>
      </c>
      <c r="P44" s="214">
        <v>0</v>
      </c>
      <c r="Q44" s="214">
        <v>0</v>
      </c>
      <c r="R44" s="261"/>
      <c r="T44" s="217">
        <f>C44</f>
        <v>8</v>
      </c>
      <c r="U44" s="217">
        <f>D44+E44</f>
        <v>7715</v>
      </c>
      <c r="X44" s="283">
        <f>F44+G44+I44+J44+K44+L44+M44</f>
        <v>903.65</v>
      </c>
    </row>
    <row r="45" spans="1:26" x14ac:dyDescent="0.2">
      <c r="A45" s="198"/>
      <c r="B45" s="210" t="s">
        <v>113</v>
      </c>
      <c r="C45" s="214">
        <v>9</v>
      </c>
      <c r="D45" s="262">
        <v>4548</v>
      </c>
      <c r="E45" s="262">
        <v>6003</v>
      </c>
      <c r="F45" s="262">
        <v>581.19000000000005</v>
      </c>
      <c r="G45" s="262">
        <v>347.94</v>
      </c>
      <c r="H45" s="214"/>
      <c r="I45" s="214"/>
      <c r="J45" s="214">
        <v>165.84</v>
      </c>
      <c r="K45" s="214"/>
      <c r="L45" s="214">
        <v>119.25</v>
      </c>
      <c r="M45" s="214">
        <v>157.4</v>
      </c>
      <c r="N45" s="214">
        <v>121.17</v>
      </c>
      <c r="O45" s="214">
        <v>0</v>
      </c>
      <c r="P45" s="214">
        <v>0</v>
      </c>
      <c r="Q45" s="214">
        <v>1</v>
      </c>
      <c r="R45" s="261"/>
      <c r="T45" s="217">
        <f t="shared" ref="T45:T56" si="17">C45</f>
        <v>9</v>
      </c>
      <c r="U45" s="217">
        <f t="shared" ref="U45:U56" si="18">D45+E45</f>
        <v>10551</v>
      </c>
      <c r="X45" s="283">
        <f t="shared" ref="X45:X55" si="19">F45+G45+I45+J45+K45+L45+M45</f>
        <v>1371.6200000000001</v>
      </c>
    </row>
    <row r="46" spans="1:26" x14ac:dyDescent="0.2">
      <c r="A46" s="198"/>
      <c r="B46" s="210" t="s">
        <v>114</v>
      </c>
      <c r="C46" s="214">
        <v>9</v>
      </c>
      <c r="D46" s="262">
        <v>3428</v>
      </c>
      <c r="E46" s="262">
        <v>5236</v>
      </c>
      <c r="F46" s="262">
        <v>404.06</v>
      </c>
      <c r="G46" s="262">
        <v>303.48</v>
      </c>
      <c r="H46" s="214"/>
      <c r="I46" s="214"/>
      <c r="J46" s="214">
        <v>165.84</v>
      </c>
      <c r="K46" s="214"/>
      <c r="L46" s="214">
        <v>48.83</v>
      </c>
      <c r="M46" s="214">
        <v>74.569999999999993</v>
      </c>
      <c r="N46" s="214">
        <v>57.32</v>
      </c>
      <c r="O46" s="214">
        <v>0</v>
      </c>
      <c r="P46" s="214">
        <v>0</v>
      </c>
      <c r="Q46" s="214">
        <v>0</v>
      </c>
      <c r="R46" s="261"/>
      <c r="T46" s="217">
        <f t="shared" si="17"/>
        <v>9</v>
      </c>
      <c r="U46" s="217">
        <f t="shared" si="18"/>
        <v>8664</v>
      </c>
      <c r="X46" s="283">
        <f t="shared" si="19"/>
        <v>996.78</v>
      </c>
    </row>
    <row r="47" spans="1:26" x14ac:dyDescent="0.2">
      <c r="A47" s="198"/>
      <c r="B47" s="210" t="s">
        <v>168</v>
      </c>
      <c r="C47" s="214">
        <v>9</v>
      </c>
      <c r="D47" s="262">
        <v>1427</v>
      </c>
      <c r="E47" s="262">
        <v>2328</v>
      </c>
      <c r="F47" s="262">
        <v>189.58</v>
      </c>
      <c r="G47" s="262">
        <v>134.93</v>
      </c>
      <c r="H47" s="214"/>
      <c r="I47" s="214"/>
      <c r="J47" s="214">
        <v>165.84</v>
      </c>
      <c r="K47" s="214"/>
      <c r="L47" s="214">
        <v>12.94</v>
      </c>
      <c r="M47" s="214">
        <v>21.1</v>
      </c>
      <c r="N47" s="214">
        <v>45.24</v>
      </c>
      <c r="O47" s="214">
        <v>0</v>
      </c>
      <c r="P47" s="214">
        <v>0</v>
      </c>
      <c r="Q47" s="214">
        <v>0</v>
      </c>
      <c r="R47" s="261"/>
      <c r="T47" s="217">
        <f t="shared" si="17"/>
        <v>9</v>
      </c>
      <c r="U47" s="217">
        <f t="shared" si="18"/>
        <v>3755</v>
      </c>
      <c r="X47" s="283">
        <f t="shared" si="19"/>
        <v>524.39</v>
      </c>
    </row>
    <row r="48" spans="1:26" x14ac:dyDescent="0.2">
      <c r="A48" s="198"/>
      <c r="B48" s="210" t="s">
        <v>115</v>
      </c>
      <c r="C48" s="214">
        <v>9</v>
      </c>
      <c r="D48" s="262">
        <v>1190</v>
      </c>
      <c r="E48" s="262">
        <v>847</v>
      </c>
      <c r="F48" s="262">
        <v>166.64</v>
      </c>
      <c r="G48" s="262">
        <v>49.1</v>
      </c>
      <c r="H48" s="214"/>
      <c r="I48" s="214"/>
      <c r="J48" s="214">
        <v>165.84</v>
      </c>
      <c r="K48" s="214"/>
      <c r="L48" s="214">
        <v>14.48</v>
      </c>
      <c r="M48" s="214">
        <v>10.31</v>
      </c>
      <c r="N48" s="214">
        <v>46.27</v>
      </c>
      <c r="O48" s="214">
        <v>0</v>
      </c>
      <c r="P48" s="214">
        <v>0</v>
      </c>
      <c r="Q48" s="214">
        <v>0</v>
      </c>
      <c r="R48" s="261"/>
      <c r="T48" s="217">
        <f t="shared" si="17"/>
        <v>9</v>
      </c>
      <c r="U48" s="217">
        <f t="shared" si="18"/>
        <v>2037</v>
      </c>
      <c r="X48" s="283">
        <f t="shared" si="19"/>
        <v>406.37</v>
      </c>
    </row>
    <row r="49" spans="1:24" x14ac:dyDescent="0.2">
      <c r="A49" s="198"/>
      <c r="B49" s="210" t="s">
        <v>169</v>
      </c>
      <c r="C49" s="214">
        <v>9</v>
      </c>
      <c r="D49" s="262">
        <v>686</v>
      </c>
      <c r="E49" s="262">
        <v>114</v>
      </c>
      <c r="F49" s="262">
        <v>99.58</v>
      </c>
      <c r="G49" s="262">
        <v>6.61</v>
      </c>
      <c r="H49" s="214"/>
      <c r="I49" s="214"/>
      <c r="J49" s="214">
        <v>165.84</v>
      </c>
      <c r="K49" s="214"/>
      <c r="L49" s="214">
        <v>7.39</v>
      </c>
      <c r="M49" s="214">
        <v>1.22</v>
      </c>
      <c r="N49" s="214">
        <v>30.19</v>
      </c>
      <c r="O49" s="214">
        <v>0</v>
      </c>
      <c r="P49" s="214">
        <v>0</v>
      </c>
      <c r="Q49" s="214">
        <v>0</v>
      </c>
      <c r="R49" s="261"/>
      <c r="T49" s="217">
        <f t="shared" si="17"/>
        <v>9</v>
      </c>
      <c r="U49" s="217">
        <f t="shared" si="18"/>
        <v>800</v>
      </c>
      <c r="X49" s="283">
        <f t="shared" si="19"/>
        <v>280.64</v>
      </c>
    </row>
    <row r="50" spans="1:24" x14ac:dyDescent="0.2">
      <c r="A50" s="198"/>
      <c r="B50" s="210" t="s">
        <v>170</v>
      </c>
      <c r="C50" s="214">
        <v>9</v>
      </c>
      <c r="D50" s="262">
        <v>1199</v>
      </c>
      <c r="E50" s="262">
        <v>22</v>
      </c>
      <c r="F50" s="262">
        <v>164.81</v>
      </c>
      <c r="G50" s="262">
        <v>1.28</v>
      </c>
      <c r="H50" s="214"/>
      <c r="I50" s="214"/>
      <c r="J50" s="214">
        <v>165.84</v>
      </c>
      <c r="K50" s="214"/>
      <c r="L50" s="214">
        <v>0.14000000000000001</v>
      </c>
      <c r="M50" s="214">
        <v>7.58</v>
      </c>
      <c r="N50" s="214">
        <v>43.53</v>
      </c>
      <c r="O50" s="214">
        <v>0</v>
      </c>
      <c r="P50" s="214">
        <v>0</v>
      </c>
      <c r="Q50" s="214">
        <v>0</v>
      </c>
      <c r="R50" s="261"/>
      <c r="T50" s="217">
        <f t="shared" si="17"/>
        <v>9</v>
      </c>
      <c r="U50" s="217">
        <f t="shared" si="18"/>
        <v>1221</v>
      </c>
      <c r="X50" s="283">
        <f t="shared" si="19"/>
        <v>339.65</v>
      </c>
    </row>
    <row r="51" spans="1:24" x14ac:dyDescent="0.2">
      <c r="A51" s="198"/>
      <c r="B51" s="210" t="s">
        <v>116</v>
      </c>
      <c r="C51" s="214">
        <v>8</v>
      </c>
      <c r="D51" s="262">
        <v>1372</v>
      </c>
      <c r="E51" s="262">
        <v>43</v>
      </c>
      <c r="F51" s="262">
        <v>184.29</v>
      </c>
      <c r="G51" s="262">
        <v>2.4900000000000002</v>
      </c>
      <c r="H51" s="214"/>
      <c r="I51" s="214"/>
      <c r="J51" s="214">
        <v>145.11000000000001</v>
      </c>
      <c r="K51" s="214"/>
      <c r="L51" s="214">
        <v>7.48</v>
      </c>
      <c r="M51" s="214">
        <v>0.23</v>
      </c>
      <c r="N51" s="214">
        <v>45.51</v>
      </c>
      <c r="O51" s="214">
        <v>0</v>
      </c>
      <c r="P51" s="214">
        <v>0</v>
      </c>
      <c r="Q51" s="214">
        <v>0</v>
      </c>
      <c r="R51" s="261"/>
      <c r="T51" s="217">
        <f t="shared" si="17"/>
        <v>8</v>
      </c>
      <c r="U51" s="217">
        <f t="shared" si="18"/>
        <v>1415</v>
      </c>
      <c r="X51" s="283">
        <f t="shared" si="19"/>
        <v>339.6</v>
      </c>
    </row>
    <row r="52" spans="1:24" x14ac:dyDescent="0.2">
      <c r="A52" s="198"/>
      <c r="B52" s="210" t="s">
        <v>171</v>
      </c>
      <c r="C52" s="214">
        <v>8</v>
      </c>
      <c r="D52" s="262">
        <v>802</v>
      </c>
      <c r="E52" s="262">
        <v>26</v>
      </c>
      <c r="F52" s="262">
        <v>113.71</v>
      </c>
      <c r="G52" s="262">
        <v>1.51</v>
      </c>
      <c r="H52" s="214"/>
      <c r="I52" s="214"/>
      <c r="J52" s="214">
        <v>145.11000000000001</v>
      </c>
      <c r="K52" s="214"/>
      <c r="L52" s="214">
        <v>8.98</v>
      </c>
      <c r="M52" s="214">
        <v>0.28999999999999998</v>
      </c>
      <c r="N52" s="214">
        <v>32.590000000000003</v>
      </c>
      <c r="O52" s="214">
        <v>0</v>
      </c>
      <c r="P52" s="214">
        <v>0</v>
      </c>
      <c r="Q52" s="214">
        <v>0</v>
      </c>
      <c r="R52" s="261"/>
      <c r="T52" s="217">
        <f t="shared" si="17"/>
        <v>8</v>
      </c>
      <c r="U52" s="217">
        <f t="shared" si="18"/>
        <v>828</v>
      </c>
      <c r="X52" s="283">
        <f t="shared" si="19"/>
        <v>269.60000000000008</v>
      </c>
    </row>
    <row r="53" spans="1:24" x14ac:dyDescent="0.2">
      <c r="A53" s="198"/>
      <c r="B53" s="210" t="s">
        <v>117</v>
      </c>
      <c r="C53" s="214">
        <v>8</v>
      </c>
      <c r="D53" s="262">
        <v>710</v>
      </c>
      <c r="E53" s="262">
        <v>456</v>
      </c>
      <c r="F53" s="262">
        <v>96.42</v>
      </c>
      <c r="G53" s="262">
        <v>26.43</v>
      </c>
      <c r="H53" s="214"/>
      <c r="I53" s="214"/>
      <c r="J53" s="214">
        <v>145.11000000000001</v>
      </c>
      <c r="K53" s="214"/>
      <c r="L53" s="214">
        <v>8.98</v>
      </c>
      <c r="M53" s="214">
        <v>5.76</v>
      </c>
      <c r="N53" s="214">
        <v>24.61</v>
      </c>
      <c r="O53" s="214">
        <v>0</v>
      </c>
      <c r="P53" s="214">
        <v>0</v>
      </c>
      <c r="Q53" s="214">
        <v>0</v>
      </c>
      <c r="R53" s="261"/>
      <c r="T53" s="217">
        <f t="shared" si="17"/>
        <v>8</v>
      </c>
      <c r="U53" s="217">
        <f t="shared" si="18"/>
        <v>1166</v>
      </c>
      <c r="X53" s="283">
        <f t="shared" si="19"/>
        <v>282.70000000000005</v>
      </c>
    </row>
    <row r="54" spans="1:24" x14ac:dyDescent="0.2">
      <c r="A54" s="198"/>
      <c r="B54" s="210" t="s">
        <v>118</v>
      </c>
      <c r="C54" s="214">
        <v>8</v>
      </c>
      <c r="D54" s="262">
        <v>1655</v>
      </c>
      <c r="E54" s="262">
        <v>2530</v>
      </c>
      <c r="F54" s="262">
        <v>218.85</v>
      </c>
      <c r="G54" s="262">
        <v>146.63999999999999</v>
      </c>
      <c r="H54" s="214"/>
      <c r="I54" s="214"/>
      <c r="J54" s="214">
        <v>145.11000000000001</v>
      </c>
      <c r="K54" s="214"/>
      <c r="L54" s="214">
        <v>19.149999999999999</v>
      </c>
      <c r="M54" s="214">
        <v>29.28</v>
      </c>
      <c r="N54" s="214">
        <v>51.46</v>
      </c>
      <c r="O54" s="214">
        <v>0</v>
      </c>
      <c r="P54" s="214">
        <v>0</v>
      </c>
      <c r="Q54" s="214">
        <v>0</v>
      </c>
      <c r="R54" s="261"/>
      <c r="T54" s="217">
        <f t="shared" si="17"/>
        <v>8</v>
      </c>
      <c r="U54" s="217">
        <f t="shared" si="18"/>
        <v>4185</v>
      </c>
      <c r="X54" s="283">
        <f t="shared" si="19"/>
        <v>559.03</v>
      </c>
    </row>
    <row r="55" spans="1:24" x14ac:dyDescent="0.2">
      <c r="A55" s="198"/>
      <c r="B55" s="210" t="s">
        <v>119</v>
      </c>
      <c r="C55" s="214">
        <v>8</v>
      </c>
      <c r="D55" s="262">
        <v>3350</v>
      </c>
      <c r="E55" s="262">
        <v>3904</v>
      </c>
      <c r="F55" s="262">
        <v>430.48</v>
      </c>
      <c r="G55" s="262">
        <v>226.28</v>
      </c>
      <c r="H55" s="214"/>
      <c r="I55" s="214"/>
      <c r="J55" s="214">
        <v>145.11000000000001</v>
      </c>
      <c r="K55" s="214"/>
      <c r="L55" s="214">
        <v>21.66</v>
      </c>
      <c r="M55" s="214">
        <v>25.25</v>
      </c>
      <c r="N55" s="214">
        <v>91.63</v>
      </c>
      <c r="O55" s="214">
        <v>0</v>
      </c>
      <c r="P55" s="214">
        <v>0</v>
      </c>
      <c r="Q55" s="214">
        <v>0</v>
      </c>
      <c r="R55" s="261"/>
      <c r="T55" s="217">
        <f t="shared" si="17"/>
        <v>8</v>
      </c>
      <c r="U55" s="217">
        <f t="shared" si="18"/>
        <v>7254</v>
      </c>
      <c r="X55" s="283">
        <f t="shared" si="19"/>
        <v>848.78</v>
      </c>
    </row>
    <row r="56" spans="1:24" x14ac:dyDescent="0.2">
      <c r="A56" s="197"/>
      <c r="B56" s="213" t="s">
        <v>83</v>
      </c>
      <c r="C56" s="215">
        <f>SUM(C44:C55)</f>
        <v>102</v>
      </c>
      <c r="D56" s="215">
        <f>SUM(D44:D55)</f>
        <v>22519</v>
      </c>
      <c r="E56" s="215">
        <f>SUM(E44:E55)</f>
        <v>27072</v>
      </c>
      <c r="F56" s="215">
        <f>SUM(F44:F55)</f>
        <v>2955.95</v>
      </c>
      <c r="G56" s="215">
        <f>SUM(G44:G55)</f>
        <v>1569.11</v>
      </c>
      <c r="H56" s="215"/>
      <c r="I56" s="215"/>
      <c r="J56" s="215">
        <f t="shared" ref="J56" si="20">SUM(J44:J55)</f>
        <v>1886.4300000000007</v>
      </c>
      <c r="K56" s="215"/>
      <c r="L56" s="215">
        <f>SUM(L44:L55)</f>
        <v>299.69999999999993</v>
      </c>
      <c r="M56" s="215">
        <f>SUM(M44:M55)</f>
        <v>411.62000000000012</v>
      </c>
      <c r="N56" s="215">
        <f t="shared" ref="N56:Q56" si="21">SUM(N44:N55)</f>
        <v>702.2600000000001</v>
      </c>
      <c r="O56" s="215">
        <f t="shared" si="21"/>
        <v>0</v>
      </c>
      <c r="P56" s="215">
        <f t="shared" si="21"/>
        <v>0</v>
      </c>
      <c r="Q56" s="215">
        <f t="shared" si="21"/>
        <v>1</v>
      </c>
      <c r="R56" s="261"/>
      <c r="T56" s="264">
        <f t="shared" si="17"/>
        <v>102</v>
      </c>
      <c r="U56" s="264">
        <f t="shared" si="18"/>
        <v>49591</v>
      </c>
      <c r="V56" s="217"/>
      <c r="W56" s="217"/>
      <c r="X56" s="264">
        <f>SUM(X44:X55)</f>
        <v>7122.81</v>
      </c>
    </row>
    <row r="57" spans="1:24" x14ac:dyDescent="0.2">
      <c r="T57" s="217">
        <f>T56/12</f>
        <v>8.5</v>
      </c>
    </row>
    <row r="60" spans="1:24" x14ac:dyDescent="0.2">
      <c r="A60" s="198"/>
      <c r="B60" s="216"/>
      <c r="C60" s="216"/>
      <c r="D60" s="214"/>
      <c r="E60" s="214"/>
      <c r="F60" s="214"/>
      <c r="G60" s="214"/>
      <c r="H60" s="214"/>
      <c r="I60" s="203" t="s">
        <v>151</v>
      </c>
      <c r="J60" s="198" t="s">
        <v>151</v>
      </c>
      <c r="K60" s="198" t="s">
        <v>152</v>
      </c>
      <c r="L60" s="204" t="s">
        <v>152</v>
      </c>
      <c r="M60" s="205"/>
      <c r="N60" s="199" t="s">
        <v>152</v>
      </c>
      <c r="O60" s="206" t="s">
        <v>151</v>
      </c>
      <c r="P60" s="206" t="s">
        <v>151</v>
      </c>
      <c r="Q60" s="206"/>
      <c r="R60" s="261"/>
    </row>
    <row r="61" spans="1:24" x14ac:dyDescent="0.2">
      <c r="A61" s="197"/>
      <c r="B61" s="197">
        <v>2023</v>
      </c>
      <c r="C61" s="197" t="s">
        <v>176</v>
      </c>
      <c r="D61" s="197"/>
      <c r="E61" s="197" t="s">
        <v>177</v>
      </c>
      <c r="F61" s="197" t="s">
        <v>178</v>
      </c>
      <c r="G61" s="197" t="s">
        <v>123</v>
      </c>
      <c r="H61" s="197"/>
      <c r="I61" s="197" t="s">
        <v>179</v>
      </c>
      <c r="J61" s="197" t="s">
        <v>107</v>
      </c>
      <c r="K61" s="197" t="s">
        <v>156</v>
      </c>
      <c r="L61" s="208" t="s">
        <v>157</v>
      </c>
      <c r="M61" s="209"/>
      <c r="N61" s="206" t="s">
        <v>158</v>
      </c>
      <c r="O61" s="206" t="s">
        <v>159</v>
      </c>
      <c r="P61" s="206" t="s">
        <v>160</v>
      </c>
      <c r="Q61" s="206" t="s">
        <v>159</v>
      </c>
      <c r="R61" s="261"/>
      <c r="X61" s="151" t="s">
        <v>64</v>
      </c>
    </row>
    <row r="62" spans="1:24" x14ac:dyDescent="0.2">
      <c r="A62" s="204" t="s">
        <v>161</v>
      </c>
      <c r="B62" s="197" t="s">
        <v>162</v>
      </c>
      <c r="C62" s="197" t="s">
        <v>180</v>
      </c>
      <c r="D62" s="197" t="s">
        <v>123</v>
      </c>
      <c r="E62" s="197" t="s">
        <v>8</v>
      </c>
      <c r="F62" s="197" t="s">
        <v>8</v>
      </c>
      <c r="G62" s="197" t="s">
        <v>41</v>
      </c>
      <c r="H62" s="197"/>
      <c r="I62" s="197" t="s">
        <v>41</v>
      </c>
      <c r="J62" s="197" t="s">
        <v>181</v>
      </c>
      <c r="K62" s="197" t="s">
        <v>166</v>
      </c>
      <c r="L62" s="208" t="s">
        <v>41</v>
      </c>
      <c r="M62" s="209"/>
      <c r="N62" s="206" t="s">
        <v>181</v>
      </c>
      <c r="O62" s="206" t="s">
        <v>41</v>
      </c>
      <c r="P62" s="206" t="s">
        <v>123</v>
      </c>
      <c r="Q62" s="206" t="s">
        <v>167</v>
      </c>
      <c r="R62" s="261"/>
      <c r="T62" s="151" t="s">
        <v>202</v>
      </c>
      <c r="U62" s="151" t="s">
        <v>123</v>
      </c>
      <c r="X62" s="151" t="s">
        <v>209</v>
      </c>
    </row>
    <row r="63" spans="1:24" x14ac:dyDescent="0.2">
      <c r="A63" s="204" t="s">
        <v>129</v>
      </c>
      <c r="B63" s="210" t="s">
        <v>112</v>
      </c>
      <c r="C63" s="214">
        <v>1280</v>
      </c>
      <c r="D63" s="262">
        <v>1231594</v>
      </c>
      <c r="E63" s="262">
        <v>940041</v>
      </c>
      <c r="F63" s="262">
        <v>291553</v>
      </c>
      <c r="G63" s="262">
        <v>121038.71</v>
      </c>
      <c r="H63" s="214"/>
      <c r="I63" s="214"/>
      <c r="J63" s="214">
        <v>25203.200000000001</v>
      </c>
      <c r="K63" s="217">
        <v>64.959999999999994</v>
      </c>
      <c r="L63" s="214">
        <v>18092.48</v>
      </c>
      <c r="M63" s="214"/>
      <c r="N63" s="214">
        <v>16814.73</v>
      </c>
      <c r="O63" s="214">
        <v>7665.18</v>
      </c>
      <c r="P63" s="214">
        <v>48238</v>
      </c>
      <c r="Q63" s="218">
        <v>515</v>
      </c>
      <c r="R63" s="261"/>
      <c r="T63" s="217">
        <f>C63</f>
        <v>1280</v>
      </c>
      <c r="U63" s="217">
        <f>D63</f>
        <v>1231594</v>
      </c>
      <c r="X63" s="283">
        <f t="shared" ref="X63:X74" si="22">G63+I63+J63+K63+L63</f>
        <v>164399.35</v>
      </c>
    </row>
    <row r="64" spans="1:24" x14ac:dyDescent="0.2">
      <c r="A64" s="198"/>
      <c r="B64" s="210" t="s">
        <v>113</v>
      </c>
      <c r="C64" s="214">
        <v>1277</v>
      </c>
      <c r="D64" s="262">
        <v>1290655</v>
      </c>
      <c r="E64" s="262">
        <v>960768</v>
      </c>
      <c r="F64" s="262">
        <v>329887</v>
      </c>
      <c r="G64" s="262">
        <v>126162.05</v>
      </c>
      <c r="H64" s="214"/>
      <c r="I64" s="214"/>
      <c r="J64" s="214">
        <v>25163.82</v>
      </c>
      <c r="K64" s="214">
        <v>45.59</v>
      </c>
      <c r="L64" s="214">
        <v>35121.65</v>
      </c>
      <c r="M64" s="214"/>
      <c r="N64" s="214">
        <v>17099.830000000002</v>
      </c>
      <c r="O64" s="214">
        <v>7755.63</v>
      </c>
      <c r="P64" s="214">
        <v>48727</v>
      </c>
      <c r="Q64" s="219">
        <v>521</v>
      </c>
      <c r="R64" s="261"/>
      <c r="T64" s="217">
        <f t="shared" ref="T64:T75" si="23">C64</f>
        <v>1277</v>
      </c>
      <c r="U64" s="217">
        <f t="shared" ref="U64:U75" si="24">D64</f>
        <v>1290655</v>
      </c>
      <c r="X64" s="283">
        <f t="shared" si="22"/>
        <v>186493.11</v>
      </c>
    </row>
    <row r="65" spans="1:24" x14ac:dyDescent="0.2">
      <c r="A65" s="198"/>
      <c r="B65" s="210" t="s">
        <v>114</v>
      </c>
      <c r="C65" s="214">
        <v>1264</v>
      </c>
      <c r="D65" s="262">
        <v>1176350</v>
      </c>
      <c r="E65" s="262">
        <v>893499</v>
      </c>
      <c r="F65" s="262">
        <v>282851</v>
      </c>
      <c r="G65" s="262">
        <v>108541.51</v>
      </c>
      <c r="H65" s="214"/>
      <c r="I65" s="214"/>
      <c r="J65" s="214">
        <v>24888.16</v>
      </c>
      <c r="K65" s="214">
        <v>52.26</v>
      </c>
      <c r="L65" s="214">
        <v>17437.66</v>
      </c>
      <c r="M65" s="214"/>
      <c r="N65" s="214">
        <v>9080.5400000000009</v>
      </c>
      <c r="O65" s="214">
        <v>7684.1</v>
      </c>
      <c r="P65" s="214">
        <v>47993</v>
      </c>
      <c r="Q65" s="219">
        <v>514</v>
      </c>
      <c r="R65" s="261"/>
      <c r="T65" s="217">
        <f t="shared" si="23"/>
        <v>1264</v>
      </c>
      <c r="U65" s="217">
        <f t="shared" si="24"/>
        <v>1176350</v>
      </c>
      <c r="X65" s="283">
        <f t="shared" si="22"/>
        <v>150919.59</v>
      </c>
    </row>
    <row r="66" spans="1:24" x14ac:dyDescent="0.2">
      <c r="A66" s="198"/>
      <c r="B66" s="210" t="s">
        <v>168</v>
      </c>
      <c r="C66" s="214">
        <v>1266</v>
      </c>
      <c r="D66" s="262">
        <v>1008704</v>
      </c>
      <c r="E66" s="262">
        <v>798132</v>
      </c>
      <c r="F66" s="262">
        <v>210572</v>
      </c>
      <c r="G66" s="262">
        <v>97420.04</v>
      </c>
      <c r="H66" s="214"/>
      <c r="I66" s="214"/>
      <c r="J66" s="214">
        <v>24927.54</v>
      </c>
      <c r="K66" s="214">
        <v>45.26</v>
      </c>
      <c r="L66" s="214">
        <v>9578.77</v>
      </c>
      <c r="M66" s="214"/>
      <c r="N66" s="214">
        <v>12024.68</v>
      </c>
      <c r="O66" s="214">
        <v>7683.83</v>
      </c>
      <c r="P66" s="214">
        <v>47855</v>
      </c>
      <c r="Q66" s="219">
        <v>514</v>
      </c>
      <c r="R66" s="261"/>
      <c r="T66" s="217">
        <f t="shared" si="23"/>
        <v>1266</v>
      </c>
      <c r="U66" s="217">
        <f t="shared" si="24"/>
        <v>1008704</v>
      </c>
      <c r="X66" s="283">
        <f t="shared" si="22"/>
        <v>131971.60999999999</v>
      </c>
    </row>
    <row r="67" spans="1:24" x14ac:dyDescent="0.2">
      <c r="A67" s="198"/>
      <c r="B67" s="210" t="s">
        <v>115</v>
      </c>
      <c r="C67" s="214">
        <v>1273</v>
      </c>
      <c r="D67" s="262">
        <v>1164196</v>
      </c>
      <c r="E67" s="262">
        <v>858317</v>
      </c>
      <c r="F67" s="262">
        <v>305879</v>
      </c>
      <c r="G67" s="262">
        <v>117031.24</v>
      </c>
      <c r="H67" s="214"/>
      <c r="I67" s="214"/>
      <c r="J67" s="214">
        <v>25065.37</v>
      </c>
      <c r="K67" s="214">
        <v>37.85</v>
      </c>
      <c r="L67" s="214">
        <v>14765.35</v>
      </c>
      <c r="M67" s="214"/>
      <c r="N67" s="214">
        <v>18656.939999999999</v>
      </c>
      <c r="O67" s="214">
        <v>7702.26</v>
      </c>
      <c r="P67" s="214">
        <v>47857</v>
      </c>
      <c r="Q67" s="219">
        <v>516</v>
      </c>
      <c r="R67" s="261"/>
      <c r="T67" s="217">
        <f t="shared" si="23"/>
        <v>1273</v>
      </c>
      <c r="U67" s="217">
        <f t="shared" si="24"/>
        <v>1164196</v>
      </c>
      <c r="X67" s="283">
        <f t="shared" si="22"/>
        <v>156899.81000000003</v>
      </c>
    </row>
    <row r="68" spans="1:24" x14ac:dyDescent="0.2">
      <c r="A68" s="198"/>
      <c r="B68" s="210" t="s">
        <v>169</v>
      </c>
      <c r="C68" s="214">
        <v>1282</v>
      </c>
      <c r="D68" s="262">
        <v>1149327</v>
      </c>
      <c r="E68" s="262">
        <v>842724</v>
      </c>
      <c r="F68" s="262">
        <v>306603</v>
      </c>
      <c r="G68" s="262">
        <v>114252.86</v>
      </c>
      <c r="H68" s="214"/>
      <c r="I68" s="214"/>
      <c r="J68" s="214">
        <v>25242.58</v>
      </c>
      <c r="K68" s="214">
        <v>60.97</v>
      </c>
      <c r="L68" s="214">
        <v>12879.91</v>
      </c>
      <c r="M68" s="214"/>
      <c r="N68" s="214">
        <v>17025.59</v>
      </c>
      <c r="O68" s="214">
        <v>7641.69</v>
      </c>
      <c r="P68" s="214">
        <v>47407</v>
      </c>
      <c r="Q68" s="219">
        <v>510</v>
      </c>
      <c r="R68" s="261"/>
      <c r="T68" s="217">
        <f t="shared" si="23"/>
        <v>1282</v>
      </c>
      <c r="U68" s="217">
        <f t="shared" si="24"/>
        <v>1149327</v>
      </c>
      <c r="X68" s="283">
        <f t="shared" si="22"/>
        <v>152436.32</v>
      </c>
    </row>
    <row r="69" spans="1:24" x14ac:dyDescent="0.2">
      <c r="A69" s="198"/>
      <c r="B69" s="210" t="s">
        <v>170</v>
      </c>
      <c r="C69" s="214">
        <v>1286</v>
      </c>
      <c r="D69" s="262">
        <v>1318596</v>
      </c>
      <c r="E69" s="262">
        <v>940001</v>
      </c>
      <c r="F69" s="262">
        <v>378595</v>
      </c>
      <c r="G69" s="262">
        <v>133671.01</v>
      </c>
      <c r="H69" s="214"/>
      <c r="I69" s="214"/>
      <c r="J69" s="214">
        <v>25321.34</v>
      </c>
      <c r="K69" s="214">
        <v>49.48</v>
      </c>
      <c r="L69" s="214">
        <v>8640.9</v>
      </c>
      <c r="M69" s="214"/>
      <c r="N69" s="214">
        <v>22198.79</v>
      </c>
      <c r="O69" s="214">
        <v>7641.69</v>
      </c>
      <c r="P69" s="214">
        <v>47508</v>
      </c>
      <c r="Q69" s="219">
        <v>510</v>
      </c>
      <c r="R69" s="261"/>
      <c r="T69" s="217">
        <f t="shared" si="23"/>
        <v>1286</v>
      </c>
      <c r="U69" s="217">
        <f t="shared" si="24"/>
        <v>1318596</v>
      </c>
      <c r="X69" s="283">
        <f t="shared" si="22"/>
        <v>167682.73000000001</v>
      </c>
    </row>
    <row r="70" spans="1:24" x14ac:dyDescent="0.2">
      <c r="A70" s="198"/>
      <c r="B70" s="210" t="s">
        <v>116</v>
      </c>
      <c r="C70" s="214">
        <v>1294</v>
      </c>
      <c r="D70" s="262">
        <v>1439511</v>
      </c>
      <c r="E70" s="262">
        <v>994646</v>
      </c>
      <c r="F70" s="262">
        <v>444865</v>
      </c>
      <c r="G70" s="262">
        <v>146458.82999999999</v>
      </c>
      <c r="H70" s="214"/>
      <c r="I70" s="214"/>
      <c r="J70" s="214">
        <v>25400.1</v>
      </c>
      <c r="K70" s="214">
        <v>40.61</v>
      </c>
      <c r="L70" s="214">
        <v>8102.39</v>
      </c>
      <c r="M70" s="214"/>
      <c r="N70" s="214">
        <v>24982.89</v>
      </c>
      <c r="O70" s="214">
        <v>7768.27</v>
      </c>
      <c r="P70" s="214">
        <v>47857</v>
      </c>
      <c r="Q70" s="219">
        <v>518</v>
      </c>
      <c r="R70" s="261"/>
      <c r="T70" s="217">
        <f t="shared" si="23"/>
        <v>1294</v>
      </c>
      <c r="U70" s="217">
        <f t="shared" si="24"/>
        <v>1439511</v>
      </c>
      <c r="X70" s="283">
        <f t="shared" si="22"/>
        <v>180001.93</v>
      </c>
    </row>
    <row r="71" spans="1:24" x14ac:dyDescent="0.2">
      <c r="A71" s="198"/>
      <c r="B71" s="210" t="s">
        <v>171</v>
      </c>
      <c r="C71" s="214">
        <v>1286</v>
      </c>
      <c r="D71" s="262">
        <v>1172242</v>
      </c>
      <c r="E71" s="262">
        <v>861793</v>
      </c>
      <c r="F71" s="262">
        <v>310996</v>
      </c>
      <c r="G71" s="262">
        <v>119001.43</v>
      </c>
      <c r="H71" s="214"/>
      <c r="I71" s="214"/>
      <c r="J71" s="214">
        <v>25321.34</v>
      </c>
      <c r="K71" s="214">
        <v>46.03</v>
      </c>
      <c r="L71" s="214">
        <v>13670.42</v>
      </c>
      <c r="M71" s="214"/>
      <c r="N71" s="214">
        <v>19883.73</v>
      </c>
      <c r="O71" s="214">
        <v>7723.72</v>
      </c>
      <c r="P71" s="214">
        <v>47661</v>
      </c>
      <c r="Q71" s="219">
        <v>514</v>
      </c>
      <c r="R71" s="261"/>
      <c r="T71" s="217">
        <f t="shared" si="23"/>
        <v>1286</v>
      </c>
      <c r="U71" s="217">
        <f t="shared" si="24"/>
        <v>1172242</v>
      </c>
      <c r="X71" s="283">
        <f t="shared" si="22"/>
        <v>158039.22</v>
      </c>
    </row>
    <row r="72" spans="1:24" x14ac:dyDescent="0.2">
      <c r="A72" s="198"/>
      <c r="B72" s="210" t="s">
        <v>117</v>
      </c>
      <c r="C72" s="214">
        <v>1284</v>
      </c>
      <c r="D72" s="262">
        <v>1061668</v>
      </c>
      <c r="E72" s="262">
        <v>819617</v>
      </c>
      <c r="F72" s="262">
        <v>242051</v>
      </c>
      <c r="G72" s="262">
        <v>102833.27</v>
      </c>
      <c r="H72" s="214"/>
      <c r="I72" s="214"/>
      <c r="J72" s="214">
        <v>25321.34</v>
      </c>
      <c r="K72" s="214">
        <v>46.59</v>
      </c>
      <c r="L72" s="214">
        <v>14027.79</v>
      </c>
      <c r="M72" s="214"/>
      <c r="N72" s="214">
        <v>12930.8</v>
      </c>
      <c r="O72" s="214">
        <v>7841.41</v>
      </c>
      <c r="P72" s="214">
        <v>48273</v>
      </c>
      <c r="Q72" s="219">
        <v>521</v>
      </c>
      <c r="R72" s="261"/>
      <c r="T72" s="217">
        <f t="shared" si="23"/>
        <v>1284</v>
      </c>
      <c r="U72" s="217">
        <f t="shared" si="24"/>
        <v>1061668</v>
      </c>
      <c r="X72" s="283">
        <f t="shared" si="22"/>
        <v>142228.99</v>
      </c>
    </row>
    <row r="73" spans="1:24" x14ac:dyDescent="0.2">
      <c r="A73" s="198"/>
      <c r="B73" s="210" t="s">
        <v>118</v>
      </c>
      <c r="C73" s="214">
        <v>1280</v>
      </c>
      <c r="D73" s="262">
        <v>1256070</v>
      </c>
      <c r="E73" s="262">
        <v>951674</v>
      </c>
      <c r="F73" s="262">
        <v>304396</v>
      </c>
      <c r="G73" s="262">
        <v>121739.48</v>
      </c>
      <c r="H73" s="214"/>
      <c r="I73" s="214"/>
      <c r="J73" s="214">
        <v>25203.200000000001</v>
      </c>
      <c r="K73" s="214">
        <v>16.420000000000002</v>
      </c>
      <c r="L73" s="214">
        <v>15078.24</v>
      </c>
      <c r="M73" s="214"/>
      <c r="N73" s="214">
        <v>15545.47</v>
      </c>
      <c r="O73" s="214">
        <v>7669.04</v>
      </c>
      <c r="P73" s="214">
        <v>47158</v>
      </c>
      <c r="Q73" s="219">
        <v>520</v>
      </c>
      <c r="R73" s="261"/>
      <c r="T73" s="217">
        <f t="shared" si="23"/>
        <v>1280</v>
      </c>
      <c r="U73" s="217">
        <f t="shared" si="24"/>
        <v>1256070</v>
      </c>
      <c r="X73" s="283">
        <f t="shared" si="22"/>
        <v>162037.34</v>
      </c>
    </row>
    <row r="74" spans="1:24" x14ac:dyDescent="0.2">
      <c r="A74" s="198"/>
      <c r="B74" s="210" t="s">
        <v>119</v>
      </c>
      <c r="C74" s="214">
        <v>1271</v>
      </c>
      <c r="D74" s="262">
        <v>1250105</v>
      </c>
      <c r="E74" s="262">
        <v>958131</v>
      </c>
      <c r="F74" s="262">
        <v>291174</v>
      </c>
      <c r="G74" s="262">
        <v>123385.78</v>
      </c>
      <c r="H74" s="214"/>
      <c r="I74" s="214"/>
      <c r="J74" s="214">
        <v>25045.68</v>
      </c>
      <c r="K74" s="214">
        <v>24</v>
      </c>
      <c r="L74" s="214">
        <v>8376.3799999999992</v>
      </c>
      <c r="M74" s="214"/>
      <c r="N74" s="214">
        <v>17590.27</v>
      </c>
      <c r="O74" s="214">
        <v>7406.7</v>
      </c>
      <c r="P74" s="214">
        <v>45778</v>
      </c>
      <c r="Q74" s="219">
        <v>510</v>
      </c>
      <c r="R74" s="261"/>
      <c r="T74" s="217">
        <f t="shared" si="23"/>
        <v>1271</v>
      </c>
      <c r="U74" s="217">
        <f t="shared" si="24"/>
        <v>1250105</v>
      </c>
      <c r="X74" s="283">
        <f t="shared" si="22"/>
        <v>156831.84</v>
      </c>
    </row>
    <row r="75" spans="1:24" x14ac:dyDescent="0.2">
      <c r="A75" s="197"/>
      <c r="B75" s="213" t="s">
        <v>83</v>
      </c>
      <c r="C75" s="215">
        <f>SUM(C63:C74)</f>
        <v>15343</v>
      </c>
      <c r="D75" s="215">
        <f>SUM(D63:D74)</f>
        <v>14519018</v>
      </c>
      <c r="E75" s="215">
        <f>SUM(E63:E74)</f>
        <v>10819343</v>
      </c>
      <c r="F75" s="215">
        <f>SUM(F63:F74)</f>
        <v>3699422</v>
      </c>
      <c r="G75" s="215">
        <f>SUM(G63:G74)</f>
        <v>1431536.21</v>
      </c>
      <c r="H75" s="215"/>
      <c r="I75" s="215"/>
      <c r="J75" s="215">
        <f t="shared" ref="J75:Q75" si="25">SUM(J63:J74)</f>
        <v>302103.67</v>
      </c>
      <c r="K75" s="215">
        <f>SUM(K63:K74)</f>
        <v>530.02</v>
      </c>
      <c r="L75" s="215">
        <f t="shared" si="25"/>
        <v>175771.94000000003</v>
      </c>
      <c r="M75" s="215"/>
      <c r="N75" s="215">
        <f t="shared" si="25"/>
        <v>203834.25999999998</v>
      </c>
      <c r="O75" s="215">
        <f t="shared" si="25"/>
        <v>92183.52</v>
      </c>
      <c r="P75" s="215">
        <f t="shared" si="25"/>
        <v>572312</v>
      </c>
      <c r="Q75" s="218">
        <f t="shared" si="25"/>
        <v>6183</v>
      </c>
      <c r="T75" s="264">
        <f t="shared" si="23"/>
        <v>15343</v>
      </c>
      <c r="U75" s="264">
        <f t="shared" si="24"/>
        <v>14519018</v>
      </c>
      <c r="V75" s="217"/>
      <c r="W75" s="217"/>
      <c r="X75" s="264">
        <f>SUM(X63:X74)</f>
        <v>1909941.84</v>
      </c>
    </row>
    <row r="76" spans="1:24" x14ac:dyDescent="0.2">
      <c r="T76" s="217">
        <f>T75/12</f>
        <v>1278.5833333333333</v>
      </c>
    </row>
    <row r="77" spans="1:24" x14ac:dyDescent="0.2">
      <c r="A77" s="198"/>
      <c r="B77" s="216"/>
      <c r="C77" s="214"/>
      <c r="D77" s="214"/>
      <c r="E77" s="214"/>
      <c r="F77" s="214"/>
      <c r="G77" s="214"/>
      <c r="H77" s="214"/>
      <c r="I77" s="266" t="s">
        <v>151</v>
      </c>
      <c r="J77" s="198" t="s">
        <v>151</v>
      </c>
      <c r="K77" s="198" t="s">
        <v>152</v>
      </c>
      <c r="L77" s="204" t="s">
        <v>152</v>
      </c>
      <c r="M77" s="205"/>
      <c r="N77" s="199" t="s">
        <v>152</v>
      </c>
      <c r="O77" s="206" t="s">
        <v>151</v>
      </c>
      <c r="P77" s="206" t="s">
        <v>151</v>
      </c>
      <c r="Q77" s="206"/>
      <c r="R77" s="261"/>
    </row>
    <row r="78" spans="1:24" x14ac:dyDescent="0.2">
      <c r="A78" s="198"/>
      <c r="B78" s="197">
        <v>2023</v>
      </c>
      <c r="C78" s="197" t="s">
        <v>176</v>
      </c>
      <c r="D78" s="197"/>
      <c r="E78" s="197" t="s">
        <v>177</v>
      </c>
      <c r="F78" s="197" t="s">
        <v>178</v>
      </c>
      <c r="G78" s="197" t="s">
        <v>123</v>
      </c>
      <c r="H78" s="197"/>
      <c r="I78" s="267" t="s">
        <v>155</v>
      </c>
      <c r="J78" s="197" t="s">
        <v>107</v>
      </c>
      <c r="K78" s="197" t="s">
        <v>156</v>
      </c>
      <c r="L78" s="208" t="s">
        <v>157</v>
      </c>
      <c r="M78" s="209"/>
      <c r="N78" s="206" t="s">
        <v>158</v>
      </c>
      <c r="O78" s="206" t="s">
        <v>159</v>
      </c>
      <c r="P78" s="206" t="s">
        <v>160</v>
      </c>
      <c r="Q78" s="206" t="s">
        <v>159</v>
      </c>
      <c r="R78" s="261"/>
      <c r="V78" s="273">
        <v>4.37</v>
      </c>
      <c r="X78" s="151" t="s">
        <v>64</v>
      </c>
    </row>
    <row r="79" spans="1:24" x14ac:dyDescent="0.2">
      <c r="A79" s="204" t="s">
        <v>161</v>
      </c>
      <c r="B79" s="197" t="s">
        <v>162</v>
      </c>
      <c r="C79" s="197" t="s">
        <v>180</v>
      </c>
      <c r="D79" s="197" t="s">
        <v>123</v>
      </c>
      <c r="E79" s="197" t="s">
        <v>8</v>
      </c>
      <c r="F79" s="197" t="s">
        <v>8</v>
      </c>
      <c r="G79" s="197" t="s">
        <v>41</v>
      </c>
      <c r="H79" s="197"/>
      <c r="I79" s="267" t="s">
        <v>41</v>
      </c>
      <c r="J79" s="197" t="s">
        <v>181</v>
      </c>
      <c r="K79" s="197" t="s">
        <v>166</v>
      </c>
      <c r="L79" s="208" t="s">
        <v>41</v>
      </c>
      <c r="M79" s="209"/>
      <c r="N79" s="206" t="s">
        <v>181</v>
      </c>
      <c r="O79" s="206" t="s">
        <v>41</v>
      </c>
      <c r="P79" s="206" t="s">
        <v>123</v>
      </c>
      <c r="Q79" s="206" t="s">
        <v>167</v>
      </c>
      <c r="R79" s="261"/>
      <c r="S79" s="151" t="s">
        <v>24</v>
      </c>
      <c r="T79" s="151" t="s">
        <v>202</v>
      </c>
      <c r="U79" s="151" t="s">
        <v>123</v>
      </c>
      <c r="V79" s="270" t="s">
        <v>206</v>
      </c>
      <c r="W79" s="151"/>
      <c r="X79" s="151" t="s">
        <v>209</v>
      </c>
    </row>
    <row r="80" spans="1:24" x14ac:dyDescent="0.2">
      <c r="A80" s="204" t="s">
        <v>130</v>
      </c>
      <c r="B80" s="210" t="s">
        <v>112</v>
      </c>
      <c r="C80" s="216">
        <v>168</v>
      </c>
      <c r="D80" s="262">
        <v>711506</v>
      </c>
      <c r="E80" s="262">
        <v>307903</v>
      </c>
      <c r="F80" s="262">
        <v>403603</v>
      </c>
      <c r="G80" s="262">
        <v>75164.06</v>
      </c>
      <c r="H80" s="214"/>
      <c r="I80" s="268">
        <v>12923.26</v>
      </c>
      <c r="J80" s="214">
        <v>4422.7299999999996</v>
      </c>
      <c r="K80" s="214">
        <v>1514.33</v>
      </c>
      <c r="L80" s="214">
        <v>10266.58</v>
      </c>
      <c r="M80" s="214"/>
      <c r="N80" s="214">
        <v>10230.59</v>
      </c>
      <c r="O80" s="214">
        <v>2251.02</v>
      </c>
      <c r="P80" s="214">
        <v>14736</v>
      </c>
      <c r="Q80" s="214">
        <v>135</v>
      </c>
      <c r="R80" s="261"/>
      <c r="S80" s="263">
        <f>J80/C80</f>
        <v>26.325773809523806</v>
      </c>
      <c r="T80">
        <f>C80</f>
        <v>168</v>
      </c>
      <c r="U80" s="217">
        <f>D80</f>
        <v>711506</v>
      </c>
      <c r="V80" s="271">
        <f>I80/V$78</f>
        <v>2957.2677345537759</v>
      </c>
      <c r="X80" s="283">
        <f t="shared" ref="X80:X91" si="26">G80+I80+J80+K80+L80</f>
        <v>104290.95999999999</v>
      </c>
    </row>
    <row r="81" spans="1:24" x14ac:dyDescent="0.2">
      <c r="A81" s="198"/>
      <c r="B81" s="210" t="s">
        <v>113</v>
      </c>
      <c r="C81" s="216">
        <v>166</v>
      </c>
      <c r="D81" s="262">
        <v>741295</v>
      </c>
      <c r="E81" s="262">
        <v>309745</v>
      </c>
      <c r="F81" s="262">
        <v>431550</v>
      </c>
      <c r="G81" s="262">
        <v>77503.520000000004</v>
      </c>
      <c r="H81" s="214"/>
      <c r="I81" s="268">
        <v>13310.3</v>
      </c>
      <c r="J81" s="214">
        <v>4344.22</v>
      </c>
      <c r="K81" s="214">
        <v>1220.75</v>
      </c>
      <c r="L81" s="214">
        <v>19782.150000000001</v>
      </c>
      <c r="M81" s="214"/>
      <c r="N81" s="214">
        <v>10434.74</v>
      </c>
      <c r="O81" s="214">
        <v>2032.96</v>
      </c>
      <c r="P81" s="214">
        <v>13119</v>
      </c>
      <c r="Q81" s="214">
        <v>123</v>
      </c>
      <c r="R81" s="261"/>
      <c r="S81" s="263">
        <f t="shared" ref="S81:S91" si="27">J81/C81</f>
        <v>26.17</v>
      </c>
      <c r="T81">
        <f t="shared" ref="T81:T92" si="28">C81</f>
        <v>166</v>
      </c>
      <c r="U81" s="217">
        <f t="shared" ref="U81:U92" si="29">D81</f>
        <v>741295</v>
      </c>
      <c r="V81" s="271">
        <f t="shared" ref="V81:V91" si="30">I81/V$78</f>
        <v>3045.8352402745995</v>
      </c>
      <c r="X81" s="283">
        <f t="shared" si="26"/>
        <v>116160.94</v>
      </c>
    </row>
    <row r="82" spans="1:24" x14ac:dyDescent="0.2">
      <c r="A82" s="198"/>
      <c r="B82" s="210" t="s">
        <v>114</v>
      </c>
      <c r="C82" s="216">
        <v>168</v>
      </c>
      <c r="D82" s="262">
        <v>715370</v>
      </c>
      <c r="E82" s="262">
        <v>308420</v>
      </c>
      <c r="F82" s="262">
        <v>406950</v>
      </c>
      <c r="G82" s="262">
        <v>70707.03</v>
      </c>
      <c r="H82" s="214"/>
      <c r="I82" s="268">
        <v>14088.54</v>
      </c>
      <c r="J82" s="214">
        <v>4396.5600000000004</v>
      </c>
      <c r="K82" s="214">
        <v>1135.6199999999999</v>
      </c>
      <c r="L82" s="214">
        <v>10375.59</v>
      </c>
      <c r="M82" s="214"/>
      <c r="N82" s="214">
        <v>5762.61</v>
      </c>
      <c r="O82" s="214">
        <v>2032.96</v>
      </c>
      <c r="P82" s="214">
        <v>13119</v>
      </c>
      <c r="Q82" s="214">
        <v>123</v>
      </c>
      <c r="R82" s="261"/>
      <c r="S82" s="263">
        <f t="shared" si="27"/>
        <v>26.17</v>
      </c>
      <c r="T82">
        <f t="shared" si="28"/>
        <v>168</v>
      </c>
      <c r="U82" s="217">
        <f t="shared" si="29"/>
        <v>715370</v>
      </c>
      <c r="V82" s="271">
        <f t="shared" si="30"/>
        <v>3223.922196796339</v>
      </c>
      <c r="X82" s="283">
        <f t="shared" si="26"/>
        <v>100703.34</v>
      </c>
    </row>
    <row r="83" spans="1:24" x14ac:dyDescent="0.2">
      <c r="A83" s="198"/>
      <c r="B83" s="210" t="s">
        <v>168</v>
      </c>
      <c r="C83" s="216">
        <v>170</v>
      </c>
      <c r="D83" s="262">
        <v>702608</v>
      </c>
      <c r="E83" s="262">
        <v>295831</v>
      </c>
      <c r="F83" s="262">
        <v>406777</v>
      </c>
      <c r="G83" s="262">
        <v>72675.259999999995</v>
      </c>
      <c r="H83" s="214"/>
      <c r="I83" s="268">
        <v>14099.34</v>
      </c>
      <c r="J83" s="214">
        <v>4475.07</v>
      </c>
      <c r="K83" s="214">
        <v>1547.71</v>
      </c>
      <c r="L83" s="214">
        <v>6497.77</v>
      </c>
      <c r="M83" s="214"/>
      <c r="N83" s="214">
        <v>8184.31</v>
      </c>
      <c r="O83" s="214">
        <v>2159.4499999999998</v>
      </c>
      <c r="P83" s="214">
        <v>14099</v>
      </c>
      <c r="Q83" s="214">
        <v>130</v>
      </c>
      <c r="R83" s="261"/>
      <c r="S83" s="263">
        <f t="shared" si="27"/>
        <v>26.323941176470587</v>
      </c>
      <c r="T83">
        <f t="shared" si="28"/>
        <v>170</v>
      </c>
      <c r="U83" s="217">
        <f t="shared" si="29"/>
        <v>702608</v>
      </c>
      <c r="V83" s="271">
        <f t="shared" si="30"/>
        <v>3226.3935926773456</v>
      </c>
      <c r="X83" s="283">
        <f t="shared" si="26"/>
        <v>99295.15</v>
      </c>
    </row>
    <row r="84" spans="1:24" x14ac:dyDescent="0.2">
      <c r="A84" s="198"/>
      <c r="B84" s="210" t="s">
        <v>115</v>
      </c>
      <c r="C84" s="216">
        <v>170</v>
      </c>
      <c r="D84" s="262">
        <v>835735</v>
      </c>
      <c r="E84" s="262">
        <v>302349</v>
      </c>
      <c r="F84" s="262">
        <v>533386</v>
      </c>
      <c r="G84" s="262">
        <v>89476.26</v>
      </c>
      <c r="H84" s="214"/>
      <c r="I84" s="268">
        <v>13843.62</v>
      </c>
      <c r="J84" s="214">
        <v>4501.24</v>
      </c>
      <c r="K84" s="214">
        <v>1572.12</v>
      </c>
      <c r="L84" s="214">
        <v>10353.82</v>
      </c>
      <c r="M84" s="214"/>
      <c r="N84" s="214">
        <v>13339.32</v>
      </c>
      <c r="O84" s="214">
        <v>2161.79</v>
      </c>
      <c r="P84" s="214">
        <v>14183</v>
      </c>
      <c r="Q84" s="214">
        <v>130</v>
      </c>
      <c r="R84" s="261"/>
      <c r="S84" s="263">
        <f t="shared" si="27"/>
        <v>26.477882352941176</v>
      </c>
      <c r="T84">
        <f t="shared" si="28"/>
        <v>170</v>
      </c>
      <c r="U84" s="217">
        <f t="shared" si="29"/>
        <v>835735</v>
      </c>
      <c r="V84" s="271">
        <f t="shared" si="30"/>
        <v>3167.8764302059499</v>
      </c>
      <c r="X84" s="283">
        <f t="shared" si="26"/>
        <v>119747.06</v>
      </c>
    </row>
    <row r="85" spans="1:24" x14ac:dyDescent="0.2">
      <c r="A85" s="198"/>
      <c r="B85" s="210" t="s">
        <v>169</v>
      </c>
      <c r="C85" s="216">
        <v>170</v>
      </c>
      <c r="D85" s="262">
        <v>807907</v>
      </c>
      <c r="E85" s="262">
        <v>291262</v>
      </c>
      <c r="F85" s="262">
        <v>516645</v>
      </c>
      <c r="G85" s="262">
        <v>85674.27</v>
      </c>
      <c r="H85" s="214"/>
      <c r="I85" s="268">
        <v>13348.52</v>
      </c>
      <c r="J85" s="214">
        <v>4448.8999999999996</v>
      </c>
      <c r="K85" s="214">
        <v>1616.27</v>
      </c>
      <c r="L85" s="214">
        <v>8842.85</v>
      </c>
      <c r="M85" s="214"/>
      <c r="N85" s="214">
        <v>12338.23</v>
      </c>
      <c r="O85" s="214">
        <v>2098.31</v>
      </c>
      <c r="P85" s="214">
        <v>13739</v>
      </c>
      <c r="Q85" s="214">
        <v>126</v>
      </c>
      <c r="R85" s="261"/>
      <c r="S85" s="263">
        <f t="shared" si="27"/>
        <v>26.169999999999998</v>
      </c>
      <c r="T85">
        <f t="shared" si="28"/>
        <v>170</v>
      </c>
      <c r="U85" s="217">
        <f t="shared" si="29"/>
        <v>807907</v>
      </c>
      <c r="V85" s="271">
        <f t="shared" si="30"/>
        <v>3054.5812356979404</v>
      </c>
      <c r="X85" s="283">
        <f t="shared" si="26"/>
        <v>113930.81000000001</v>
      </c>
    </row>
    <row r="86" spans="1:24" x14ac:dyDescent="0.2">
      <c r="A86" s="198"/>
      <c r="B86" s="210" t="s">
        <v>170</v>
      </c>
      <c r="C86" s="216">
        <v>170</v>
      </c>
      <c r="D86" s="262">
        <v>927553</v>
      </c>
      <c r="E86" s="262">
        <v>299979</v>
      </c>
      <c r="F86" s="262">
        <v>627574</v>
      </c>
      <c r="G86" s="262">
        <v>100207.13</v>
      </c>
      <c r="H86" s="214"/>
      <c r="I86" s="268">
        <v>13812.36</v>
      </c>
      <c r="J86" s="214">
        <v>4448.8999999999996</v>
      </c>
      <c r="K86" s="214">
        <v>1821.03</v>
      </c>
      <c r="L86" s="214">
        <v>5953.85</v>
      </c>
      <c r="M86" s="214"/>
      <c r="N86" s="214">
        <v>16176.02</v>
      </c>
      <c r="O86" s="214">
        <v>2098.31</v>
      </c>
      <c r="P86" s="214">
        <v>13739</v>
      </c>
      <c r="Q86" s="214">
        <v>126</v>
      </c>
      <c r="R86" s="261"/>
      <c r="S86" s="263">
        <f t="shared" si="27"/>
        <v>26.169999999999998</v>
      </c>
      <c r="T86">
        <f t="shared" si="28"/>
        <v>170</v>
      </c>
      <c r="U86" s="217">
        <f t="shared" si="29"/>
        <v>927553</v>
      </c>
      <c r="V86" s="271">
        <f t="shared" si="30"/>
        <v>3160.7231121281466</v>
      </c>
      <c r="X86" s="283">
        <f t="shared" si="26"/>
        <v>126243.27</v>
      </c>
    </row>
    <row r="87" spans="1:24" x14ac:dyDescent="0.2">
      <c r="A87" s="198"/>
      <c r="B87" s="210" t="s">
        <v>116</v>
      </c>
      <c r="C87" s="216">
        <v>175</v>
      </c>
      <c r="D87" s="262">
        <v>1040699</v>
      </c>
      <c r="E87" s="262">
        <v>310543</v>
      </c>
      <c r="F87" s="262">
        <v>730156</v>
      </c>
      <c r="G87" s="262">
        <v>112640.41</v>
      </c>
      <c r="H87" s="214"/>
      <c r="I87" s="268">
        <v>14670.65</v>
      </c>
      <c r="J87" s="214">
        <v>4527.1099999999997</v>
      </c>
      <c r="K87" s="214">
        <v>1812.46</v>
      </c>
      <c r="L87" s="214">
        <v>5744.64</v>
      </c>
      <c r="M87" s="214"/>
      <c r="N87" s="214">
        <v>18320.28</v>
      </c>
      <c r="O87" s="214">
        <v>2117.6</v>
      </c>
      <c r="P87" s="214">
        <v>13816</v>
      </c>
      <c r="Q87" s="214">
        <v>127</v>
      </c>
      <c r="R87" s="261"/>
      <c r="S87" s="263">
        <f t="shared" si="27"/>
        <v>25.869199999999999</v>
      </c>
      <c r="T87">
        <f t="shared" si="28"/>
        <v>175</v>
      </c>
      <c r="U87" s="217">
        <f t="shared" si="29"/>
        <v>1040699</v>
      </c>
      <c r="V87" s="271">
        <f t="shared" si="30"/>
        <v>3357.1281464530889</v>
      </c>
      <c r="X87" s="283">
        <f t="shared" si="26"/>
        <v>139395.26999999999</v>
      </c>
    </row>
    <row r="88" spans="1:24" x14ac:dyDescent="0.2">
      <c r="A88" s="198"/>
      <c r="B88" s="210" t="s">
        <v>171</v>
      </c>
      <c r="C88" s="216">
        <v>172</v>
      </c>
      <c r="D88" s="262">
        <v>874535</v>
      </c>
      <c r="E88" s="262">
        <v>304364</v>
      </c>
      <c r="F88" s="262">
        <v>570171</v>
      </c>
      <c r="G88" s="262">
        <v>93976.14</v>
      </c>
      <c r="H88" s="214"/>
      <c r="I88" s="268">
        <v>14473.08</v>
      </c>
      <c r="J88" s="214">
        <v>4527.41</v>
      </c>
      <c r="K88" s="214">
        <v>1309.45</v>
      </c>
      <c r="L88" s="214">
        <v>9949.94</v>
      </c>
      <c r="M88" s="214"/>
      <c r="N88" s="214">
        <v>14381.56</v>
      </c>
      <c r="O88" s="214">
        <v>2013.96</v>
      </c>
      <c r="P88" s="214">
        <v>13354</v>
      </c>
      <c r="Q88" s="214">
        <v>121</v>
      </c>
      <c r="R88" s="261"/>
      <c r="S88" s="263">
        <f t="shared" si="27"/>
        <v>26.322151162790696</v>
      </c>
      <c r="T88">
        <f t="shared" si="28"/>
        <v>172</v>
      </c>
      <c r="U88" s="217">
        <f t="shared" si="29"/>
        <v>874535</v>
      </c>
      <c r="V88" s="271">
        <f t="shared" si="30"/>
        <v>3311.9176201372998</v>
      </c>
      <c r="X88" s="283">
        <f t="shared" si="26"/>
        <v>124236.02</v>
      </c>
    </row>
    <row r="89" spans="1:24" x14ac:dyDescent="0.2">
      <c r="A89" s="198"/>
      <c r="B89" s="210" t="s">
        <v>117</v>
      </c>
      <c r="C89" s="216">
        <v>174</v>
      </c>
      <c r="D89" s="262">
        <v>773790</v>
      </c>
      <c r="E89" s="262">
        <v>294339</v>
      </c>
      <c r="F89" s="262">
        <v>479451</v>
      </c>
      <c r="G89" s="262">
        <v>79938.75</v>
      </c>
      <c r="H89" s="214"/>
      <c r="I89" s="268">
        <v>13234.07</v>
      </c>
      <c r="J89" s="214">
        <v>4553.4799999999996</v>
      </c>
      <c r="K89" s="214">
        <v>1671.31</v>
      </c>
      <c r="L89" s="214">
        <v>9945</v>
      </c>
      <c r="M89" s="214"/>
      <c r="N89" s="214">
        <v>9135.7800000000007</v>
      </c>
      <c r="O89" s="214">
        <v>2032.03</v>
      </c>
      <c r="P89" s="214">
        <v>13074</v>
      </c>
      <c r="Q89" s="214">
        <v>122</v>
      </c>
      <c r="R89" s="261"/>
      <c r="S89" s="263">
        <f t="shared" si="27"/>
        <v>26.169425287356319</v>
      </c>
      <c r="T89">
        <f t="shared" si="28"/>
        <v>174</v>
      </c>
      <c r="U89" s="217">
        <f t="shared" si="29"/>
        <v>773790</v>
      </c>
      <c r="V89" s="271">
        <f t="shared" si="30"/>
        <v>3028.391304347826</v>
      </c>
      <c r="X89" s="283">
        <f t="shared" si="26"/>
        <v>109342.61</v>
      </c>
    </row>
    <row r="90" spans="1:24" x14ac:dyDescent="0.2">
      <c r="A90" s="198"/>
      <c r="B90" s="210" t="s">
        <v>118</v>
      </c>
      <c r="C90" s="216">
        <v>174</v>
      </c>
      <c r="D90" s="262">
        <v>833251</v>
      </c>
      <c r="E90" s="262">
        <v>307171</v>
      </c>
      <c r="F90" s="262">
        <v>526080</v>
      </c>
      <c r="G90" s="262">
        <v>86205.47</v>
      </c>
      <c r="H90" s="214"/>
      <c r="I90" s="268">
        <v>13807.09</v>
      </c>
      <c r="J90" s="214">
        <v>4553.58</v>
      </c>
      <c r="K90" s="214">
        <v>1525.18</v>
      </c>
      <c r="L90" s="214">
        <v>9791.34</v>
      </c>
      <c r="M90" s="214"/>
      <c r="N90" s="214">
        <v>10198.799999999999</v>
      </c>
      <c r="O90" s="214">
        <v>2013.96</v>
      </c>
      <c r="P90" s="214">
        <v>12990</v>
      </c>
      <c r="Q90" s="214">
        <v>122</v>
      </c>
      <c r="R90" s="261"/>
      <c r="S90" s="263">
        <f t="shared" si="27"/>
        <v>26.169999999999998</v>
      </c>
      <c r="T90">
        <f t="shared" si="28"/>
        <v>174</v>
      </c>
      <c r="U90" s="217">
        <f t="shared" si="29"/>
        <v>833251</v>
      </c>
      <c r="V90" s="271">
        <f t="shared" si="30"/>
        <v>3159.5171624713957</v>
      </c>
      <c r="X90" s="283">
        <f t="shared" si="26"/>
        <v>115882.65999999999</v>
      </c>
    </row>
    <row r="91" spans="1:24" x14ac:dyDescent="0.2">
      <c r="A91" s="198"/>
      <c r="B91" s="210" t="s">
        <v>119</v>
      </c>
      <c r="C91" s="216">
        <v>174</v>
      </c>
      <c r="D91" s="262">
        <v>775456</v>
      </c>
      <c r="E91" s="262">
        <v>305218</v>
      </c>
      <c r="F91" s="262">
        <v>470238</v>
      </c>
      <c r="G91" s="262">
        <v>82233.03</v>
      </c>
      <c r="H91" s="214"/>
      <c r="I91" s="268">
        <v>13508.4</v>
      </c>
      <c r="J91" s="214">
        <v>4553.4799999999996</v>
      </c>
      <c r="K91" s="214">
        <v>1730.72</v>
      </c>
      <c r="L91" s="214">
        <v>5099.67</v>
      </c>
      <c r="M91" s="214"/>
      <c r="N91" s="214">
        <v>11098.92</v>
      </c>
      <c r="O91" s="214">
        <v>2013.96</v>
      </c>
      <c r="P91" s="214">
        <v>12934</v>
      </c>
      <c r="Q91" s="214">
        <v>121</v>
      </c>
      <c r="R91" s="261"/>
      <c r="S91" s="263">
        <f t="shared" si="27"/>
        <v>26.169425287356319</v>
      </c>
      <c r="T91">
        <f t="shared" si="28"/>
        <v>174</v>
      </c>
      <c r="U91" s="217">
        <f t="shared" si="29"/>
        <v>775456</v>
      </c>
      <c r="V91" s="271">
        <f t="shared" si="30"/>
        <v>3091.1670480549196</v>
      </c>
      <c r="X91" s="283">
        <f t="shared" si="26"/>
        <v>107125.29999999999</v>
      </c>
    </row>
    <row r="92" spans="1:24" x14ac:dyDescent="0.2">
      <c r="A92" s="197"/>
      <c r="B92" s="213" t="s">
        <v>83</v>
      </c>
      <c r="C92" s="215">
        <f t="shared" ref="C92:Q92" si="31">SUM(C80:C91)</f>
        <v>2051</v>
      </c>
      <c r="D92" s="215">
        <f t="shared" si="31"/>
        <v>9739705</v>
      </c>
      <c r="E92" s="215">
        <f t="shared" si="31"/>
        <v>3637124</v>
      </c>
      <c r="F92" s="215">
        <f t="shared" si="31"/>
        <v>6102581</v>
      </c>
      <c r="G92" s="215">
        <f t="shared" si="31"/>
        <v>1026401.3300000001</v>
      </c>
      <c r="H92" s="215"/>
      <c r="I92" s="269">
        <f t="shared" si="31"/>
        <v>165119.22999999998</v>
      </c>
      <c r="J92" s="215">
        <f t="shared" si="31"/>
        <v>53752.679999999993</v>
      </c>
      <c r="K92" s="214">
        <f t="shared" si="31"/>
        <v>18476.95</v>
      </c>
      <c r="L92" s="215">
        <f t="shared" si="31"/>
        <v>112603.20000000001</v>
      </c>
      <c r="M92" s="215"/>
      <c r="N92" s="215">
        <f t="shared" si="31"/>
        <v>139601.16</v>
      </c>
      <c r="O92" s="215">
        <f t="shared" si="31"/>
        <v>25026.309999999994</v>
      </c>
      <c r="P92" s="215">
        <f t="shared" si="31"/>
        <v>162902</v>
      </c>
      <c r="Q92" s="218">
        <f t="shared" si="31"/>
        <v>1506</v>
      </c>
      <c r="R92" s="261"/>
      <c r="T92" s="265">
        <f t="shared" si="28"/>
        <v>2051</v>
      </c>
      <c r="U92" s="264">
        <f t="shared" si="29"/>
        <v>9739705</v>
      </c>
      <c r="V92" s="272">
        <f>SUM(V80:V91)</f>
        <v>37784.720823798634</v>
      </c>
      <c r="W92" s="217"/>
      <c r="X92" s="264">
        <f>SUM(X80:X91)</f>
        <v>1376353.3900000001</v>
      </c>
    </row>
    <row r="93" spans="1:24" x14ac:dyDescent="0.2">
      <c r="T93" s="217">
        <f>T92/12</f>
        <v>170.91666666666666</v>
      </c>
    </row>
    <row r="95" spans="1:24" x14ac:dyDescent="0.2">
      <c r="L95" s="204" t="s">
        <v>152</v>
      </c>
      <c r="M95" s="220"/>
    </row>
    <row r="96" spans="1:24" x14ac:dyDescent="0.2">
      <c r="A96" s="197"/>
      <c r="B96" s="197">
        <v>2023</v>
      </c>
      <c r="C96" s="197" t="s">
        <v>153</v>
      </c>
      <c r="D96" s="197"/>
      <c r="E96" s="197" t="s">
        <v>182</v>
      </c>
      <c r="F96" s="197" t="s">
        <v>183</v>
      </c>
      <c r="G96" s="197" t="s">
        <v>184</v>
      </c>
      <c r="H96" s="197" t="s">
        <v>123</v>
      </c>
      <c r="I96" s="197" t="s">
        <v>155</v>
      </c>
      <c r="J96" s="197" t="s">
        <v>107</v>
      </c>
      <c r="K96" s="197" t="s">
        <v>156</v>
      </c>
      <c r="L96" s="208" t="s">
        <v>157</v>
      </c>
      <c r="M96" s="209"/>
      <c r="N96" s="206" t="s">
        <v>158</v>
      </c>
      <c r="O96" s="206" t="s">
        <v>159</v>
      </c>
      <c r="P96" s="206" t="s">
        <v>160</v>
      </c>
      <c r="Q96" s="206" t="s">
        <v>159</v>
      </c>
      <c r="R96" s="261"/>
      <c r="X96" s="151" t="s">
        <v>64</v>
      </c>
    </row>
    <row r="97" spans="1:24" x14ac:dyDescent="0.2">
      <c r="A97" s="204" t="s">
        <v>161</v>
      </c>
      <c r="B97" s="197" t="s">
        <v>162</v>
      </c>
      <c r="C97" s="197" t="s">
        <v>163</v>
      </c>
      <c r="D97" s="197" t="s">
        <v>123</v>
      </c>
      <c r="E97" s="197" t="s">
        <v>8</v>
      </c>
      <c r="F97" s="197" t="s">
        <v>8</v>
      </c>
      <c r="G97" s="197" t="s">
        <v>8</v>
      </c>
      <c r="H97" s="197" t="s">
        <v>41</v>
      </c>
      <c r="I97" s="197" t="s">
        <v>41</v>
      </c>
      <c r="J97" s="197" t="s">
        <v>181</v>
      </c>
      <c r="K97" s="197" t="s">
        <v>166</v>
      </c>
      <c r="L97" s="208" t="s">
        <v>41</v>
      </c>
      <c r="M97" s="209"/>
      <c r="N97" s="206" t="s">
        <v>181</v>
      </c>
      <c r="O97" s="206" t="s">
        <v>41</v>
      </c>
      <c r="P97" s="206" t="s">
        <v>123</v>
      </c>
      <c r="Q97" s="206" t="s">
        <v>167</v>
      </c>
      <c r="R97" s="261"/>
      <c r="T97" s="151" t="s">
        <v>202</v>
      </c>
      <c r="U97" s="151" t="s">
        <v>123</v>
      </c>
      <c r="X97" s="151" t="s">
        <v>209</v>
      </c>
    </row>
    <row r="98" spans="1:24" x14ac:dyDescent="0.2">
      <c r="A98" s="204" t="s">
        <v>133</v>
      </c>
      <c r="B98" s="210" t="s">
        <v>112</v>
      </c>
      <c r="C98" s="214">
        <v>192</v>
      </c>
      <c r="D98" s="262">
        <v>53436</v>
      </c>
      <c r="E98" s="262">
        <v>30627</v>
      </c>
      <c r="F98" s="262">
        <v>20961</v>
      </c>
      <c r="G98" s="262">
        <v>1848</v>
      </c>
      <c r="H98" s="262">
        <v>5626.17</v>
      </c>
      <c r="I98" s="214"/>
      <c r="J98" s="214">
        <v>1959.66</v>
      </c>
      <c r="K98" s="214"/>
      <c r="L98" s="214">
        <v>760.56</v>
      </c>
      <c r="M98" s="214"/>
      <c r="N98" s="214">
        <v>845.64</v>
      </c>
      <c r="O98" s="214">
        <v>80.239999999999995</v>
      </c>
      <c r="P98" s="214">
        <v>362</v>
      </c>
      <c r="Q98" s="218">
        <v>7</v>
      </c>
      <c r="R98" s="261"/>
      <c r="T98">
        <f>C98</f>
        <v>192</v>
      </c>
      <c r="U98" s="217">
        <f>D98</f>
        <v>53436</v>
      </c>
      <c r="X98" s="283">
        <f t="shared" ref="X98:X109" si="32">G98+I98+J98+K98+L98</f>
        <v>4568.2199999999993</v>
      </c>
    </row>
    <row r="99" spans="1:24" x14ac:dyDescent="0.2">
      <c r="A99" s="198"/>
      <c r="B99" s="210" t="s">
        <v>113</v>
      </c>
      <c r="C99" s="214">
        <v>192</v>
      </c>
      <c r="D99" s="262">
        <v>56299</v>
      </c>
      <c r="E99" s="262">
        <v>30828</v>
      </c>
      <c r="F99" s="262">
        <v>23315</v>
      </c>
      <c r="G99" s="262">
        <v>2156</v>
      </c>
      <c r="H99" s="262">
        <v>5898.17</v>
      </c>
      <c r="I99" s="214"/>
      <c r="J99" s="214">
        <v>1969.92</v>
      </c>
      <c r="K99" s="214"/>
      <c r="L99" s="214">
        <v>1485.72</v>
      </c>
      <c r="M99" s="214"/>
      <c r="N99" s="214">
        <v>849.54</v>
      </c>
      <c r="O99" s="214">
        <v>80.239999999999995</v>
      </c>
      <c r="P99" s="214">
        <v>362</v>
      </c>
      <c r="Q99" s="219">
        <v>7</v>
      </c>
      <c r="R99" s="261"/>
      <c r="T99">
        <f t="shared" ref="T99:T110" si="33">C99</f>
        <v>192</v>
      </c>
      <c r="U99" s="217">
        <f t="shared" ref="U99:U110" si="34">D99</f>
        <v>56299</v>
      </c>
      <c r="X99" s="283">
        <f t="shared" si="32"/>
        <v>5611.64</v>
      </c>
    </row>
    <row r="100" spans="1:24" x14ac:dyDescent="0.2">
      <c r="A100" s="198"/>
      <c r="B100" s="210" t="s">
        <v>114</v>
      </c>
      <c r="C100" s="214">
        <v>192</v>
      </c>
      <c r="D100" s="262">
        <v>53762</v>
      </c>
      <c r="E100" s="262">
        <v>30491</v>
      </c>
      <c r="F100" s="262">
        <v>21560</v>
      </c>
      <c r="G100" s="262">
        <v>1711</v>
      </c>
      <c r="H100" s="262">
        <v>5296.07</v>
      </c>
      <c r="I100" s="214"/>
      <c r="J100" s="214">
        <v>1969.92</v>
      </c>
      <c r="K100" s="214"/>
      <c r="L100" s="214">
        <v>770.86</v>
      </c>
      <c r="M100" s="214"/>
      <c r="N100" s="214">
        <v>476.96</v>
      </c>
      <c r="O100" s="214">
        <v>80.239999999999995</v>
      </c>
      <c r="P100" s="214">
        <v>362</v>
      </c>
      <c r="Q100" s="219">
        <v>7</v>
      </c>
      <c r="R100" s="261"/>
      <c r="T100">
        <f t="shared" si="33"/>
        <v>192</v>
      </c>
      <c r="U100" s="217">
        <f t="shared" si="34"/>
        <v>53762</v>
      </c>
      <c r="X100" s="283">
        <f t="shared" si="32"/>
        <v>4451.78</v>
      </c>
    </row>
    <row r="101" spans="1:24" x14ac:dyDescent="0.2">
      <c r="A101" s="198"/>
      <c r="B101" s="210" t="s">
        <v>168</v>
      </c>
      <c r="C101" s="214">
        <v>192</v>
      </c>
      <c r="D101" s="262">
        <v>52997</v>
      </c>
      <c r="E101" s="262">
        <v>30865</v>
      </c>
      <c r="F101" s="262">
        <v>20646</v>
      </c>
      <c r="G101" s="262">
        <v>1486</v>
      </c>
      <c r="H101" s="262">
        <v>5443.55</v>
      </c>
      <c r="I101" s="214"/>
      <c r="J101" s="214">
        <v>1969.92</v>
      </c>
      <c r="K101" s="214"/>
      <c r="L101" s="214">
        <v>483.83</v>
      </c>
      <c r="M101" s="214"/>
      <c r="N101" s="214">
        <v>700.24</v>
      </c>
      <c r="O101" s="214">
        <v>80.239999999999995</v>
      </c>
      <c r="P101" s="214">
        <v>362</v>
      </c>
      <c r="Q101" s="219">
        <v>7</v>
      </c>
      <c r="R101" s="261"/>
      <c r="T101">
        <f t="shared" si="33"/>
        <v>192</v>
      </c>
      <c r="U101" s="217">
        <f t="shared" si="34"/>
        <v>52997</v>
      </c>
      <c r="X101" s="283">
        <f t="shared" si="32"/>
        <v>3939.75</v>
      </c>
    </row>
    <row r="102" spans="1:24" x14ac:dyDescent="0.2">
      <c r="A102" s="198"/>
      <c r="B102" s="210" t="s">
        <v>115</v>
      </c>
      <c r="C102" s="214">
        <v>192</v>
      </c>
      <c r="D102" s="262">
        <v>61107</v>
      </c>
      <c r="E102" s="262">
        <v>31504</v>
      </c>
      <c r="F102" s="262">
        <v>26269</v>
      </c>
      <c r="G102" s="262">
        <v>3334</v>
      </c>
      <c r="H102" s="262">
        <v>6580.6</v>
      </c>
      <c r="I102" s="214"/>
      <c r="J102" s="214">
        <v>1969.92</v>
      </c>
      <c r="K102" s="214"/>
      <c r="L102" s="214">
        <v>748.77</v>
      </c>
      <c r="M102" s="214"/>
      <c r="N102" s="214">
        <v>1085.67</v>
      </c>
      <c r="O102" s="214">
        <v>80.239999999999995</v>
      </c>
      <c r="P102" s="214">
        <v>362</v>
      </c>
      <c r="Q102" s="219">
        <v>7</v>
      </c>
      <c r="R102" s="261"/>
      <c r="T102">
        <f t="shared" si="33"/>
        <v>192</v>
      </c>
      <c r="U102" s="217">
        <f t="shared" si="34"/>
        <v>61107</v>
      </c>
      <c r="X102" s="283">
        <f t="shared" si="32"/>
        <v>6052.6900000000005</v>
      </c>
    </row>
    <row r="103" spans="1:24" x14ac:dyDescent="0.2">
      <c r="A103" s="198"/>
      <c r="B103" s="210" t="s">
        <v>169</v>
      </c>
      <c r="C103" s="214">
        <v>192</v>
      </c>
      <c r="D103" s="262">
        <v>53565</v>
      </c>
      <c r="E103" s="262">
        <v>31037</v>
      </c>
      <c r="F103" s="262">
        <v>20996</v>
      </c>
      <c r="G103" s="262">
        <v>1532</v>
      </c>
      <c r="H103" s="262">
        <v>5703.64</v>
      </c>
      <c r="I103" s="214"/>
      <c r="J103" s="214">
        <v>1969.92</v>
      </c>
      <c r="K103" s="214"/>
      <c r="L103" s="214">
        <v>580.41999999999996</v>
      </c>
      <c r="M103" s="214"/>
      <c r="N103" s="214">
        <v>913.83</v>
      </c>
      <c r="O103" s="214">
        <v>80.239999999999995</v>
      </c>
      <c r="P103" s="214">
        <v>362</v>
      </c>
      <c r="Q103" s="219">
        <v>7</v>
      </c>
      <c r="R103" s="261"/>
      <c r="T103">
        <f t="shared" si="33"/>
        <v>192</v>
      </c>
      <c r="U103" s="217">
        <f t="shared" si="34"/>
        <v>53565</v>
      </c>
      <c r="X103" s="283">
        <f t="shared" si="32"/>
        <v>4082.34</v>
      </c>
    </row>
    <row r="104" spans="1:24" x14ac:dyDescent="0.2">
      <c r="A104" s="198"/>
      <c r="B104" s="210" t="s">
        <v>170</v>
      </c>
      <c r="C104" s="214">
        <v>193</v>
      </c>
      <c r="D104" s="262">
        <v>54077</v>
      </c>
      <c r="E104" s="262">
        <v>30964</v>
      </c>
      <c r="F104" s="262">
        <v>21573</v>
      </c>
      <c r="G104" s="262">
        <v>1540</v>
      </c>
      <c r="H104" s="262">
        <v>5920.25</v>
      </c>
      <c r="I104" s="214"/>
      <c r="J104" s="214">
        <v>1980.18</v>
      </c>
      <c r="K104" s="214"/>
      <c r="L104" s="214">
        <v>344.15</v>
      </c>
      <c r="M104" s="214"/>
      <c r="N104" s="214">
        <v>1085.3499999999999</v>
      </c>
      <c r="O104" s="214">
        <v>70.97</v>
      </c>
      <c r="P104" s="214">
        <v>338</v>
      </c>
      <c r="Q104" s="219">
        <v>6</v>
      </c>
      <c r="R104" s="261"/>
      <c r="T104">
        <f t="shared" si="33"/>
        <v>193</v>
      </c>
      <c r="U104" s="217">
        <f t="shared" si="34"/>
        <v>54077</v>
      </c>
      <c r="X104" s="283">
        <f t="shared" si="32"/>
        <v>3864.3300000000004</v>
      </c>
    </row>
    <row r="105" spans="1:24" x14ac:dyDescent="0.2">
      <c r="A105" s="198"/>
      <c r="B105" s="210" t="s">
        <v>116</v>
      </c>
      <c r="C105" s="214">
        <v>192</v>
      </c>
      <c r="D105" s="262">
        <v>59080</v>
      </c>
      <c r="E105" s="262">
        <v>31378</v>
      </c>
      <c r="F105" s="262">
        <v>24879</v>
      </c>
      <c r="G105" s="262">
        <v>2823</v>
      </c>
      <c r="H105" s="262">
        <v>6512.23</v>
      </c>
      <c r="I105" s="214"/>
      <c r="J105" s="214">
        <v>1969.92</v>
      </c>
      <c r="K105" s="214"/>
      <c r="L105" s="214">
        <v>323.64999999999998</v>
      </c>
      <c r="M105" s="214"/>
      <c r="N105" s="214">
        <v>1217.6600000000001</v>
      </c>
      <c r="O105" s="214">
        <v>70.97</v>
      </c>
      <c r="P105" s="214">
        <v>338</v>
      </c>
      <c r="Q105" s="219">
        <v>6</v>
      </c>
      <c r="R105" s="261"/>
      <c r="T105">
        <f t="shared" si="33"/>
        <v>192</v>
      </c>
      <c r="U105" s="217">
        <f t="shared" si="34"/>
        <v>59080</v>
      </c>
      <c r="X105" s="283">
        <f t="shared" si="32"/>
        <v>5116.57</v>
      </c>
    </row>
    <row r="106" spans="1:24" x14ac:dyDescent="0.2">
      <c r="A106" s="198"/>
      <c r="B106" s="210" t="s">
        <v>171</v>
      </c>
      <c r="C106" s="214">
        <v>192</v>
      </c>
      <c r="D106" s="262">
        <v>56946</v>
      </c>
      <c r="E106" s="262">
        <v>30894</v>
      </c>
      <c r="F106" s="262">
        <v>23569</v>
      </c>
      <c r="G106" s="262">
        <v>2483</v>
      </c>
      <c r="H106" s="262">
        <v>6199.72</v>
      </c>
      <c r="I106" s="214"/>
      <c r="J106" s="214">
        <v>1969.92</v>
      </c>
      <c r="K106" s="214"/>
      <c r="L106" s="221">
        <v>641.98</v>
      </c>
      <c r="M106" s="221"/>
      <c r="N106" s="214">
        <v>1096.3900000000001</v>
      </c>
      <c r="O106" s="214">
        <v>70.97</v>
      </c>
      <c r="P106" s="214">
        <v>338</v>
      </c>
      <c r="Q106" s="219">
        <v>6</v>
      </c>
      <c r="R106" s="261"/>
      <c r="T106">
        <f t="shared" si="33"/>
        <v>192</v>
      </c>
      <c r="U106" s="217">
        <f t="shared" si="34"/>
        <v>56946</v>
      </c>
      <c r="X106" s="283">
        <f t="shared" si="32"/>
        <v>5094.8999999999996</v>
      </c>
    </row>
    <row r="107" spans="1:24" x14ac:dyDescent="0.2">
      <c r="A107" s="198"/>
      <c r="B107" s="210" t="s">
        <v>117</v>
      </c>
      <c r="C107" s="214">
        <v>193</v>
      </c>
      <c r="D107" s="262">
        <v>58377</v>
      </c>
      <c r="E107" s="262">
        <v>30904</v>
      </c>
      <c r="F107" s="262">
        <v>24655</v>
      </c>
      <c r="G107" s="262">
        <v>2818</v>
      </c>
      <c r="H107" s="262">
        <v>6027.9</v>
      </c>
      <c r="I107" s="214"/>
      <c r="J107" s="214">
        <v>1980.18</v>
      </c>
      <c r="K107" s="214"/>
      <c r="L107" s="214">
        <v>742.07</v>
      </c>
      <c r="M107" s="214"/>
      <c r="N107" s="214">
        <v>778.04</v>
      </c>
      <c r="O107" s="214">
        <v>70.97</v>
      </c>
      <c r="P107" s="214">
        <v>338</v>
      </c>
      <c r="Q107" s="219">
        <v>6</v>
      </c>
      <c r="R107" s="261"/>
      <c r="T107">
        <f t="shared" si="33"/>
        <v>193</v>
      </c>
      <c r="U107" s="217">
        <f t="shared" si="34"/>
        <v>58377</v>
      </c>
      <c r="X107" s="283">
        <f t="shared" si="32"/>
        <v>5540.25</v>
      </c>
    </row>
    <row r="108" spans="1:24" x14ac:dyDescent="0.2">
      <c r="A108" s="198"/>
      <c r="B108" s="210" t="s">
        <v>118</v>
      </c>
      <c r="C108" s="214">
        <v>193</v>
      </c>
      <c r="D108" s="262">
        <v>65359</v>
      </c>
      <c r="E108" s="262">
        <v>31232</v>
      </c>
      <c r="F108" s="262">
        <v>28509</v>
      </c>
      <c r="G108" s="262">
        <v>5618</v>
      </c>
      <c r="H108" s="262">
        <v>6804.76</v>
      </c>
      <c r="I108" s="214"/>
      <c r="J108" s="214">
        <v>1980.18</v>
      </c>
      <c r="K108" s="214"/>
      <c r="L108" s="214">
        <v>760.09</v>
      </c>
      <c r="M108" s="214"/>
      <c r="N108" s="214">
        <v>895.55</v>
      </c>
      <c r="O108" s="214">
        <v>70.97</v>
      </c>
      <c r="P108" s="214">
        <v>338</v>
      </c>
      <c r="Q108" s="219">
        <v>6</v>
      </c>
      <c r="R108" s="261"/>
      <c r="T108">
        <f t="shared" si="33"/>
        <v>193</v>
      </c>
      <c r="U108" s="217">
        <f t="shared" si="34"/>
        <v>65359</v>
      </c>
      <c r="X108" s="283">
        <f t="shared" si="32"/>
        <v>8358.27</v>
      </c>
    </row>
    <row r="109" spans="1:24" x14ac:dyDescent="0.2">
      <c r="A109" s="198"/>
      <c r="B109" s="210" t="s">
        <v>119</v>
      </c>
      <c r="C109" s="214">
        <v>194</v>
      </c>
      <c r="D109" s="262">
        <v>57608</v>
      </c>
      <c r="E109" s="262">
        <v>30525</v>
      </c>
      <c r="F109" s="262">
        <v>23918</v>
      </c>
      <c r="G109" s="262">
        <v>3165</v>
      </c>
      <c r="H109" s="262">
        <v>6117.28</v>
      </c>
      <c r="I109" s="214"/>
      <c r="J109" s="214">
        <v>1990.44</v>
      </c>
      <c r="K109" s="214"/>
      <c r="L109" s="214">
        <v>374.95</v>
      </c>
      <c r="M109" s="214"/>
      <c r="N109" s="214">
        <v>335.88</v>
      </c>
      <c r="O109" s="214">
        <v>80.239999999999995</v>
      </c>
      <c r="P109" s="214">
        <v>362</v>
      </c>
      <c r="Q109" s="219">
        <v>7</v>
      </c>
      <c r="R109" s="261"/>
      <c r="T109">
        <f t="shared" si="33"/>
        <v>194</v>
      </c>
      <c r="U109" s="217">
        <f t="shared" si="34"/>
        <v>57608</v>
      </c>
      <c r="X109" s="283">
        <f t="shared" si="32"/>
        <v>5530.39</v>
      </c>
    </row>
    <row r="110" spans="1:24" x14ac:dyDescent="0.2">
      <c r="A110" s="197"/>
      <c r="B110" s="213" t="s">
        <v>83</v>
      </c>
      <c r="C110" s="215">
        <f>SUM(C98:C109)</f>
        <v>2309</v>
      </c>
      <c r="D110" s="215">
        <f>SUM(D98:D109)</f>
        <v>682613</v>
      </c>
      <c r="E110" s="215">
        <f>SUM(E98:E109)</f>
        <v>371249</v>
      </c>
      <c r="F110" s="215">
        <f>SUM(F98:F109)</f>
        <v>280850</v>
      </c>
      <c r="G110" s="215"/>
      <c r="H110" s="215">
        <f t="shared" ref="H110:Q110" si="35">SUM(H98:H109)</f>
        <v>72130.34</v>
      </c>
      <c r="I110" s="215">
        <f t="shared" si="35"/>
        <v>0</v>
      </c>
      <c r="J110" s="215">
        <f t="shared" si="35"/>
        <v>23680.079999999998</v>
      </c>
      <c r="K110" s="215">
        <f t="shared" si="35"/>
        <v>0</v>
      </c>
      <c r="L110" s="215">
        <f t="shared" si="35"/>
        <v>8017.0499999999984</v>
      </c>
      <c r="M110" s="215"/>
      <c r="N110" s="215">
        <f t="shared" si="35"/>
        <v>10280.749999999998</v>
      </c>
      <c r="O110" s="215">
        <f t="shared" si="35"/>
        <v>916.53000000000009</v>
      </c>
      <c r="P110" s="215">
        <f t="shared" si="35"/>
        <v>4224</v>
      </c>
      <c r="Q110" s="215">
        <f t="shared" si="35"/>
        <v>79</v>
      </c>
      <c r="R110" s="261"/>
      <c r="T110" s="265">
        <f t="shared" si="33"/>
        <v>2309</v>
      </c>
      <c r="U110" s="264">
        <f t="shared" si="34"/>
        <v>682613</v>
      </c>
      <c r="V110" s="217"/>
      <c r="W110" s="217"/>
      <c r="X110" s="264">
        <f>SUM(X98:X109)</f>
        <v>62211.130000000005</v>
      </c>
    </row>
    <row r="111" spans="1:24" x14ac:dyDescent="0.2">
      <c r="T111" s="217">
        <f>T110/12</f>
        <v>192.41666666666666</v>
      </c>
    </row>
    <row r="112" spans="1:24" x14ac:dyDescent="0.2">
      <c r="A112" s="198"/>
      <c r="B112" s="216"/>
      <c r="C112" s="214"/>
      <c r="D112" s="214"/>
      <c r="E112" s="214"/>
      <c r="F112" s="214"/>
      <c r="G112" s="214"/>
      <c r="H112" s="214"/>
      <c r="I112" s="203" t="s">
        <v>151</v>
      </c>
      <c r="J112" s="198" t="s">
        <v>151</v>
      </c>
      <c r="K112" s="198" t="s">
        <v>152</v>
      </c>
      <c r="L112" s="204" t="s">
        <v>152</v>
      </c>
      <c r="M112" s="205"/>
      <c r="N112" s="199" t="s">
        <v>152</v>
      </c>
      <c r="O112" s="206" t="s">
        <v>151</v>
      </c>
      <c r="P112" s="206" t="s">
        <v>151</v>
      </c>
      <c r="Q112" s="206"/>
      <c r="R112" s="261"/>
    </row>
    <row r="113" spans="1:24" x14ac:dyDescent="0.2">
      <c r="A113" s="198"/>
      <c r="B113" s="197">
        <v>2023</v>
      </c>
      <c r="C113" s="197" t="s">
        <v>176</v>
      </c>
      <c r="D113" s="197"/>
      <c r="E113" s="197" t="s">
        <v>154</v>
      </c>
      <c r="F113" s="197" t="s">
        <v>154</v>
      </c>
      <c r="G113" s="197" t="s">
        <v>123</v>
      </c>
      <c r="H113" s="197"/>
      <c r="I113" s="197" t="s">
        <v>155</v>
      </c>
      <c r="J113" s="197" t="s">
        <v>107</v>
      </c>
      <c r="K113" s="197" t="s">
        <v>156</v>
      </c>
      <c r="L113" s="208" t="s">
        <v>157</v>
      </c>
      <c r="M113" s="209"/>
      <c r="N113" s="206" t="s">
        <v>158</v>
      </c>
      <c r="O113" s="206" t="s">
        <v>159</v>
      </c>
      <c r="P113" s="206" t="s">
        <v>160</v>
      </c>
      <c r="Q113" s="206" t="s">
        <v>159</v>
      </c>
      <c r="R113" s="261"/>
      <c r="X113" s="151" t="s">
        <v>64</v>
      </c>
    </row>
    <row r="114" spans="1:24" x14ac:dyDescent="0.2">
      <c r="A114" s="204" t="s">
        <v>161</v>
      </c>
      <c r="B114" s="197" t="s">
        <v>162</v>
      </c>
      <c r="C114" s="197" t="s">
        <v>180</v>
      </c>
      <c r="D114" s="197" t="s">
        <v>123</v>
      </c>
      <c r="E114" s="197" t="s">
        <v>164</v>
      </c>
      <c r="F114" s="197" t="s">
        <v>164</v>
      </c>
      <c r="G114" s="197" t="s">
        <v>41</v>
      </c>
      <c r="H114" s="197"/>
      <c r="I114" s="197" t="s">
        <v>41</v>
      </c>
      <c r="J114" s="197" t="s">
        <v>181</v>
      </c>
      <c r="K114" s="197" t="s">
        <v>166</v>
      </c>
      <c r="L114" s="208" t="s">
        <v>41</v>
      </c>
      <c r="M114" s="209"/>
      <c r="N114" s="206" t="s">
        <v>181</v>
      </c>
      <c r="O114" s="206" t="s">
        <v>41</v>
      </c>
      <c r="P114" s="206" t="s">
        <v>123</v>
      </c>
      <c r="Q114" s="206" t="s">
        <v>167</v>
      </c>
      <c r="R114" s="261"/>
      <c r="T114" s="151" t="s">
        <v>202</v>
      </c>
      <c r="U114" s="151" t="s">
        <v>123</v>
      </c>
      <c r="X114" s="151" t="s">
        <v>209</v>
      </c>
    </row>
    <row r="115" spans="1:24" x14ac:dyDescent="0.2">
      <c r="A115" s="204" t="s">
        <v>131</v>
      </c>
      <c r="B115" s="210" t="s">
        <v>112</v>
      </c>
      <c r="C115" s="216">
        <v>47</v>
      </c>
      <c r="D115" s="214">
        <v>1069252</v>
      </c>
      <c r="E115" s="214"/>
      <c r="F115" s="214"/>
      <c r="G115" s="262">
        <v>95115.41</v>
      </c>
      <c r="H115" s="245"/>
      <c r="I115" s="214"/>
      <c r="J115" s="214">
        <v>2192.08</v>
      </c>
      <c r="K115" s="214"/>
      <c r="L115" s="214">
        <v>15228.04</v>
      </c>
      <c r="M115" s="214"/>
      <c r="N115" s="214">
        <v>11168.42</v>
      </c>
      <c r="O115" s="214">
        <v>1283.83</v>
      </c>
      <c r="P115" s="214">
        <v>7961</v>
      </c>
      <c r="Q115" s="214">
        <v>78</v>
      </c>
      <c r="R115" s="261"/>
      <c r="T115">
        <f>C115</f>
        <v>47</v>
      </c>
      <c r="U115" s="217">
        <f>D115</f>
        <v>1069252</v>
      </c>
      <c r="X115" s="283">
        <f t="shared" ref="X115:X126" si="36">G115+I115+J115+K115+L115</f>
        <v>112535.53</v>
      </c>
    </row>
    <row r="116" spans="1:24" x14ac:dyDescent="0.2">
      <c r="A116" s="198"/>
      <c r="B116" s="210" t="s">
        <v>113</v>
      </c>
      <c r="C116" s="216">
        <v>47</v>
      </c>
      <c r="D116" s="214">
        <v>1123756</v>
      </c>
      <c r="E116" s="214"/>
      <c r="F116" s="214"/>
      <c r="G116" s="262">
        <v>99987.74</v>
      </c>
      <c r="H116" s="245"/>
      <c r="I116" s="214"/>
      <c r="J116" s="214">
        <v>2192.08</v>
      </c>
      <c r="K116" s="214"/>
      <c r="L116" s="214">
        <v>29677.3</v>
      </c>
      <c r="M116" s="214"/>
      <c r="N116" s="214">
        <v>11761.66</v>
      </c>
      <c r="O116" s="214">
        <v>1283.83</v>
      </c>
      <c r="P116" s="214">
        <v>8017</v>
      </c>
      <c r="Q116" s="214">
        <v>78</v>
      </c>
      <c r="R116" s="261"/>
      <c r="T116">
        <f t="shared" ref="T116:T127" si="37">C116</f>
        <v>47</v>
      </c>
      <c r="U116" s="217">
        <f t="shared" ref="U116:U127" si="38">D116</f>
        <v>1123756</v>
      </c>
      <c r="X116" s="283">
        <f t="shared" si="36"/>
        <v>131857.12</v>
      </c>
    </row>
    <row r="117" spans="1:24" x14ac:dyDescent="0.2">
      <c r="A117" s="198"/>
      <c r="B117" s="210" t="s">
        <v>114</v>
      </c>
      <c r="C117" s="216">
        <v>47</v>
      </c>
      <c r="D117" s="214">
        <v>1078427</v>
      </c>
      <c r="E117" s="214"/>
      <c r="F117" s="214"/>
      <c r="G117" s="262">
        <v>90987.69</v>
      </c>
      <c r="H117" s="245"/>
      <c r="I117" s="214"/>
      <c r="J117" s="214">
        <v>2192.08</v>
      </c>
      <c r="K117" s="214"/>
      <c r="L117" s="214">
        <v>15471.93</v>
      </c>
      <c r="M117" s="214"/>
      <c r="N117" s="214">
        <v>6320.37</v>
      </c>
      <c r="O117" s="214">
        <v>1281.49</v>
      </c>
      <c r="P117" s="214">
        <v>7877</v>
      </c>
      <c r="Q117" s="214">
        <v>78</v>
      </c>
      <c r="R117" s="261"/>
      <c r="T117">
        <f t="shared" si="37"/>
        <v>47</v>
      </c>
      <c r="U117" s="217">
        <f t="shared" si="38"/>
        <v>1078427</v>
      </c>
      <c r="X117" s="283">
        <f t="shared" si="36"/>
        <v>108651.70000000001</v>
      </c>
    </row>
    <row r="118" spans="1:24" x14ac:dyDescent="0.2">
      <c r="A118" s="198"/>
      <c r="B118" s="210" t="s">
        <v>168</v>
      </c>
      <c r="C118" s="216">
        <v>47</v>
      </c>
      <c r="D118" s="214">
        <v>878021</v>
      </c>
      <c r="E118" s="214"/>
      <c r="F118" s="214"/>
      <c r="G118" s="262">
        <v>76548.42</v>
      </c>
      <c r="H118" s="245"/>
      <c r="I118" s="214"/>
      <c r="J118" s="214">
        <v>2192.08</v>
      </c>
      <c r="K118" s="214">
        <v>19.7</v>
      </c>
      <c r="L118" s="214">
        <v>8031.53</v>
      </c>
      <c r="M118" s="214"/>
      <c r="N118" s="214">
        <v>7595.28</v>
      </c>
      <c r="O118" s="214">
        <v>1281.49</v>
      </c>
      <c r="P118" s="214">
        <v>7877</v>
      </c>
      <c r="Q118" s="214">
        <v>78</v>
      </c>
      <c r="R118" s="261"/>
      <c r="T118">
        <f t="shared" si="37"/>
        <v>47</v>
      </c>
      <c r="U118" s="217">
        <f t="shared" si="38"/>
        <v>878021</v>
      </c>
      <c r="X118" s="283">
        <f t="shared" si="36"/>
        <v>86791.73</v>
      </c>
    </row>
    <row r="119" spans="1:24" x14ac:dyDescent="0.2">
      <c r="A119" s="198"/>
      <c r="B119" s="210" t="s">
        <v>115</v>
      </c>
      <c r="C119" s="216">
        <v>47</v>
      </c>
      <c r="D119" s="214">
        <v>983236</v>
      </c>
      <c r="E119" s="214"/>
      <c r="F119" s="214"/>
      <c r="G119" s="262">
        <v>89154.57</v>
      </c>
      <c r="H119" s="245"/>
      <c r="I119" s="214"/>
      <c r="J119" s="214">
        <v>2192.08</v>
      </c>
      <c r="K119" s="214">
        <v>38.49</v>
      </c>
      <c r="L119" s="214">
        <v>12073.66</v>
      </c>
      <c r="M119" s="214"/>
      <c r="N119" s="214">
        <v>11786.09</v>
      </c>
      <c r="O119" s="214">
        <v>1281.49</v>
      </c>
      <c r="P119" s="214">
        <v>7877</v>
      </c>
      <c r="Q119" s="214">
        <v>78</v>
      </c>
      <c r="R119" s="261"/>
      <c r="T119">
        <f t="shared" si="37"/>
        <v>47</v>
      </c>
      <c r="U119" s="217">
        <f t="shared" si="38"/>
        <v>983236</v>
      </c>
      <c r="X119" s="283">
        <f t="shared" si="36"/>
        <v>103458.80000000002</v>
      </c>
    </row>
    <row r="120" spans="1:24" x14ac:dyDescent="0.2">
      <c r="A120" s="198"/>
      <c r="B120" s="210" t="s">
        <v>169</v>
      </c>
      <c r="C120" s="216">
        <v>47</v>
      </c>
      <c r="D120" s="214">
        <v>798510</v>
      </c>
      <c r="E120" s="214"/>
      <c r="F120" s="214"/>
      <c r="G120" s="262">
        <v>71805.539999999994</v>
      </c>
      <c r="H120" s="245"/>
      <c r="I120" s="214"/>
      <c r="J120" s="214">
        <v>2192.08</v>
      </c>
      <c r="K120" s="214">
        <v>94.94</v>
      </c>
      <c r="L120" s="214">
        <v>8661.9699999999993</v>
      </c>
      <c r="M120" s="214"/>
      <c r="N120" s="214">
        <v>9019.57</v>
      </c>
      <c r="O120" s="214">
        <v>1281.49</v>
      </c>
      <c r="P120" s="214">
        <v>7877</v>
      </c>
      <c r="Q120" s="214">
        <v>78</v>
      </c>
      <c r="R120" s="261"/>
      <c r="T120">
        <f t="shared" si="37"/>
        <v>47</v>
      </c>
      <c r="U120" s="217">
        <f t="shared" si="38"/>
        <v>798510</v>
      </c>
      <c r="X120" s="283">
        <f t="shared" si="36"/>
        <v>82754.53</v>
      </c>
    </row>
    <row r="121" spans="1:24" x14ac:dyDescent="0.2">
      <c r="A121" s="198"/>
      <c r="B121" s="210" t="s">
        <v>170</v>
      </c>
      <c r="C121" s="216">
        <v>47</v>
      </c>
      <c r="D121" s="214">
        <v>895832</v>
      </c>
      <c r="E121" s="214"/>
      <c r="F121" s="214"/>
      <c r="G121" s="262">
        <v>82070.570000000007</v>
      </c>
      <c r="H121" s="245"/>
      <c r="I121" s="214"/>
      <c r="J121" s="214">
        <v>2192.08</v>
      </c>
      <c r="K121" s="214">
        <v>49.79</v>
      </c>
      <c r="L121" s="221">
        <v>5715.98</v>
      </c>
      <c r="M121" s="221"/>
      <c r="N121" s="214">
        <v>11688.99</v>
      </c>
      <c r="O121" s="214">
        <v>1281.49</v>
      </c>
      <c r="P121" s="214">
        <v>7877</v>
      </c>
      <c r="Q121" s="214">
        <v>78</v>
      </c>
      <c r="R121" s="261"/>
      <c r="T121">
        <f t="shared" si="37"/>
        <v>47</v>
      </c>
      <c r="U121" s="217">
        <f t="shared" si="38"/>
        <v>895832</v>
      </c>
      <c r="X121" s="283">
        <f t="shared" si="36"/>
        <v>90028.42</v>
      </c>
    </row>
    <row r="122" spans="1:24" x14ac:dyDescent="0.2">
      <c r="A122" s="198"/>
      <c r="B122" s="210" t="s">
        <v>116</v>
      </c>
      <c r="C122" s="216">
        <v>47</v>
      </c>
      <c r="D122" s="214">
        <v>1263990</v>
      </c>
      <c r="E122" s="214"/>
      <c r="F122" s="214"/>
      <c r="G122" s="262">
        <v>116196.88</v>
      </c>
      <c r="H122" s="245"/>
      <c r="I122" s="214"/>
      <c r="J122" s="214">
        <v>2192.08</v>
      </c>
      <c r="K122" s="214"/>
      <c r="L122" s="214">
        <v>6928.77</v>
      </c>
      <c r="M122" s="214"/>
      <c r="N122" s="214">
        <v>16961.03</v>
      </c>
      <c r="O122" s="214">
        <v>1281.49</v>
      </c>
      <c r="P122" s="214">
        <v>7877</v>
      </c>
      <c r="Q122" s="214">
        <v>78</v>
      </c>
      <c r="R122" s="261"/>
      <c r="T122">
        <f t="shared" si="37"/>
        <v>47</v>
      </c>
      <c r="U122" s="217">
        <f t="shared" si="38"/>
        <v>1263990</v>
      </c>
      <c r="X122" s="283">
        <f t="shared" si="36"/>
        <v>125317.73000000001</v>
      </c>
    </row>
    <row r="123" spans="1:24" x14ac:dyDescent="0.2">
      <c r="A123" s="198"/>
      <c r="B123" s="210" t="s">
        <v>171</v>
      </c>
      <c r="C123" s="216">
        <v>47</v>
      </c>
      <c r="D123" s="214">
        <v>1178560</v>
      </c>
      <c r="E123" s="214"/>
      <c r="F123" s="214"/>
      <c r="G123" s="262">
        <v>107567.76</v>
      </c>
      <c r="H123" s="245"/>
      <c r="I123" s="214"/>
      <c r="J123" s="214">
        <v>2192.08</v>
      </c>
      <c r="K123" s="214">
        <v>9.33</v>
      </c>
      <c r="L123" s="214">
        <v>13295.51</v>
      </c>
      <c r="M123" s="214"/>
      <c r="N123" s="214">
        <v>15029.71</v>
      </c>
      <c r="O123" s="214">
        <v>1281.49</v>
      </c>
      <c r="P123" s="214">
        <v>7877</v>
      </c>
      <c r="Q123" s="214">
        <v>78</v>
      </c>
      <c r="R123" s="261"/>
      <c r="T123">
        <f t="shared" si="37"/>
        <v>47</v>
      </c>
      <c r="U123" s="217">
        <f t="shared" si="38"/>
        <v>1178560</v>
      </c>
      <c r="X123" s="283">
        <f t="shared" si="36"/>
        <v>123064.68</v>
      </c>
    </row>
    <row r="124" spans="1:24" x14ac:dyDescent="0.2">
      <c r="A124" s="198"/>
      <c r="B124" s="210" t="s">
        <v>117</v>
      </c>
      <c r="C124" s="216">
        <v>47</v>
      </c>
      <c r="D124" s="214">
        <v>959704</v>
      </c>
      <c r="E124" s="214"/>
      <c r="F124" s="214"/>
      <c r="G124" s="262">
        <v>84071.95</v>
      </c>
      <c r="H124" s="245"/>
      <c r="I124" s="214"/>
      <c r="J124" s="214">
        <v>2192.08</v>
      </c>
      <c r="K124" s="214">
        <v>44.11</v>
      </c>
      <c r="L124" s="214">
        <v>12231.7</v>
      </c>
      <c r="M124" s="214"/>
      <c r="N124" s="214">
        <v>8681.4599999999991</v>
      </c>
      <c r="O124" s="214">
        <v>1281.5899999999999</v>
      </c>
      <c r="P124" s="214">
        <v>8087</v>
      </c>
      <c r="Q124" s="214">
        <v>81</v>
      </c>
      <c r="R124" s="261"/>
      <c r="T124">
        <f t="shared" si="37"/>
        <v>47</v>
      </c>
      <c r="U124" s="217">
        <f t="shared" si="38"/>
        <v>959704</v>
      </c>
      <c r="X124" s="283">
        <f t="shared" si="36"/>
        <v>98539.839999999997</v>
      </c>
    </row>
    <row r="125" spans="1:24" x14ac:dyDescent="0.2">
      <c r="A125" s="198"/>
      <c r="B125" s="210" t="s">
        <v>118</v>
      </c>
      <c r="C125" s="216">
        <v>47</v>
      </c>
      <c r="D125" s="214">
        <v>1041223</v>
      </c>
      <c r="E125" s="214"/>
      <c r="F125" s="214"/>
      <c r="G125" s="262">
        <v>91618.27</v>
      </c>
      <c r="H125" s="245"/>
      <c r="I125" s="214"/>
      <c r="J125" s="214">
        <v>2192.08</v>
      </c>
      <c r="K125" s="214"/>
      <c r="L125" s="214">
        <v>12136.04</v>
      </c>
      <c r="M125" s="214"/>
      <c r="N125" s="214">
        <v>9871.9</v>
      </c>
      <c r="O125" s="214">
        <v>1281.5899999999999</v>
      </c>
      <c r="P125" s="214">
        <v>7667</v>
      </c>
      <c r="Q125" s="214">
        <v>78</v>
      </c>
      <c r="R125" s="261"/>
      <c r="T125">
        <f t="shared" si="37"/>
        <v>47</v>
      </c>
      <c r="U125" s="217">
        <f t="shared" si="38"/>
        <v>1041223</v>
      </c>
      <c r="X125" s="283">
        <f t="shared" si="36"/>
        <v>105946.39000000001</v>
      </c>
    </row>
    <row r="126" spans="1:24" x14ac:dyDescent="0.2">
      <c r="A126" s="198"/>
      <c r="B126" s="210" t="s">
        <v>119</v>
      </c>
      <c r="C126" s="216">
        <v>47</v>
      </c>
      <c r="D126" s="214">
        <v>1058183</v>
      </c>
      <c r="E126" s="214"/>
      <c r="F126" s="214"/>
      <c r="G126" s="262">
        <v>94384.86</v>
      </c>
      <c r="H126" s="245"/>
      <c r="I126" s="214"/>
      <c r="J126" s="214">
        <v>2192.08</v>
      </c>
      <c r="K126" s="214"/>
      <c r="L126" s="214">
        <v>6894.26</v>
      </c>
      <c r="M126" s="214"/>
      <c r="N126" s="214">
        <v>11306.94</v>
      </c>
      <c r="O126" s="214">
        <v>1281.5899999999999</v>
      </c>
      <c r="P126" s="214">
        <v>7667</v>
      </c>
      <c r="Q126" s="214">
        <v>78</v>
      </c>
      <c r="R126" s="261"/>
      <c r="T126">
        <f t="shared" si="37"/>
        <v>47</v>
      </c>
      <c r="U126" s="217">
        <f t="shared" si="38"/>
        <v>1058183</v>
      </c>
      <c r="X126" s="283">
        <f t="shared" si="36"/>
        <v>103471.2</v>
      </c>
    </row>
    <row r="127" spans="1:24" x14ac:dyDescent="0.2">
      <c r="A127" s="197"/>
      <c r="B127" s="213" t="s">
        <v>83</v>
      </c>
      <c r="C127" s="213">
        <f>SUM(C115:C126)</f>
        <v>564</v>
      </c>
      <c r="D127" s="215">
        <f>SUM(D115:D126)</f>
        <v>12328694</v>
      </c>
      <c r="E127" s="215"/>
      <c r="F127" s="215"/>
      <c r="G127" s="215">
        <f>SUM(G115:G126)</f>
        <v>1099509.6599999999</v>
      </c>
      <c r="H127" s="215"/>
      <c r="I127" s="215"/>
      <c r="J127" s="215">
        <f t="shared" ref="J127:Q127" si="39">SUM(J115:J126)</f>
        <v>26304.960000000006</v>
      </c>
      <c r="K127" s="215">
        <f>SUM(K115:K126)</f>
        <v>256.36</v>
      </c>
      <c r="L127" s="215">
        <f t="shared" si="39"/>
        <v>146346.69</v>
      </c>
      <c r="M127" s="215"/>
      <c r="N127" s="215">
        <f t="shared" si="39"/>
        <v>131191.41999999998</v>
      </c>
      <c r="O127" s="215">
        <f t="shared" si="39"/>
        <v>15382.859999999999</v>
      </c>
      <c r="P127" s="215">
        <f t="shared" si="39"/>
        <v>94538</v>
      </c>
      <c r="Q127" s="218">
        <f t="shared" si="39"/>
        <v>939</v>
      </c>
      <c r="R127" s="261"/>
      <c r="T127" s="265">
        <f t="shared" si="37"/>
        <v>564</v>
      </c>
      <c r="U127" s="264">
        <f t="shared" si="38"/>
        <v>12328694</v>
      </c>
      <c r="V127" s="217"/>
      <c r="W127" s="217"/>
      <c r="X127" s="264">
        <f>SUM(X115:X126)</f>
        <v>1272417.6700000002</v>
      </c>
    </row>
    <row r="128" spans="1:24" x14ac:dyDescent="0.2">
      <c r="T128" s="217">
        <f>T127/12</f>
        <v>47</v>
      </c>
    </row>
    <row r="129" spans="1:24" x14ac:dyDescent="0.2">
      <c r="A129" s="198"/>
      <c r="B129" s="216"/>
      <c r="C129" s="216"/>
      <c r="D129" s="214"/>
      <c r="E129" s="214"/>
      <c r="F129" s="214"/>
      <c r="G129" s="214"/>
      <c r="H129" s="214"/>
      <c r="I129" s="266" t="s">
        <v>151</v>
      </c>
      <c r="J129" s="198" t="s">
        <v>151</v>
      </c>
      <c r="K129" s="198" t="s">
        <v>152</v>
      </c>
      <c r="L129" s="204" t="s">
        <v>152</v>
      </c>
      <c r="M129" s="205"/>
      <c r="N129" s="199" t="s">
        <v>152</v>
      </c>
      <c r="O129" s="206" t="s">
        <v>151</v>
      </c>
      <c r="P129" s="206" t="s">
        <v>151</v>
      </c>
      <c r="Q129" s="206"/>
      <c r="R129" s="261"/>
    </row>
    <row r="130" spans="1:24" x14ac:dyDescent="0.2">
      <c r="A130" s="198"/>
      <c r="B130" s="197">
        <v>2023</v>
      </c>
      <c r="C130" s="197" t="s">
        <v>176</v>
      </c>
      <c r="D130" s="197"/>
      <c r="E130" s="197" t="s">
        <v>154</v>
      </c>
      <c r="F130" s="197" t="s">
        <v>154</v>
      </c>
      <c r="G130" s="197" t="s">
        <v>123</v>
      </c>
      <c r="H130" s="197"/>
      <c r="I130" s="267" t="s">
        <v>179</v>
      </c>
      <c r="J130" s="197" t="s">
        <v>107</v>
      </c>
      <c r="K130" s="197" t="s">
        <v>156</v>
      </c>
      <c r="L130" s="208" t="s">
        <v>157</v>
      </c>
      <c r="M130" s="209"/>
      <c r="N130" s="206" t="s">
        <v>158</v>
      </c>
      <c r="O130" s="206" t="s">
        <v>159</v>
      </c>
      <c r="P130" s="206" t="s">
        <v>160</v>
      </c>
      <c r="Q130" s="206" t="s">
        <v>159</v>
      </c>
      <c r="R130" s="261"/>
      <c r="V130" s="273">
        <v>4.37</v>
      </c>
      <c r="X130" s="151" t="s">
        <v>64</v>
      </c>
    </row>
    <row r="131" spans="1:24" x14ac:dyDescent="0.2">
      <c r="A131" s="204" t="s">
        <v>161</v>
      </c>
      <c r="B131" s="197" t="s">
        <v>162</v>
      </c>
      <c r="C131" s="197" t="s">
        <v>180</v>
      </c>
      <c r="D131" s="197" t="s">
        <v>123</v>
      </c>
      <c r="E131" s="197" t="s">
        <v>164</v>
      </c>
      <c r="F131" s="197" t="s">
        <v>164</v>
      </c>
      <c r="G131" s="197" t="s">
        <v>41</v>
      </c>
      <c r="H131" s="197"/>
      <c r="I131" s="267" t="s">
        <v>41</v>
      </c>
      <c r="J131" s="197" t="s">
        <v>181</v>
      </c>
      <c r="K131" s="197" t="s">
        <v>166</v>
      </c>
      <c r="L131" s="208" t="s">
        <v>41</v>
      </c>
      <c r="M131" s="209"/>
      <c r="N131" s="206" t="s">
        <v>181</v>
      </c>
      <c r="O131" s="206" t="s">
        <v>41</v>
      </c>
      <c r="P131" s="206" t="s">
        <v>123</v>
      </c>
      <c r="Q131" s="206" t="s">
        <v>167</v>
      </c>
      <c r="R131" s="261"/>
      <c r="T131" s="151" t="s">
        <v>202</v>
      </c>
      <c r="U131" s="151" t="s">
        <v>123</v>
      </c>
      <c r="V131" s="270" t="s">
        <v>206</v>
      </c>
      <c r="X131" s="151" t="s">
        <v>209</v>
      </c>
    </row>
    <row r="132" spans="1:24" x14ac:dyDescent="0.2">
      <c r="A132" s="204" t="s">
        <v>132</v>
      </c>
      <c r="B132" s="210" t="s">
        <v>112</v>
      </c>
      <c r="C132" s="216">
        <v>59</v>
      </c>
      <c r="D132" s="214">
        <v>5870643</v>
      </c>
      <c r="E132" s="214"/>
      <c r="F132" s="214"/>
      <c r="G132" s="262">
        <v>403014.41</v>
      </c>
      <c r="H132" s="214"/>
      <c r="I132" s="268">
        <v>89534.21</v>
      </c>
      <c r="J132" s="214">
        <v>3907.46</v>
      </c>
      <c r="K132" s="214">
        <v>680.87</v>
      </c>
      <c r="L132" s="214">
        <v>83467.929999999993</v>
      </c>
      <c r="M132" s="214"/>
      <c r="N132" s="214">
        <v>57451.6</v>
      </c>
      <c r="O132" s="214">
        <v>4740.28</v>
      </c>
      <c r="P132" s="214">
        <v>33770</v>
      </c>
      <c r="Q132" s="214">
        <v>273</v>
      </c>
      <c r="R132" s="261"/>
      <c r="T132">
        <f>C132</f>
        <v>59</v>
      </c>
      <c r="U132" s="217">
        <f>D132</f>
        <v>5870643</v>
      </c>
      <c r="V132" s="271">
        <f>I132/V$78</f>
        <v>20488.377574370712</v>
      </c>
      <c r="X132" s="283">
        <f t="shared" ref="X132:X143" si="40">G132+I132+J132+K132+L132</f>
        <v>580604.88</v>
      </c>
    </row>
    <row r="133" spans="1:24" x14ac:dyDescent="0.2">
      <c r="A133" s="198"/>
      <c r="B133" s="210" t="s">
        <v>113</v>
      </c>
      <c r="C133" s="216">
        <v>61</v>
      </c>
      <c r="D133" s="214">
        <v>6604061</v>
      </c>
      <c r="E133" s="214"/>
      <c r="F133" s="214"/>
      <c r="G133" s="262">
        <v>453725.13</v>
      </c>
      <c r="H133" s="214"/>
      <c r="I133" s="268">
        <v>94040.98</v>
      </c>
      <c r="J133" s="214">
        <v>4109.57</v>
      </c>
      <c r="K133" s="214">
        <v>1043.05</v>
      </c>
      <c r="L133" s="214">
        <v>174098.82</v>
      </c>
      <c r="M133" s="214"/>
      <c r="N133" s="214">
        <v>64504.46</v>
      </c>
      <c r="O133" s="214">
        <v>4958.34</v>
      </c>
      <c r="P133" s="214">
        <v>35387</v>
      </c>
      <c r="Q133" s="214">
        <v>285</v>
      </c>
      <c r="R133" s="261"/>
      <c r="T133">
        <f t="shared" ref="T133:T144" si="41">C133</f>
        <v>61</v>
      </c>
      <c r="U133" s="217">
        <f t="shared" ref="U133:U144" si="42">D133</f>
        <v>6604061</v>
      </c>
      <c r="V133" s="271">
        <f t="shared" ref="V133:V143" si="43">I133/V$78</f>
        <v>21519.675057208238</v>
      </c>
      <c r="X133" s="283">
        <f t="shared" si="40"/>
        <v>727017.55</v>
      </c>
    </row>
    <row r="134" spans="1:24" x14ac:dyDescent="0.2">
      <c r="A134" s="198"/>
      <c r="B134" s="210" t="s">
        <v>114</v>
      </c>
      <c r="C134" s="216">
        <v>61</v>
      </c>
      <c r="D134" s="214">
        <v>6355507</v>
      </c>
      <c r="E134" s="214"/>
      <c r="F134" s="214"/>
      <c r="G134" s="262">
        <v>413721.17</v>
      </c>
      <c r="H134" s="214"/>
      <c r="I134" s="268">
        <v>93950.84</v>
      </c>
      <c r="J134" s="214">
        <v>4109.57</v>
      </c>
      <c r="K134" s="214">
        <v>4909.21</v>
      </c>
      <c r="L134" s="214">
        <v>91023.46</v>
      </c>
      <c r="M134" s="214"/>
      <c r="N134" s="214">
        <v>35048.61</v>
      </c>
      <c r="O134" s="214">
        <v>4958.34</v>
      </c>
      <c r="P134" s="214">
        <v>35387</v>
      </c>
      <c r="Q134" s="214">
        <v>285</v>
      </c>
      <c r="R134" s="261"/>
      <c r="T134">
        <f t="shared" si="41"/>
        <v>61</v>
      </c>
      <c r="U134" s="217">
        <f t="shared" si="42"/>
        <v>6355507</v>
      </c>
      <c r="V134" s="271">
        <f t="shared" si="43"/>
        <v>21499.048054919906</v>
      </c>
      <c r="X134" s="283">
        <f t="shared" si="40"/>
        <v>607714.25</v>
      </c>
    </row>
    <row r="135" spans="1:24" x14ac:dyDescent="0.2">
      <c r="A135" s="198"/>
      <c r="B135" s="210" t="s">
        <v>168</v>
      </c>
      <c r="C135" s="216">
        <v>62</v>
      </c>
      <c r="D135" s="214">
        <v>6041066</v>
      </c>
      <c r="E135" s="214"/>
      <c r="F135" s="214"/>
      <c r="G135" s="262">
        <v>412959.32</v>
      </c>
      <c r="H135" s="214"/>
      <c r="I135" s="268">
        <v>93296.51</v>
      </c>
      <c r="J135" s="214">
        <v>4109.57</v>
      </c>
      <c r="K135" s="214">
        <v>2939.11</v>
      </c>
      <c r="L135" s="214">
        <v>55079.82</v>
      </c>
      <c r="M135" s="214"/>
      <c r="N135" s="214">
        <v>49839.68</v>
      </c>
      <c r="O135" s="214">
        <v>4831.8500000000004</v>
      </c>
      <c r="P135" s="214">
        <v>34407</v>
      </c>
      <c r="Q135" s="214">
        <v>278</v>
      </c>
      <c r="R135" s="261"/>
      <c r="T135">
        <f t="shared" si="41"/>
        <v>62</v>
      </c>
      <c r="U135" s="217">
        <f t="shared" si="42"/>
        <v>6041066</v>
      </c>
      <c r="V135" s="271">
        <f t="shared" si="43"/>
        <v>21349.315789473683</v>
      </c>
      <c r="X135" s="283">
        <f t="shared" si="40"/>
        <v>568384.32999999996</v>
      </c>
    </row>
    <row r="136" spans="1:24" x14ac:dyDescent="0.2">
      <c r="A136" s="198"/>
      <c r="B136" s="210" t="s">
        <v>115</v>
      </c>
      <c r="C136" s="216">
        <v>62</v>
      </c>
      <c r="D136" s="214">
        <v>6814551</v>
      </c>
      <c r="E136" s="214"/>
      <c r="F136" s="214"/>
      <c r="G136" s="262">
        <v>480467.35</v>
      </c>
      <c r="H136" s="214"/>
      <c r="I136" s="268">
        <v>97341.15</v>
      </c>
      <c r="J136" s="214">
        <v>4042.2</v>
      </c>
      <c r="K136" s="214">
        <v>35.94</v>
      </c>
      <c r="L136" s="214">
        <v>83437.7</v>
      </c>
      <c r="M136" s="214"/>
      <c r="N136" s="214">
        <v>77845.66</v>
      </c>
      <c r="O136" s="214">
        <v>4883.72</v>
      </c>
      <c r="P136" s="214">
        <v>34743</v>
      </c>
      <c r="Q136" s="214">
        <v>281</v>
      </c>
      <c r="R136" s="261"/>
      <c r="T136">
        <f t="shared" si="41"/>
        <v>62</v>
      </c>
      <c r="U136" s="217">
        <f t="shared" si="42"/>
        <v>6814551</v>
      </c>
      <c r="V136" s="271">
        <f t="shared" si="43"/>
        <v>22274.86270022883</v>
      </c>
      <c r="X136" s="283">
        <f t="shared" si="40"/>
        <v>665324.33999999985</v>
      </c>
    </row>
    <row r="137" spans="1:24" x14ac:dyDescent="0.2">
      <c r="A137" s="198"/>
      <c r="B137" s="210" t="s">
        <v>169</v>
      </c>
      <c r="C137" s="216">
        <v>62</v>
      </c>
      <c r="D137" s="214">
        <v>6206315</v>
      </c>
      <c r="E137" s="214"/>
      <c r="F137" s="214"/>
      <c r="G137" s="262">
        <v>433760.35</v>
      </c>
      <c r="H137" s="214"/>
      <c r="I137" s="268">
        <v>88325.36</v>
      </c>
      <c r="J137" s="214">
        <v>4176.9399999999996</v>
      </c>
      <c r="K137" s="214">
        <v>1067.8699999999999</v>
      </c>
      <c r="L137" s="214">
        <v>67168.41</v>
      </c>
      <c r="M137" s="214"/>
      <c r="N137" s="214">
        <v>65544.33</v>
      </c>
      <c r="O137" s="214">
        <v>4892.99</v>
      </c>
      <c r="P137" s="214">
        <v>34767</v>
      </c>
      <c r="Q137" s="214">
        <v>282</v>
      </c>
      <c r="R137" s="261"/>
      <c r="T137">
        <f t="shared" si="41"/>
        <v>62</v>
      </c>
      <c r="U137" s="217">
        <f t="shared" si="42"/>
        <v>6206315</v>
      </c>
      <c r="V137" s="271">
        <f t="shared" si="43"/>
        <v>20211.7528604119</v>
      </c>
      <c r="X137" s="283">
        <f t="shared" si="40"/>
        <v>594498.92999999993</v>
      </c>
    </row>
    <row r="138" spans="1:24" x14ac:dyDescent="0.2">
      <c r="A138" s="198"/>
      <c r="B138" s="210" t="s">
        <v>170</v>
      </c>
      <c r="C138" s="216">
        <v>62</v>
      </c>
      <c r="D138" s="214">
        <v>6204164</v>
      </c>
      <c r="E138" s="214"/>
      <c r="F138" s="214"/>
      <c r="G138" s="262">
        <v>444034.46</v>
      </c>
      <c r="H138" s="214"/>
      <c r="I138" s="268">
        <v>91898.7</v>
      </c>
      <c r="J138" s="214">
        <v>4176.9399999999996</v>
      </c>
      <c r="K138" s="214">
        <v>888.86</v>
      </c>
      <c r="L138" s="214">
        <v>39461.440000000002</v>
      </c>
      <c r="M138" s="214"/>
      <c r="N138" s="214">
        <v>76164.929999999993</v>
      </c>
      <c r="O138" s="214">
        <v>4892.99</v>
      </c>
      <c r="P138" s="214">
        <v>34767</v>
      </c>
      <c r="Q138" s="214">
        <v>282</v>
      </c>
      <c r="R138" s="261"/>
      <c r="T138">
        <f t="shared" si="41"/>
        <v>62</v>
      </c>
      <c r="U138" s="217">
        <f t="shared" si="42"/>
        <v>6204164</v>
      </c>
      <c r="V138" s="271">
        <f t="shared" si="43"/>
        <v>21029.450800915332</v>
      </c>
      <c r="X138" s="283">
        <f t="shared" si="40"/>
        <v>580460.39999999991</v>
      </c>
    </row>
    <row r="139" spans="1:24" x14ac:dyDescent="0.2">
      <c r="A139" s="198"/>
      <c r="B139" s="210" t="s">
        <v>116</v>
      </c>
      <c r="C139" s="216">
        <v>60</v>
      </c>
      <c r="D139" s="214">
        <v>7794983</v>
      </c>
      <c r="E139" s="214"/>
      <c r="F139" s="214"/>
      <c r="G139" s="262">
        <v>535398.43000000005</v>
      </c>
      <c r="H139" s="214"/>
      <c r="I139" s="268">
        <v>112493.88</v>
      </c>
      <c r="J139" s="214">
        <v>4109.57</v>
      </c>
      <c r="K139" s="214">
        <v>-16081.15</v>
      </c>
      <c r="L139" s="214">
        <v>44634.84</v>
      </c>
      <c r="M139" s="214"/>
      <c r="N139" s="214">
        <v>90276.31</v>
      </c>
      <c r="O139" s="214">
        <v>4892.99</v>
      </c>
      <c r="P139" s="214">
        <v>34767</v>
      </c>
      <c r="Q139" s="214">
        <v>282</v>
      </c>
      <c r="R139" s="261"/>
      <c r="T139">
        <f t="shared" si="41"/>
        <v>60</v>
      </c>
      <c r="U139" s="217">
        <f t="shared" si="42"/>
        <v>7794983</v>
      </c>
      <c r="V139" s="271">
        <f t="shared" si="43"/>
        <v>25742.306636155608</v>
      </c>
      <c r="X139" s="283">
        <f t="shared" si="40"/>
        <v>680555.57</v>
      </c>
    </row>
    <row r="140" spans="1:24" x14ac:dyDescent="0.2">
      <c r="A140" s="198"/>
      <c r="B140" s="210" t="s">
        <v>171</v>
      </c>
      <c r="C140" s="216">
        <v>62</v>
      </c>
      <c r="D140" s="214">
        <v>6503406</v>
      </c>
      <c r="E140" s="214"/>
      <c r="F140" s="214"/>
      <c r="G140" s="262">
        <v>461330.89</v>
      </c>
      <c r="H140" s="214"/>
      <c r="I140" s="268">
        <v>92548.02</v>
      </c>
      <c r="J140" s="214">
        <v>4042.2</v>
      </c>
      <c r="K140" s="214">
        <v>2236.34</v>
      </c>
      <c r="L140" s="214">
        <v>73270.649999999994</v>
      </c>
      <c r="M140" s="214"/>
      <c r="N140" s="214">
        <v>77988.34</v>
      </c>
      <c r="O140" s="214">
        <v>4893.09</v>
      </c>
      <c r="P140" s="214">
        <v>34977</v>
      </c>
      <c r="Q140" s="214">
        <v>285</v>
      </c>
      <c r="R140" s="261"/>
      <c r="T140">
        <f t="shared" si="41"/>
        <v>62</v>
      </c>
      <c r="U140" s="217">
        <f t="shared" si="42"/>
        <v>6503406</v>
      </c>
      <c r="V140" s="271">
        <f t="shared" si="43"/>
        <v>21178.03661327231</v>
      </c>
      <c r="X140" s="283">
        <f t="shared" si="40"/>
        <v>633428.1</v>
      </c>
    </row>
    <row r="141" spans="1:24" x14ac:dyDescent="0.2">
      <c r="A141" s="198"/>
      <c r="B141" s="210" t="s">
        <v>117</v>
      </c>
      <c r="C141" s="216">
        <v>61</v>
      </c>
      <c r="D141" s="214">
        <v>6395503</v>
      </c>
      <c r="E141" s="214"/>
      <c r="F141" s="214"/>
      <c r="G141" s="262">
        <v>429769.93</v>
      </c>
      <c r="H141" s="214"/>
      <c r="I141" s="268">
        <v>94175.88</v>
      </c>
      <c r="J141" s="214">
        <v>4109.57</v>
      </c>
      <c r="K141" s="214">
        <v>466.07</v>
      </c>
      <c r="L141" s="214">
        <v>81266.58</v>
      </c>
      <c r="M141" s="214"/>
      <c r="N141" s="214">
        <v>53941.42</v>
      </c>
      <c r="O141" s="214">
        <v>4875.0200000000004</v>
      </c>
      <c r="P141" s="214">
        <v>34417</v>
      </c>
      <c r="Q141" s="214">
        <v>281</v>
      </c>
      <c r="R141" s="261"/>
      <c r="T141">
        <f t="shared" si="41"/>
        <v>61</v>
      </c>
      <c r="U141" s="217">
        <f t="shared" si="42"/>
        <v>6395503</v>
      </c>
      <c r="V141" s="271">
        <f t="shared" si="43"/>
        <v>21550.54462242563</v>
      </c>
      <c r="X141" s="283">
        <f t="shared" si="40"/>
        <v>609788.02999999991</v>
      </c>
    </row>
    <row r="142" spans="1:24" x14ac:dyDescent="0.2">
      <c r="A142" s="198"/>
      <c r="B142" s="210" t="s">
        <v>118</v>
      </c>
      <c r="C142" s="216">
        <v>61</v>
      </c>
      <c r="D142" s="214">
        <v>6604961</v>
      </c>
      <c r="E142" s="214"/>
      <c r="F142" s="214"/>
      <c r="G142" s="262">
        <v>445985.36</v>
      </c>
      <c r="H142" s="214"/>
      <c r="I142" s="268">
        <v>92222.58</v>
      </c>
      <c r="J142" s="214">
        <v>4109.57</v>
      </c>
      <c r="K142" s="214">
        <v>362.38</v>
      </c>
      <c r="L142" s="214">
        <v>76819.66</v>
      </c>
      <c r="M142" s="214"/>
      <c r="N142" s="214">
        <v>58042.03</v>
      </c>
      <c r="O142" s="214">
        <v>4875.0200000000004</v>
      </c>
      <c r="P142" s="214">
        <v>34417</v>
      </c>
      <c r="Q142" s="214">
        <v>281</v>
      </c>
      <c r="R142" s="261"/>
      <c r="T142">
        <f t="shared" si="41"/>
        <v>61</v>
      </c>
      <c r="U142" s="217">
        <f t="shared" si="42"/>
        <v>6604961</v>
      </c>
      <c r="V142" s="271">
        <f t="shared" si="43"/>
        <v>21103.565217391304</v>
      </c>
      <c r="X142" s="283">
        <f t="shared" si="40"/>
        <v>619499.54999999993</v>
      </c>
    </row>
    <row r="143" spans="1:24" x14ac:dyDescent="0.2">
      <c r="A143" s="198"/>
      <c r="B143" s="210" t="s">
        <v>119</v>
      </c>
      <c r="C143" s="216">
        <v>63</v>
      </c>
      <c r="D143" s="214">
        <v>5914961</v>
      </c>
      <c r="E143" s="214"/>
      <c r="F143" s="214"/>
      <c r="G143" s="262">
        <v>407624.41</v>
      </c>
      <c r="H143" s="214"/>
      <c r="I143" s="268">
        <v>95362.17</v>
      </c>
      <c r="J143" s="214">
        <v>4176.9399999999996</v>
      </c>
      <c r="K143" s="214">
        <v>579.21</v>
      </c>
      <c r="L143" s="214">
        <v>38482.699999999997</v>
      </c>
      <c r="M143" s="214"/>
      <c r="N143" s="214">
        <v>60022.19</v>
      </c>
      <c r="O143" s="214">
        <v>4875.0200000000004</v>
      </c>
      <c r="P143" s="214">
        <v>34417</v>
      </c>
      <c r="Q143" s="214">
        <v>281</v>
      </c>
      <c r="R143" s="261"/>
      <c r="T143">
        <f t="shared" si="41"/>
        <v>63</v>
      </c>
      <c r="U143" s="217">
        <f t="shared" si="42"/>
        <v>5914961</v>
      </c>
      <c r="V143" s="271">
        <f t="shared" si="43"/>
        <v>21822.006864988558</v>
      </c>
      <c r="X143" s="283">
        <f t="shared" si="40"/>
        <v>546225.42999999993</v>
      </c>
    </row>
    <row r="144" spans="1:24" x14ac:dyDescent="0.2">
      <c r="A144" s="197"/>
      <c r="B144" s="213" t="s">
        <v>83</v>
      </c>
      <c r="C144" s="213">
        <f>SUM(C132:C143)</f>
        <v>736</v>
      </c>
      <c r="D144" s="215">
        <f>SUM(D132:D143)</f>
        <v>77310121</v>
      </c>
      <c r="E144" s="215"/>
      <c r="F144" s="215"/>
      <c r="G144" s="215">
        <f t="shared" ref="G144:Q144" si="44">SUM(G132:G143)</f>
        <v>5321791.2100000009</v>
      </c>
      <c r="H144" s="215"/>
      <c r="I144" s="269">
        <f t="shared" si="44"/>
        <v>1135190.28</v>
      </c>
      <c r="J144" s="215">
        <f t="shared" si="44"/>
        <v>49180.1</v>
      </c>
      <c r="K144" s="215">
        <f>SUM(K132:K143)</f>
        <v>-872.23999999999978</v>
      </c>
      <c r="L144" s="215">
        <f t="shared" si="44"/>
        <v>908212.01</v>
      </c>
      <c r="M144" s="215"/>
      <c r="N144" s="215">
        <f t="shared" si="44"/>
        <v>766669.56</v>
      </c>
      <c r="O144" s="215">
        <f t="shared" si="44"/>
        <v>58569.650000000009</v>
      </c>
      <c r="P144" s="215">
        <f t="shared" si="44"/>
        <v>416223</v>
      </c>
      <c r="Q144" s="215">
        <f t="shared" si="44"/>
        <v>3376</v>
      </c>
      <c r="R144" s="261"/>
      <c r="T144" s="265">
        <f t="shared" si="41"/>
        <v>736</v>
      </c>
      <c r="U144" s="264">
        <f t="shared" si="42"/>
        <v>77310121</v>
      </c>
      <c r="V144" s="272">
        <f>SUM(V132:V143)</f>
        <v>259768.94279176201</v>
      </c>
      <c r="W144" s="217"/>
      <c r="X144" s="264">
        <f>SUM(X132:X143)</f>
        <v>7413501.3599999994</v>
      </c>
    </row>
    <row r="145" spans="1:24" ht="13.5" customHeight="1" x14ac:dyDescent="0.2">
      <c r="A145" s="151"/>
      <c r="B145" s="222"/>
      <c r="C145" s="222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23"/>
      <c r="Q145" s="223"/>
      <c r="T145" s="217">
        <f>T144/12</f>
        <v>61.333333333333336</v>
      </c>
      <c r="U145" s="217"/>
      <c r="V145" s="296"/>
      <c r="W145" s="217"/>
      <c r="X145" s="217"/>
    </row>
    <row r="146" spans="1:24" x14ac:dyDescent="0.2">
      <c r="A146" s="198"/>
      <c r="B146" s="216"/>
      <c r="C146" s="216"/>
      <c r="D146" s="214"/>
      <c r="E146" s="214"/>
      <c r="F146" s="214"/>
      <c r="G146" s="214"/>
      <c r="H146" s="297" t="s">
        <v>151</v>
      </c>
      <c r="I146" s="204" t="s">
        <v>151</v>
      </c>
      <c r="J146" s="198" t="s">
        <v>152</v>
      </c>
      <c r="K146" s="204" t="s">
        <v>151</v>
      </c>
      <c r="L146" s="198" t="s">
        <v>152</v>
      </c>
      <c r="M146" s="208" t="s">
        <v>151</v>
      </c>
      <c r="N146" s="208" t="s">
        <v>151</v>
      </c>
      <c r="O146" s="197"/>
      <c r="Q146" s="154" t="s">
        <v>187</v>
      </c>
      <c r="R146" s="154" t="s">
        <v>232</v>
      </c>
      <c r="S146" s="154" t="s">
        <v>203</v>
      </c>
    </row>
    <row r="147" spans="1:24" x14ac:dyDescent="0.2">
      <c r="A147" s="198"/>
      <c r="B147" s="197">
        <v>2023</v>
      </c>
      <c r="C147" s="197"/>
      <c r="D147" s="197"/>
      <c r="E147" s="197" t="s">
        <v>154</v>
      </c>
      <c r="F147" s="197" t="s">
        <v>154</v>
      </c>
      <c r="G147" s="197" t="s">
        <v>123</v>
      </c>
      <c r="H147" s="208" t="s">
        <v>179</v>
      </c>
      <c r="I147" s="208" t="s">
        <v>107</v>
      </c>
      <c r="J147" s="197" t="s">
        <v>156</v>
      </c>
      <c r="K147" s="208" t="s">
        <v>157</v>
      </c>
      <c r="L147" s="197" t="s">
        <v>158</v>
      </c>
      <c r="M147" s="208" t="s">
        <v>159</v>
      </c>
      <c r="N147" s="208" t="s">
        <v>160</v>
      </c>
      <c r="O147" s="197" t="s">
        <v>159</v>
      </c>
      <c r="Q147" s="154" t="s">
        <v>233</v>
      </c>
      <c r="R147" s="154" t="s">
        <v>155</v>
      </c>
      <c r="S147" s="154" t="s">
        <v>233</v>
      </c>
      <c r="X147" s="151" t="s">
        <v>64</v>
      </c>
    </row>
    <row r="148" spans="1:24" x14ac:dyDescent="0.2">
      <c r="A148" s="204" t="s">
        <v>161</v>
      </c>
      <c r="B148" s="197" t="s">
        <v>162</v>
      </c>
      <c r="C148" s="197" t="s">
        <v>180</v>
      </c>
      <c r="D148" s="197" t="s">
        <v>123</v>
      </c>
      <c r="E148" s="197" t="s">
        <v>164</v>
      </c>
      <c r="F148" s="197" t="s">
        <v>164</v>
      </c>
      <c r="G148" s="197" t="s">
        <v>41</v>
      </c>
      <c r="H148" s="208" t="s">
        <v>41</v>
      </c>
      <c r="I148" s="208" t="s">
        <v>181</v>
      </c>
      <c r="J148" s="197" t="s">
        <v>166</v>
      </c>
      <c r="K148" s="208" t="s">
        <v>41</v>
      </c>
      <c r="L148" s="197" t="s">
        <v>181</v>
      </c>
      <c r="M148" s="208" t="s">
        <v>41</v>
      </c>
      <c r="N148" s="208" t="s">
        <v>123</v>
      </c>
      <c r="O148" s="197" t="s">
        <v>167</v>
      </c>
      <c r="R148" s="153" t="s">
        <v>206</v>
      </c>
      <c r="V148" s="152"/>
      <c r="X148" s="151" t="s">
        <v>209</v>
      </c>
    </row>
    <row r="149" spans="1:24" x14ac:dyDescent="0.2">
      <c r="A149" s="204" t="s">
        <v>234</v>
      </c>
      <c r="B149" s="210" t="s">
        <v>112</v>
      </c>
      <c r="C149" s="216">
        <v>1</v>
      </c>
      <c r="D149" s="214">
        <v>3772800</v>
      </c>
      <c r="E149" s="214"/>
      <c r="F149" s="214"/>
      <c r="G149" s="214">
        <v>139633.26999999999</v>
      </c>
      <c r="H149" s="214">
        <v>87600</v>
      </c>
      <c r="I149" s="214">
        <v>5726.7</v>
      </c>
      <c r="J149" s="298">
        <v>0</v>
      </c>
      <c r="K149" s="214">
        <v>53334.19</v>
      </c>
      <c r="L149" s="214">
        <v>33798.85</v>
      </c>
      <c r="M149" s="214">
        <v>0</v>
      </c>
      <c r="N149" s="214">
        <v>0</v>
      </c>
      <c r="O149" s="214">
        <v>0</v>
      </c>
      <c r="Q149" s="217">
        <f>G149+H149+I149+K149+M149</f>
        <v>286294.16000000003</v>
      </c>
      <c r="R149" s="299">
        <v>12000</v>
      </c>
      <c r="S149" s="217">
        <f>D149+N149</f>
        <v>3772800</v>
      </c>
      <c r="V149" s="300"/>
      <c r="X149" s="283">
        <f>G149+H149+I149+K149+G170+H170+I170+K170</f>
        <v>286294.16000000003</v>
      </c>
    </row>
    <row r="150" spans="1:24" x14ac:dyDescent="0.2">
      <c r="A150" s="198"/>
      <c r="B150" s="210" t="s">
        <v>113</v>
      </c>
      <c r="C150" s="216">
        <v>1</v>
      </c>
      <c r="D150" s="214">
        <v>1958400</v>
      </c>
      <c r="E150" s="214"/>
      <c r="F150" s="214"/>
      <c r="G150" s="214">
        <v>69814.13</v>
      </c>
      <c r="H150" s="214">
        <v>87600</v>
      </c>
      <c r="I150" s="214">
        <v>5726.7</v>
      </c>
      <c r="J150" s="298"/>
      <c r="K150" s="214">
        <v>51352.97</v>
      </c>
      <c r="L150" s="214">
        <v>25296.31</v>
      </c>
      <c r="M150" s="214">
        <v>0</v>
      </c>
      <c r="N150" s="214">
        <v>0</v>
      </c>
      <c r="O150" s="214">
        <v>0</v>
      </c>
      <c r="Q150" s="217">
        <f>G150+H150+I150+K150+M150</f>
        <v>214493.80000000002</v>
      </c>
      <c r="R150" s="299">
        <v>12000</v>
      </c>
      <c r="S150" s="217">
        <f t="shared" ref="S150:S159" si="45">D150+N150</f>
        <v>1958400</v>
      </c>
      <c r="V150" s="300"/>
      <c r="X150" s="283">
        <f t="shared" ref="X150:X160" si="46">G150+H150+I150+K150+G171+H171+I171+K171</f>
        <v>214369.85000000003</v>
      </c>
    </row>
    <row r="151" spans="1:24" x14ac:dyDescent="0.2">
      <c r="A151" s="198"/>
      <c r="B151" s="210" t="s">
        <v>114</v>
      </c>
      <c r="C151" s="216">
        <v>1</v>
      </c>
      <c r="D151" s="214">
        <v>2390400</v>
      </c>
      <c r="E151" s="214"/>
      <c r="F151" s="214"/>
      <c r="G151" s="214">
        <v>85906.1</v>
      </c>
      <c r="H151" s="214">
        <v>87600</v>
      </c>
      <c r="I151" s="214">
        <v>5726.7</v>
      </c>
      <c r="J151" s="298"/>
      <c r="K151" s="214">
        <v>34045.99</v>
      </c>
      <c r="L151" s="214">
        <v>15560.42</v>
      </c>
      <c r="M151" s="214">
        <v>0</v>
      </c>
      <c r="N151" s="214">
        <v>0</v>
      </c>
      <c r="O151" s="214">
        <v>0</v>
      </c>
      <c r="Q151" s="217">
        <f>G151+H151+I151+K151+M151</f>
        <v>213278.79</v>
      </c>
      <c r="R151" s="299">
        <v>12000</v>
      </c>
      <c r="S151" s="217">
        <f t="shared" si="45"/>
        <v>2390400</v>
      </c>
      <c r="V151" s="300"/>
      <c r="X151" s="283">
        <f t="shared" si="46"/>
        <v>213278.79</v>
      </c>
    </row>
    <row r="152" spans="1:24" x14ac:dyDescent="0.2">
      <c r="A152" s="198"/>
      <c r="B152" s="210" t="s">
        <v>168</v>
      </c>
      <c r="C152" s="216">
        <v>1</v>
      </c>
      <c r="D152" s="214">
        <v>2239200</v>
      </c>
      <c r="E152" s="214"/>
      <c r="F152" s="214"/>
      <c r="G152" s="214">
        <v>88432.61</v>
      </c>
      <c r="H152" s="214">
        <v>87600</v>
      </c>
      <c r="I152" s="214">
        <v>5726.7</v>
      </c>
      <c r="J152" s="298"/>
      <c r="K152" s="214">
        <v>20300.36</v>
      </c>
      <c r="L152" s="214">
        <v>22408.26</v>
      </c>
      <c r="M152" s="214"/>
      <c r="N152" s="214"/>
      <c r="O152" s="214"/>
      <c r="Q152" s="217">
        <f>G152+H152+I152+K152+M152</f>
        <v>202059.66999999998</v>
      </c>
      <c r="R152" s="299">
        <v>12000</v>
      </c>
      <c r="S152" s="217">
        <f t="shared" si="45"/>
        <v>2239200</v>
      </c>
      <c r="V152" s="300"/>
      <c r="X152" s="283">
        <f t="shared" si="46"/>
        <v>202059.66999999998</v>
      </c>
    </row>
    <row r="153" spans="1:24" x14ac:dyDescent="0.2">
      <c r="A153" s="198"/>
      <c r="B153" s="210" t="s">
        <v>115</v>
      </c>
      <c r="C153" s="216">
        <v>1</v>
      </c>
      <c r="D153" s="214">
        <v>2995200</v>
      </c>
      <c r="E153" s="214"/>
      <c r="F153" s="214"/>
      <c r="G153" s="214">
        <v>112257.05</v>
      </c>
      <c r="H153" s="214">
        <v>87600</v>
      </c>
      <c r="I153" s="214">
        <v>5726.7</v>
      </c>
      <c r="J153" s="298"/>
      <c r="K153" s="214">
        <v>36486.93</v>
      </c>
      <c r="L153" s="214">
        <v>35131.86</v>
      </c>
      <c r="M153" s="214"/>
      <c r="N153" s="214"/>
      <c r="O153" s="214"/>
      <c r="Q153" s="217">
        <f t="shared" ref="Q153:Q160" si="47">G153+H153+I153+K153+M153</f>
        <v>242070.68</v>
      </c>
      <c r="R153" s="299">
        <v>12000</v>
      </c>
      <c r="S153" s="217">
        <f t="shared" si="45"/>
        <v>2995200</v>
      </c>
      <c r="V153" s="300"/>
      <c r="X153" s="283">
        <f t="shared" si="46"/>
        <v>242070.68</v>
      </c>
    </row>
    <row r="154" spans="1:24" x14ac:dyDescent="0.2">
      <c r="A154" s="198"/>
      <c r="B154" s="210" t="s">
        <v>169</v>
      </c>
      <c r="C154" s="216">
        <v>1</v>
      </c>
      <c r="D154" s="214">
        <v>1972800</v>
      </c>
      <c r="E154" s="214"/>
      <c r="F154" s="214"/>
      <c r="G154" s="214">
        <v>81736.27</v>
      </c>
      <c r="H154" s="214">
        <v>87600</v>
      </c>
      <c r="I154" s="214">
        <v>5726.7</v>
      </c>
      <c r="J154" s="298"/>
      <c r="K154" s="214">
        <v>21231.67</v>
      </c>
      <c r="L154" s="214">
        <v>27873.66</v>
      </c>
      <c r="M154" s="214"/>
      <c r="N154" s="214"/>
      <c r="O154" s="214"/>
      <c r="Q154" s="217">
        <f t="shared" si="47"/>
        <v>196294.64</v>
      </c>
      <c r="R154" s="299">
        <v>12000</v>
      </c>
      <c r="S154" s="217">
        <f t="shared" si="45"/>
        <v>1972800</v>
      </c>
      <c r="V154" s="300"/>
      <c r="X154" s="283">
        <f t="shared" si="46"/>
        <v>196294.64</v>
      </c>
    </row>
    <row r="155" spans="1:24" x14ac:dyDescent="0.2">
      <c r="A155" s="198"/>
      <c r="B155" s="210" t="s">
        <v>170</v>
      </c>
      <c r="C155" s="216">
        <v>1</v>
      </c>
      <c r="D155" s="214">
        <v>7365600</v>
      </c>
      <c r="E155" s="214"/>
      <c r="F155" s="214"/>
      <c r="G155" s="214">
        <v>300021.57</v>
      </c>
      <c r="H155" s="214">
        <v>87600</v>
      </c>
      <c r="I155" s="214">
        <v>5726.7</v>
      </c>
      <c r="J155" s="298"/>
      <c r="K155" s="214">
        <v>46586.68</v>
      </c>
      <c r="L155" s="214">
        <v>63600.82</v>
      </c>
      <c r="M155" s="214"/>
      <c r="N155" s="214"/>
      <c r="O155" s="214"/>
      <c r="Q155" s="217">
        <f t="shared" si="47"/>
        <v>439934.95</v>
      </c>
      <c r="R155" s="299">
        <v>12000</v>
      </c>
      <c r="S155" s="217">
        <f t="shared" si="45"/>
        <v>7365600</v>
      </c>
      <c r="V155" s="300"/>
      <c r="X155" s="283">
        <f t="shared" si="46"/>
        <v>439846.15</v>
      </c>
    </row>
    <row r="156" spans="1:24" x14ac:dyDescent="0.2">
      <c r="A156" s="198"/>
      <c r="B156" s="210" t="s">
        <v>116</v>
      </c>
      <c r="C156" s="216">
        <v>1</v>
      </c>
      <c r="D156" s="214">
        <v>7876800</v>
      </c>
      <c r="E156" s="214"/>
      <c r="F156" s="214"/>
      <c r="G156" s="214">
        <v>331519.09999999998</v>
      </c>
      <c r="H156" s="214">
        <v>87600</v>
      </c>
      <c r="I156" s="214">
        <v>5726.7</v>
      </c>
      <c r="J156" s="298"/>
      <c r="K156" s="214">
        <v>42910.44</v>
      </c>
      <c r="L156" s="214">
        <v>69549.440000000002</v>
      </c>
      <c r="M156" s="214"/>
      <c r="N156" s="214"/>
      <c r="O156" s="214"/>
      <c r="Q156" s="217">
        <f t="shared" si="47"/>
        <v>467756.24</v>
      </c>
      <c r="R156" s="299">
        <v>12000</v>
      </c>
      <c r="S156" s="217">
        <f t="shared" si="45"/>
        <v>7876800</v>
      </c>
      <c r="V156" s="300"/>
      <c r="X156" s="283">
        <f t="shared" si="46"/>
        <v>467756.24</v>
      </c>
    </row>
    <row r="157" spans="1:24" x14ac:dyDescent="0.2">
      <c r="A157" s="198"/>
      <c r="B157" s="210" t="s">
        <v>171</v>
      </c>
      <c r="C157" s="216">
        <v>1</v>
      </c>
      <c r="D157" s="214">
        <v>7473600</v>
      </c>
      <c r="E157" s="214"/>
      <c r="F157" s="214"/>
      <c r="G157" s="214">
        <v>293231.81</v>
      </c>
      <c r="H157" s="214">
        <v>87600</v>
      </c>
      <c r="I157" s="214">
        <v>5726.7</v>
      </c>
      <c r="J157" s="298"/>
      <c r="K157" s="214">
        <v>83750.66</v>
      </c>
      <c r="L157" s="214">
        <v>65127.65</v>
      </c>
      <c r="M157" s="214"/>
      <c r="N157" s="214"/>
      <c r="O157" s="214"/>
      <c r="Q157" s="217">
        <f t="shared" si="47"/>
        <v>470309.17000000004</v>
      </c>
      <c r="R157" s="299">
        <v>12000</v>
      </c>
      <c r="S157" s="217">
        <f t="shared" si="45"/>
        <v>7473600</v>
      </c>
      <c r="V157" s="300"/>
      <c r="X157" s="283">
        <f t="shared" si="46"/>
        <v>463723.69000000006</v>
      </c>
    </row>
    <row r="158" spans="1:24" x14ac:dyDescent="0.2">
      <c r="A158" s="198"/>
      <c r="B158" s="210" t="s">
        <v>117</v>
      </c>
      <c r="C158" s="216">
        <v>1</v>
      </c>
      <c r="D158" s="214">
        <v>8330400</v>
      </c>
      <c r="E158" s="214"/>
      <c r="F158" s="214"/>
      <c r="G158" s="214">
        <v>333735.31</v>
      </c>
      <c r="H158" s="214">
        <v>87600</v>
      </c>
      <c r="I158" s="214">
        <v>5726.7</v>
      </c>
      <c r="J158" s="298"/>
      <c r="K158" s="214">
        <v>105286.26</v>
      </c>
      <c r="L158" s="214">
        <v>50518.36</v>
      </c>
      <c r="M158" s="214"/>
      <c r="N158" s="214"/>
      <c r="O158" s="214"/>
      <c r="Q158" s="217">
        <f t="shared" si="47"/>
        <v>532348.27</v>
      </c>
      <c r="R158" s="299">
        <v>12000</v>
      </c>
      <c r="S158" s="217">
        <f t="shared" si="45"/>
        <v>8330400</v>
      </c>
      <c r="V158" s="300"/>
      <c r="X158" s="283">
        <f t="shared" si="46"/>
        <v>531691.19999999995</v>
      </c>
    </row>
    <row r="159" spans="1:24" x14ac:dyDescent="0.2">
      <c r="A159" s="198"/>
      <c r="B159" s="210" t="s">
        <v>118</v>
      </c>
      <c r="C159" s="216">
        <v>1</v>
      </c>
      <c r="D159" s="214">
        <v>8380800</v>
      </c>
      <c r="E159" s="214"/>
      <c r="F159" s="214"/>
      <c r="G159" s="214">
        <v>343452.22</v>
      </c>
      <c r="H159" s="214">
        <v>87600</v>
      </c>
      <c r="I159" s="214">
        <v>5726.7</v>
      </c>
      <c r="J159" s="298"/>
      <c r="K159" s="214">
        <v>96968.37</v>
      </c>
      <c r="L159" s="214">
        <v>53101.49</v>
      </c>
      <c r="M159" s="214"/>
      <c r="N159" s="214"/>
      <c r="O159" s="214"/>
      <c r="Q159" s="217">
        <f t="shared" si="47"/>
        <v>533747.29</v>
      </c>
      <c r="R159" s="299">
        <v>12000</v>
      </c>
      <c r="S159" s="217">
        <f t="shared" si="45"/>
        <v>8380800</v>
      </c>
      <c r="V159" s="300"/>
      <c r="X159" s="283">
        <f t="shared" si="46"/>
        <v>533747.29</v>
      </c>
    </row>
    <row r="160" spans="1:24" x14ac:dyDescent="0.2">
      <c r="A160" s="198"/>
      <c r="B160" s="210" t="s">
        <v>119</v>
      </c>
      <c r="C160" s="216">
        <v>1</v>
      </c>
      <c r="D160" s="214">
        <v>8640000</v>
      </c>
      <c r="E160" s="214"/>
      <c r="F160" s="214"/>
      <c r="G160" s="214">
        <v>355173.2</v>
      </c>
      <c r="H160" s="214">
        <v>87600</v>
      </c>
      <c r="I160" s="214">
        <v>5726.7</v>
      </c>
      <c r="J160" s="298"/>
      <c r="K160" s="214">
        <v>55885.25</v>
      </c>
      <c r="L160" s="214">
        <v>59642.25</v>
      </c>
      <c r="M160" s="214"/>
      <c r="N160" s="214"/>
      <c r="O160" s="214"/>
      <c r="Q160" s="217">
        <f t="shared" si="47"/>
        <v>504385.15</v>
      </c>
      <c r="R160" s="299">
        <v>12000</v>
      </c>
      <c r="S160" s="217">
        <f>D160+N160</f>
        <v>8640000</v>
      </c>
      <c r="V160" s="300"/>
      <c r="X160" s="283">
        <f t="shared" si="46"/>
        <v>504385.15</v>
      </c>
    </row>
    <row r="161" spans="1:24" x14ac:dyDescent="0.2">
      <c r="A161" s="197"/>
      <c r="B161" s="213" t="s">
        <v>83</v>
      </c>
      <c r="C161" s="213">
        <f>SUM(C149:C160)</f>
        <v>12</v>
      </c>
      <c r="D161" s="215">
        <f>SUM(D149:D160)</f>
        <v>63396000</v>
      </c>
      <c r="E161" s="215"/>
      <c r="F161" s="215"/>
      <c r="G161" s="215">
        <f t="shared" ref="G161:O161" si="48">SUM(G149:G160)</f>
        <v>2534912.6400000006</v>
      </c>
      <c r="H161" s="215">
        <f t="shared" si="48"/>
        <v>1051200</v>
      </c>
      <c r="I161" s="215">
        <f t="shared" si="48"/>
        <v>68720.39999999998</v>
      </c>
      <c r="J161" s="215">
        <f>SUM(J149:J160)</f>
        <v>0</v>
      </c>
      <c r="K161" s="215">
        <f t="shared" si="48"/>
        <v>648139.77</v>
      </c>
      <c r="L161" s="215">
        <f t="shared" si="48"/>
        <v>521609.37</v>
      </c>
      <c r="M161" s="215">
        <f t="shared" si="48"/>
        <v>0</v>
      </c>
      <c r="N161" s="215">
        <f t="shared" si="48"/>
        <v>0</v>
      </c>
      <c r="O161" s="215">
        <f t="shared" si="48"/>
        <v>0</v>
      </c>
      <c r="Q161" s="217">
        <f>SUM(Q149:Q160)</f>
        <v>4302972.8100000005</v>
      </c>
      <c r="R161" s="299">
        <f>SUM(R149:R160)</f>
        <v>144000</v>
      </c>
      <c r="S161" s="217">
        <f>SUM(S149:S160)</f>
        <v>63396000</v>
      </c>
      <c r="V161" s="300"/>
      <c r="X161" s="264">
        <f>SUM(X149:X160)</f>
        <v>4295517.51</v>
      </c>
    </row>
    <row r="167" spans="1:24" x14ac:dyDescent="0.2">
      <c r="A167" s="198"/>
      <c r="B167" s="216"/>
      <c r="C167" s="216"/>
      <c r="D167" s="214"/>
      <c r="E167" s="214"/>
      <c r="F167" s="214"/>
      <c r="G167" s="214"/>
      <c r="H167" s="297" t="s">
        <v>151</v>
      </c>
      <c r="I167" s="204" t="s">
        <v>151</v>
      </c>
      <c r="J167" s="198" t="s">
        <v>152</v>
      </c>
      <c r="K167" s="204" t="s">
        <v>151</v>
      </c>
      <c r="L167" s="198" t="s">
        <v>152</v>
      </c>
      <c r="M167" s="208" t="s">
        <v>151</v>
      </c>
      <c r="N167" s="208" t="s">
        <v>151</v>
      </c>
      <c r="O167" s="197"/>
    </row>
    <row r="168" spans="1:24" x14ac:dyDescent="0.2">
      <c r="A168" s="198"/>
      <c r="B168" s="197">
        <v>2023</v>
      </c>
      <c r="C168" s="197"/>
      <c r="D168" s="197"/>
      <c r="E168" s="197" t="s">
        <v>154</v>
      </c>
      <c r="F168" s="197" t="s">
        <v>154</v>
      </c>
      <c r="G168" s="197" t="s">
        <v>123</v>
      </c>
      <c r="H168" s="208" t="s">
        <v>179</v>
      </c>
      <c r="I168" s="208" t="s">
        <v>107</v>
      </c>
      <c r="J168" s="197" t="s">
        <v>156</v>
      </c>
      <c r="K168" s="208" t="s">
        <v>157</v>
      </c>
      <c r="L168" s="197" t="s">
        <v>158</v>
      </c>
      <c r="M168" s="208" t="s">
        <v>159</v>
      </c>
      <c r="N168" s="208" t="s">
        <v>160</v>
      </c>
      <c r="O168" s="197" t="s">
        <v>159</v>
      </c>
    </row>
    <row r="169" spans="1:24" x14ac:dyDescent="0.2">
      <c r="A169" s="204" t="s">
        <v>161</v>
      </c>
      <c r="B169" s="197" t="s">
        <v>162</v>
      </c>
      <c r="C169" s="197" t="s">
        <v>180</v>
      </c>
      <c r="D169" s="197" t="s">
        <v>123</v>
      </c>
      <c r="E169" s="197" t="s">
        <v>164</v>
      </c>
      <c r="F169" s="197" t="s">
        <v>164</v>
      </c>
      <c r="G169" s="197" t="s">
        <v>41</v>
      </c>
      <c r="H169" s="208" t="s">
        <v>41</v>
      </c>
      <c r="I169" s="208" t="s">
        <v>181</v>
      </c>
      <c r="J169" s="197" t="s">
        <v>166</v>
      </c>
      <c r="K169" s="208" t="s">
        <v>41</v>
      </c>
      <c r="L169" s="197" t="s">
        <v>181</v>
      </c>
      <c r="M169" s="208" t="s">
        <v>41</v>
      </c>
      <c r="N169" s="208" t="s">
        <v>123</v>
      </c>
      <c r="O169" s="197" t="s">
        <v>167</v>
      </c>
    </row>
    <row r="170" spans="1:24" x14ac:dyDescent="0.2">
      <c r="A170" s="204" t="s">
        <v>235</v>
      </c>
      <c r="B170" s="210" t="s">
        <v>112</v>
      </c>
      <c r="C170" s="216" t="s">
        <v>236</v>
      </c>
      <c r="D170" s="214">
        <v>0</v>
      </c>
      <c r="E170" s="214"/>
      <c r="F170" s="214"/>
      <c r="G170" s="214">
        <v>0</v>
      </c>
      <c r="H170" s="214">
        <v>0</v>
      </c>
      <c r="I170" s="214">
        <v>0</v>
      </c>
      <c r="J170" s="298" t="s">
        <v>236</v>
      </c>
      <c r="K170" s="214">
        <v>0</v>
      </c>
      <c r="L170" s="214">
        <v>0</v>
      </c>
      <c r="M170" s="214">
        <v>0</v>
      </c>
      <c r="N170" s="214">
        <v>0</v>
      </c>
      <c r="O170" s="214">
        <v>0</v>
      </c>
      <c r="Q170" s="217">
        <f>G170+H170+I170+K170+M170</f>
        <v>0</v>
      </c>
      <c r="S170" s="217">
        <f>D170+N170</f>
        <v>0</v>
      </c>
    </row>
    <row r="171" spans="1:24" x14ac:dyDescent="0.2">
      <c r="A171" s="198"/>
      <c r="B171" s="210" t="s">
        <v>113</v>
      </c>
      <c r="C171" s="216"/>
      <c r="D171" s="214">
        <v>-1878</v>
      </c>
      <c r="E171" s="214"/>
      <c r="F171" s="214"/>
      <c r="G171" s="214">
        <v>-74.709999999999994</v>
      </c>
      <c r="H171" s="214"/>
      <c r="I171" s="214"/>
      <c r="J171" s="298"/>
      <c r="K171" s="214">
        <v>-49.24</v>
      </c>
      <c r="L171" s="214">
        <v>0</v>
      </c>
      <c r="M171" s="214"/>
      <c r="N171" s="214"/>
      <c r="O171" s="214"/>
      <c r="Q171" s="217">
        <f t="shared" ref="Q171:Q181" si="49">G171+H171+I171+K171+M171</f>
        <v>-123.94999999999999</v>
      </c>
      <c r="S171" s="217">
        <f t="shared" ref="S171:S181" si="50">D171+N171</f>
        <v>-1878</v>
      </c>
    </row>
    <row r="172" spans="1:24" x14ac:dyDescent="0.2">
      <c r="A172" s="198"/>
      <c r="B172" s="210" t="s">
        <v>114</v>
      </c>
      <c r="C172" s="216"/>
      <c r="D172" s="214">
        <v>0</v>
      </c>
      <c r="E172" s="214"/>
      <c r="F172" s="214"/>
      <c r="G172" s="214"/>
      <c r="H172" s="214"/>
      <c r="I172" s="214"/>
      <c r="J172" s="298"/>
      <c r="K172" s="214"/>
      <c r="L172" s="214">
        <v>0</v>
      </c>
      <c r="M172" s="214"/>
      <c r="N172" s="214"/>
      <c r="O172" s="214"/>
      <c r="Q172" s="217">
        <f t="shared" si="49"/>
        <v>0</v>
      </c>
      <c r="S172" s="217">
        <f t="shared" si="50"/>
        <v>0</v>
      </c>
    </row>
    <row r="173" spans="1:24" x14ac:dyDescent="0.2">
      <c r="A173" s="198"/>
      <c r="B173" s="210" t="s">
        <v>168</v>
      </c>
      <c r="C173" s="216"/>
      <c r="D173" s="214">
        <v>0</v>
      </c>
      <c r="E173" s="214"/>
      <c r="F173" s="214"/>
      <c r="G173" s="214"/>
      <c r="H173" s="214"/>
      <c r="I173" s="214"/>
      <c r="J173" s="298"/>
      <c r="K173" s="214"/>
      <c r="L173" s="214">
        <v>0</v>
      </c>
      <c r="M173" s="214"/>
      <c r="N173" s="214"/>
      <c r="O173" s="214"/>
      <c r="Q173" s="217">
        <f t="shared" si="49"/>
        <v>0</v>
      </c>
      <c r="S173" s="217">
        <f t="shared" si="50"/>
        <v>0</v>
      </c>
    </row>
    <row r="174" spans="1:24" x14ac:dyDescent="0.2">
      <c r="A174" s="198"/>
      <c r="B174" s="210" t="s">
        <v>115</v>
      </c>
      <c r="C174" s="216"/>
      <c r="D174" s="214">
        <v>0</v>
      </c>
      <c r="E174" s="214"/>
      <c r="F174" s="214"/>
      <c r="G174" s="214"/>
      <c r="H174" s="214"/>
      <c r="I174" s="214"/>
      <c r="J174" s="298"/>
      <c r="K174" s="214"/>
      <c r="L174" s="214">
        <v>0</v>
      </c>
      <c r="M174" s="214"/>
      <c r="N174" s="214"/>
      <c r="O174" s="214"/>
      <c r="Q174" s="217">
        <f t="shared" si="49"/>
        <v>0</v>
      </c>
      <c r="S174" s="217">
        <f t="shared" si="50"/>
        <v>0</v>
      </c>
    </row>
    <row r="175" spans="1:24" x14ac:dyDescent="0.2">
      <c r="A175" s="198"/>
      <c r="B175" s="210" t="s">
        <v>169</v>
      </c>
      <c r="C175" s="216"/>
      <c r="D175" s="214">
        <v>0</v>
      </c>
      <c r="E175" s="214"/>
      <c r="F175" s="214"/>
      <c r="G175" s="214"/>
      <c r="H175" s="214"/>
      <c r="I175" s="214"/>
      <c r="J175" s="298"/>
      <c r="K175" s="214"/>
      <c r="L175" s="214">
        <v>0</v>
      </c>
      <c r="M175" s="214"/>
      <c r="N175" s="214"/>
      <c r="O175" s="214"/>
      <c r="Q175" s="217">
        <f t="shared" si="49"/>
        <v>0</v>
      </c>
      <c r="S175" s="217">
        <f t="shared" si="50"/>
        <v>0</v>
      </c>
    </row>
    <row r="176" spans="1:24" x14ac:dyDescent="0.2">
      <c r="A176" s="198"/>
      <c r="B176" s="210" t="s">
        <v>170</v>
      </c>
      <c r="C176" s="216"/>
      <c r="D176" s="214">
        <v>-1926</v>
      </c>
      <c r="E176" s="214"/>
      <c r="F176" s="214"/>
      <c r="G176" s="214">
        <v>-76.62</v>
      </c>
      <c r="H176" s="214"/>
      <c r="I176" s="214"/>
      <c r="J176" s="298"/>
      <c r="K176" s="214">
        <v>-12.18</v>
      </c>
      <c r="L176" s="214">
        <v>0</v>
      </c>
      <c r="M176" s="214"/>
      <c r="N176" s="214"/>
      <c r="O176" s="214"/>
      <c r="Q176" s="217">
        <f t="shared" si="49"/>
        <v>-88.800000000000011</v>
      </c>
      <c r="S176" s="217">
        <f t="shared" si="50"/>
        <v>-1926</v>
      </c>
    </row>
    <row r="177" spans="1:24" x14ac:dyDescent="0.2">
      <c r="A177" s="198"/>
      <c r="B177" s="210" t="s">
        <v>116</v>
      </c>
      <c r="C177" s="216"/>
      <c r="D177" s="214">
        <v>0</v>
      </c>
      <c r="E177" s="214"/>
      <c r="F177" s="214"/>
      <c r="G177" s="214"/>
      <c r="H177" s="214"/>
      <c r="I177" s="214"/>
      <c r="J177" s="298"/>
      <c r="K177" s="214"/>
      <c r="L177" s="214">
        <v>0</v>
      </c>
      <c r="M177" s="214"/>
      <c r="N177" s="214"/>
      <c r="O177" s="214"/>
      <c r="Q177" s="217">
        <f t="shared" si="49"/>
        <v>0</v>
      </c>
      <c r="S177" s="217">
        <f t="shared" si="50"/>
        <v>0</v>
      </c>
    </row>
    <row r="178" spans="1:24" x14ac:dyDescent="0.2">
      <c r="A178" s="198"/>
      <c r="B178" s="210" t="s">
        <v>171</v>
      </c>
      <c r="C178" s="216"/>
      <c r="D178" s="214">
        <v>-129162</v>
      </c>
      <c r="E178" s="214"/>
      <c r="F178" s="214"/>
      <c r="G178" s="214">
        <v>-5138.0600000000004</v>
      </c>
      <c r="H178" s="214"/>
      <c r="I178" s="214"/>
      <c r="J178" s="298"/>
      <c r="K178" s="214">
        <v>-1447.42</v>
      </c>
      <c r="L178" s="214">
        <v>0</v>
      </c>
      <c r="M178" s="214"/>
      <c r="N178" s="214"/>
      <c r="O178" s="214"/>
      <c r="Q178" s="217">
        <f t="shared" si="49"/>
        <v>-6585.4800000000005</v>
      </c>
      <c r="S178" s="217">
        <f t="shared" si="50"/>
        <v>-129162</v>
      </c>
    </row>
    <row r="179" spans="1:24" x14ac:dyDescent="0.2">
      <c r="A179" s="198"/>
      <c r="B179" s="210" t="s">
        <v>117</v>
      </c>
      <c r="C179" s="216"/>
      <c r="D179" s="214">
        <v>-12535</v>
      </c>
      <c r="E179" s="214"/>
      <c r="F179" s="214"/>
      <c r="G179" s="214">
        <v>-498.64</v>
      </c>
      <c r="H179" s="214"/>
      <c r="I179" s="214"/>
      <c r="J179" s="298"/>
      <c r="K179" s="214">
        <v>-158.43</v>
      </c>
      <c r="L179" s="214">
        <v>0</v>
      </c>
      <c r="M179" s="214"/>
      <c r="N179" s="214"/>
      <c r="O179" s="214"/>
      <c r="Q179" s="217">
        <f t="shared" si="49"/>
        <v>-657.06999999999994</v>
      </c>
      <c r="S179" s="217">
        <f t="shared" si="50"/>
        <v>-12535</v>
      </c>
    </row>
    <row r="180" spans="1:24" x14ac:dyDescent="0.2">
      <c r="A180" s="198"/>
      <c r="B180" s="210" t="s">
        <v>118</v>
      </c>
      <c r="C180" s="216"/>
      <c r="D180" s="214"/>
      <c r="E180" s="214"/>
      <c r="F180" s="214"/>
      <c r="G180" s="214"/>
      <c r="H180" s="214"/>
      <c r="I180" s="214"/>
      <c r="J180" s="298"/>
      <c r="K180" s="214"/>
      <c r="L180" s="214">
        <v>0</v>
      </c>
      <c r="M180" s="214"/>
      <c r="N180" s="214"/>
      <c r="O180" s="214"/>
      <c r="Q180" s="217">
        <f t="shared" si="49"/>
        <v>0</v>
      </c>
      <c r="S180" s="217">
        <f t="shared" si="50"/>
        <v>0</v>
      </c>
    </row>
    <row r="181" spans="1:24" x14ac:dyDescent="0.2">
      <c r="A181" s="198"/>
      <c r="B181" s="210" t="s">
        <v>119</v>
      </c>
      <c r="C181" s="216"/>
      <c r="D181" s="214"/>
      <c r="E181" s="214"/>
      <c r="F181" s="214"/>
      <c r="G181" s="214"/>
      <c r="H181" s="214"/>
      <c r="I181" s="214"/>
      <c r="J181" s="298"/>
      <c r="K181" s="214"/>
      <c r="L181" s="214">
        <v>0</v>
      </c>
      <c r="M181" s="214"/>
      <c r="N181" s="214"/>
      <c r="O181" s="214"/>
      <c r="Q181" s="217">
        <f t="shared" si="49"/>
        <v>0</v>
      </c>
      <c r="S181" s="217">
        <f t="shared" si="50"/>
        <v>0</v>
      </c>
    </row>
    <row r="182" spans="1:24" x14ac:dyDescent="0.2">
      <c r="A182" s="197"/>
      <c r="B182" s="213" t="s">
        <v>83</v>
      </c>
      <c r="C182" s="213">
        <f>SUM(C170:C181)</f>
        <v>0</v>
      </c>
      <c r="D182" s="215">
        <f>SUM(D170:D181)</f>
        <v>-145501</v>
      </c>
      <c r="E182" s="215"/>
      <c r="F182" s="215"/>
      <c r="G182" s="215">
        <f t="shared" ref="G182:O182" si="51">SUM(G170:G181)</f>
        <v>-5788.0300000000007</v>
      </c>
      <c r="H182" s="215">
        <f t="shared" si="51"/>
        <v>0</v>
      </c>
      <c r="I182" s="215">
        <f t="shared" si="51"/>
        <v>0</v>
      </c>
      <c r="J182" s="215">
        <f t="shared" si="51"/>
        <v>0</v>
      </c>
      <c r="K182" s="215">
        <f t="shared" si="51"/>
        <v>-1667.2700000000002</v>
      </c>
      <c r="L182" s="215">
        <f t="shared" si="51"/>
        <v>0</v>
      </c>
      <c r="M182" s="215">
        <f t="shared" si="51"/>
        <v>0</v>
      </c>
      <c r="N182" s="215">
        <f t="shared" si="51"/>
        <v>0</v>
      </c>
      <c r="O182" s="215">
        <f t="shared" si="51"/>
        <v>0</v>
      </c>
      <c r="Q182" s="217">
        <f>SUM(Q170:Q181)</f>
        <v>-7455.3</v>
      </c>
      <c r="S182" s="217">
        <f>SUM(S170:S181)</f>
        <v>-145501</v>
      </c>
    </row>
    <row r="183" spans="1:24" x14ac:dyDescent="0.2">
      <c r="A183" s="151"/>
      <c r="B183" s="222"/>
      <c r="C183" s="222"/>
      <c r="D183" s="223"/>
      <c r="E183" s="223"/>
      <c r="F183" s="223"/>
      <c r="G183" s="223"/>
      <c r="H183" s="223"/>
      <c r="I183" s="223"/>
      <c r="J183" s="223"/>
      <c r="K183" s="223"/>
      <c r="L183" s="223"/>
      <c r="M183" s="223"/>
      <c r="N183" s="223"/>
      <c r="O183" s="223"/>
      <c r="Q183" s="217"/>
      <c r="S183" s="217"/>
    </row>
    <row r="184" spans="1:24" x14ac:dyDescent="0.2">
      <c r="A184" s="151"/>
      <c r="B184" s="222"/>
      <c r="C184" s="222"/>
      <c r="D184" s="223"/>
      <c r="E184" s="223"/>
      <c r="F184" s="223"/>
      <c r="G184" s="223"/>
      <c r="H184" s="223"/>
      <c r="I184" s="223"/>
      <c r="J184" s="223"/>
      <c r="K184" s="223"/>
      <c r="L184" s="223"/>
      <c r="M184" s="223"/>
      <c r="N184" s="223"/>
      <c r="O184" s="223"/>
      <c r="P184" s="223"/>
      <c r="Q184" s="223"/>
      <c r="U184" s="217"/>
      <c r="V184" s="296"/>
      <c r="W184" s="217"/>
      <c r="X184" s="217"/>
    </row>
    <row r="185" spans="1:24" x14ac:dyDescent="0.2">
      <c r="A185" s="198"/>
      <c r="B185" s="216"/>
      <c r="C185" s="216"/>
      <c r="D185" s="214"/>
      <c r="E185" s="214"/>
      <c r="F185" s="214"/>
      <c r="G185" s="214"/>
      <c r="H185" s="297" t="s">
        <v>151</v>
      </c>
      <c r="I185" s="204" t="s">
        <v>151</v>
      </c>
      <c r="J185" s="198" t="s">
        <v>152</v>
      </c>
      <c r="K185" s="204" t="s">
        <v>151</v>
      </c>
      <c r="L185" s="198" t="s">
        <v>152</v>
      </c>
      <c r="M185" s="208" t="s">
        <v>151</v>
      </c>
      <c r="N185" s="208" t="s">
        <v>151</v>
      </c>
      <c r="O185" s="197"/>
      <c r="Q185" s="154" t="s">
        <v>187</v>
      </c>
      <c r="R185" s="154" t="s">
        <v>232</v>
      </c>
      <c r="S185" s="154" t="s">
        <v>203</v>
      </c>
    </row>
    <row r="186" spans="1:24" x14ac:dyDescent="0.2">
      <c r="A186" s="198"/>
      <c r="B186" s="197">
        <v>2023</v>
      </c>
      <c r="C186" s="197"/>
      <c r="D186" s="197"/>
      <c r="E186" s="197" t="s">
        <v>154</v>
      </c>
      <c r="F186" s="197" t="s">
        <v>154</v>
      </c>
      <c r="G186" s="197" t="s">
        <v>123</v>
      </c>
      <c r="H186" s="208" t="s">
        <v>179</v>
      </c>
      <c r="I186" s="208" t="s">
        <v>107</v>
      </c>
      <c r="J186" s="197" t="s">
        <v>156</v>
      </c>
      <c r="K186" s="208" t="s">
        <v>157</v>
      </c>
      <c r="L186" s="197" t="s">
        <v>158</v>
      </c>
      <c r="M186" s="208" t="s">
        <v>159</v>
      </c>
      <c r="N186" s="208" t="s">
        <v>160</v>
      </c>
      <c r="O186" s="197" t="s">
        <v>159</v>
      </c>
      <c r="Q186" s="154" t="s">
        <v>233</v>
      </c>
      <c r="R186" s="154" t="s">
        <v>155</v>
      </c>
      <c r="S186" s="154" t="s">
        <v>233</v>
      </c>
      <c r="X186" s="151" t="s">
        <v>64</v>
      </c>
    </row>
    <row r="187" spans="1:24" x14ac:dyDescent="0.2">
      <c r="A187" s="204" t="s">
        <v>161</v>
      </c>
      <c r="B187" s="197" t="s">
        <v>162</v>
      </c>
      <c r="C187" s="197" t="s">
        <v>180</v>
      </c>
      <c r="D187" s="197" t="s">
        <v>123</v>
      </c>
      <c r="E187" s="197" t="s">
        <v>164</v>
      </c>
      <c r="F187" s="197" t="s">
        <v>164</v>
      </c>
      <c r="G187" s="197" t="s">
        <v>41</v>
      </c>
      <c r="H187" s="208" t="s">
        <v>41</v>
      </c>
      <c r="I187" s="208" t="s">
        <v>181</v>
      </c>
      <c r="J187" s="197" t="s">
        <v>166</v>
      </c>
      <c r="K187" s="208" t="s">
        <v>41</v>
      </c>
      <c r="L187" s="197" t="s">
        <v>181</v>
      </c>
      <c r="M187" s="208" t="s">
        <v>41</v>
      </c>
      <c r="N187" s="208" t="s">
        <v>123</v>
      </c>
      <c r="O187" s="197" t="s">
        <v>167</v>
      </c>
      <c r="R187" s="153" t="s">
        <v>206</v>
      </c>
      <c r="V187" s="152"/>
      <c r="X187" s="151" t="s">
        <v>209</v>
      </c>
    </row>
    <row r="188" spans="1:24" x14ac:dyDescent="0.2">
      <c r="A188" s="204" t="s">
        <v>237</v>
      </c>
      <c r="B188" s="210" t="s">
        <v>112</v>
      </c>
      <c r="C188" s="216">
        <v>1</v>
      </c>
      <c r="D188" s="214">
        <v>3799800</v>
      </c>
      <c r="E188" s="214"/>
      <c r="F188" s="214"/>
      <c r="G188" s="214">
        <v>157689.94</v>
      </c>
      <c r="H188" s="214">
        <v>62974.42</v>
      </c>
      <c r="I188" s="214">
        <v>3025.05</v>
      </c>
      <c r="J188" s="298">
        <v>0</v>
      </c>
      <c r="K188" s="214">
        <v>53715.87</v>
      </c>
      <c r="L188" s="214">
        <v>30754.06</v>
      </c>
      <c r="M188" s="214">
        <v>0</v>
      </c>
      <c r="N188" s="214">
        <v>0</v>
      </c>
      <c r="O188" s="214">
        <v>0</v>
      </c>
      <c r="Q188" s="217">
        <f>G188+H188+I188+K188+M188</f>
        <v>277405.27999999997</v>
      </c>
      <c r="R188" s="299">
        <v>8407.7999999999993</v>
      </c>
      <c r="S188" s="217">
        <f>D188+N188</f>
        <v>3799800</v>
      </c>
      <c r="V188" s="300"/>
      <c r="X188" s="283">
        <f>G188+H188+I188+K188+G209+H209+I209+K209</f>
        <v>277405.27999999997</v>
      </c>
    </row>
    <row r="189" spans="1:24" x14ac:dyDescent="0.2">
      <c r="A189" s="198"/>
      <c r="B189" s="210" t="s">
        <v>113</v>
      </c>
      <c r="C189" s="216">
        <v>1</v>
      </c>
      <c r="D189" s="214">
        <v>4208400</v>
      </c>
      <c r="E189" s="214"/>
      <c r="F189" s="214"/>
      <c r="G189" s="214">
        <v>161255.35</v>
      </c>
      <c r="H189" s="214">
        <v>62974.42</v>
      </c>
      <c r="I189" s="214">
        <v>3025.05</v>
      </c>
      <c r="J189" s="298"/>
      <c r="K189" s="214">
        <v>110352.24</v>
      </c>
      <c r="L189" s="214">
        <v>34563.1</v>
      </c>
      <c r="M189" s="214">
        <v>0</v>
      </c>
      <c r="N189" s="214">
        <v>0</v>
      </c>
      <c r="O189" s="214">
        <v>0</v>
      </c>
      <c r="Q189" s="217">
        <f>G189+H189+I189+K189+M189</f>
        <v>337607.06</v>
      </c>
      <c r="R189" s="299">
        <v>8407.7999999999993</v>
      </c>
      <c r="S189" s="217">
        <f t="shared" ref="S189:S198" si="52">D189+N189</f>
        <v>4208400</v>
      </c>
      <c r="V189" s="300"/>
      <c r="X189" s="283">
        <f t="shared" ref="X189:X199" si="53">G189+H189+I189+K189+G210+H210+I210+K210</f>
        <v>337396.63</v>
      </c>
    </row>
    <row r="190" spans="1:24" x14ac:dyDescent="0.2">
      <c r="A190" s="198"/>
      <c r="B190" s="210" t="s">
        <v>114</v>
      </c>
      <c r="C190" s="216">
        <v>1</v>
      </c>
      <c r="D190" s="214">
        <v>4858200</v>
      </c>
      <c r="E190" s="214"/>
      <c r="F190" s="214"/>
      <c r="G190" s="214">
        <v>198264.69</v>
      </c>
      <c r="H190" s="214">
        <v>62246.39</v>
      </c>
      <c r="I190" s="214">
        <v>3025.05</v>
      </c>
      <c r="J190" s="298"/>
      <c r="K190" s="214">
        <v>69194.37</v>
      </c>
      <c r="L190" s="214">
        <v>20911.099999999999</v>
      </c>
      <c r="M190" s="214"/>
      <c r="N190" s="214"/>
      <c r="O190" s="214"/>
      <c r="Q190" s="217">
        <f>G190+H190+I190+K190+M190</f>
        <v>332730.5</v>
      </c>
      <c r="R190" s="299">
        <v>8310.6</v>
      </c>
      <c r="S190" s="217">
        <f t="shared" si="52"/>
        <v>4858200</v>
      </c>
      <c r="V190" s="300"/>
      <c r="X190" s="283">
        <f t="shared" si="53"/>
        <v>332730.5</v>
      </c>
    </row>
    <row r="191" spans="1:24" x14ac:dyDescent="0.2">
      <c r="A191" s="198"/>
      <c r="B191" s="210" t="s">
        <v>168</v>
      </c>
      <c r="C191" s="216">
        <v>1</v>
      </c>
      <c r="D191" s="214">
        <v>4824000</v>
      </c>
      <c r="E191" s="214"/>
      <c r="F191" s="214"/>
      <c r="G191" s="214">
        <v>209002.94</v>
      </c>
      <c r="H191" s="214">
        <v>61086.94</v>
      </c>
      <c r="I191" s="214">
        <v>3025.05</v>
      </c>
      <c r="J191" s="298"/>
      <c r="K191" s="214">
        <v>43733.9</v>
      </c>
      <c r="L191" s="214">
        <v>29709.41</v>
      </c>
      <c r="M191" s="214"/>
      <c r="N191" s="214"/>
      <c r="O191" s="214"/>
      <c r="Q191" s="217">
        <f>G191+H191+I191+K191+M191</f>
        <v>316848.83</v>
      </c>
      <c r="R191" s="299">
        <v>8155.8</v>
      </c>
      <c r="S191" s="217">
        <f t="shared" si="52"/>
        <v>4824000</v>
      </c>
      <c r="V191" s="300"/>
      <c r="X191" s="283">
        <f t="shared" si="53"/>
        <v>316848.83</v>
      </c>
    </row>
    <row r="192" spans="1:24" x14ac:dyDescent="0.2">
      <c r="A192" s="198"/>
      <c r="B192" s="210" t="s">
        <v>115</v>
      </c>
      <c r="C192" s="216">
        <v>1</v>
      </c>
      <c r="D192" s="214">
        <v>4548600</v>
      </c>
      <c r="E192" s="214"/>
      <c r="F192" s="214"/>
      <c r="G192" s="214">
        <v>195923.16</v>
      </c>
      <c r="H192" s="214">
        <v>59920</v>
      </c>
      <c r="I192" s="214">
        <v>3025.05</v>
      </c>
      <c r="J192" s="298"/>
      <c r="K192" s="214">
        <v>55410.14</v>
      </c>
      <c r="L192" s="214">
        <v>40274.129999999997</v>
      </c>
      <c r="M192" s="214"/>
      <c r="N192" s="214"/>
      <c r="O192" s="214"/>
      <c r="Q192" s="217">
        <f t="shared" ref="Q192:Q199" si="54">G192+H192+I192+K192+M192</f>
        <v>314278.34999999998</v>
      </c>
      <c r="R192" s="299">
        <v>8000</v>
      </c>
      <c r="S192" s="217">
        <f t="shared" si="52"/>
        <v>4548600</v>
      </c>
      <c r="V192" s="300"/>
      <c r="X192" s="283">
        <f t="shared" si="53"/>
        <v>314278.34999999998</v>
      </c>
    </row>
    <row r="193" spans="1:24" x14ac:dyDescent="0.2">
      <c r="A193" s="198"/>
      <c r="B193" s="210" t="s">
        <v>169</v>
      </c>
      <c r="C193" s="216">
        <v>1</v>
      </c>
      <c r="D193" s="214">
        <v>1436400</v>
      </c>
      <c r="E193" s="214"/>
      <c r="F193" s="214"/>
      <c r="G193" s="214">
        <v>72071.94</v>
      </c>
      <c r="H193" s="214">
        <v>59920</v>
      </c>
      <c r="I193" s="214">
        <v>3025.05</v>
      </c>
      <c r="J193" s="298"/>
      <c r="K193" s="214">
        <v>15458.82</v>
      </c>
      <c r="L193" s="214">
        <v>20407.38</v>
      </c>
      <c r="M193" s="214"/>
      <c r="N193" s="214"/>
      <c r="O193" s="214"/>
      <c r="Q193" s="217">
        <f t="shared" si="54"/>
        <v>150475.81</v>
      </c>
      <c r="R193" s="299">
        <v>8000</v>
      </c>
      <c r="S193" s="217">
        <f t="shared" si="52"/>
        <v>1436400</v>
      </c>
      <c r="V193" s="300"/>
      <c r="X193" s="283">
        <f t="shared" si="53"/>
        <v>150475.81</v>
      </c>
    </row>
    <row r="194" spans="1:24" x14ac:dyDescent="0.2">
      <c r="A194" s="198"/>
      <c r="B194" s="210" t="s">
        <v>170</v>
      </c>
      <c r="C194" s="216">
        <v>1</v>
      </c>
      <c r="D194" s="214">
        <v>4458600</v>
      </c>
      <c r="E194" s="214"/>
      <c r="F194" s="214"/>
      <c r="G194" s="214">
        <v>196346.6</v>
      </c>
      <c r="H194" s="214">
        <v>59920</v>
      </c>
      <c r="I194" s="214">
        <v>3025.05</v>
      </c>
      <c r="J194" s="298"/>
      <c r="K194" s="214">
        <v>28200.2</v>
      </c>
      <c r="L194" s="214">
        <v>41476.9</v>
      </c>
      <c r="M194" s="214"/>
      <c r="N194" s="214"/>
      <c r="O194" s="214"/>
      <c r="Q194" s="217">
        <f t="shared" si="54"/>
        <v>287491.84999999998</v>
      </c>
      <c r="R194" s="299">
        <v>8000</v>
      </c>
      <c r="S194" s="217">
        <f t="shared" si="52"/>
        <v>4458600</v>
      </c>
      <c r="V194" s="300"/>
      <c r="X194" s="283">
        <f t="shared" si="53"/>
        <v>287491.84999999998</v>
      </c>
    </row>
    <row r="195" spans="1:24" x14ac:dyDescent="0.2">
      <c r="A195" s="198"/>
      <c r="B195" s="210" t="s">
        <v>116</v>
      </c>
      <c r="C195" s="216">
        <v>1</v>
      </c>
      <c r="D195" s="214">
        <v>5290200</v>
      </c>
      <c r="E195" s="214"/>
      <c r="F195" s="214"/>
      <c r="G195" s="214">
        <v>244052.94</v>
      </c>
      <c r="H195" s="214">
        <v>59920</v>
      </c>
      <c r="I195" s="214">
        <v>3025.05</v>
      </c>
      <c r="J195" s="298"/>
      <c r="K195" s="214">
        <v>28819.42</v>
      </c>
      <c r="L195" s="214">
        <v>49291.97</v>
      </c>
      <c r="M195" s="214"/>
      <c r="N195" s="214"/>
      <c r="O195" s="214"/>
      <c r="Q195" s="217">
        <f t="shared" si="54"/>
        <v>335817.41</v>
      </c>
      <c r="R195" s="299">
        <v>8000</v>
      </c>
      <c r="S195" s="217">
        <f t="shared" si="52"/>
        <v>5290200</v>
      </c>
      <c r="V195" s="300"/>
      <c r="X195" s="283">
        <f t="shared" si="53"/>
        <v>335817.41</v>
      </c>
    </row>
    <row r="196" spans="1:24" x14ac:dyDescent="0.2">
      <c r="A196" s="198"/>
      <c r="B196" s="210" t="s">
        <v>171</v>
      </c>
      <c r="C196" s="216">
        <v>1</v>
      </c>
      <c r="D196" s="214">
        <v>5387400</v>
      </c>
      <c r="E196" s="214"/>
      <c r="F196" s="214"/>
      <c r="G196" s="214">
        <v>234985.26</v>
      </c>
      <c r="H196" s="214">
        <v>59920</v>
      </c>
      <c r="I196" s="214">
        <v>3025.05</v>
      </c>
      <c r="J196" s="298"/>
      <c r="K196" s="214">
        <v>60372.28</v>
      </c>
      <c r="L196" s="214">
        <v>48567.94</v>
      </c>
      <c r="M196" s="214"/>
      <c r="N196" s="214"/>
      <c r="O196" s="214"/>
      <c r="Q196" s="217">
        <f t="shared" si="54"/>
        <v>358302.58999999997</v>
      </c>
      <c r="R196" s="299">
        <v>8000</v>
      </c>
      <c r="S196" s="217">
        <f t="shared" si="52"/>
        <v>5387400</v>
      </c>
      <c r="V196" s="300"/>
      <c r="X196" s="283">
        <f t="shared" si="53"/>
        <v>351309.31999999995</v>
      </c>
    </row>
    <row r="197" spans="1:24" x14ac:dyDescent="0.2">
      <c r="A197" s="198"/>
      <c r="B197" s="210" t="s">
        <v>117</v>
      </c>
      <c r="C197" s="216">
        <v>1</v>
      </c>
      <c r="D197" s="214">
        <v>5380200</v>
      </c>
      <c r="E197" s="214"/>
      <c r="F197" s="214"/>
      <c r="G197" s="214">
        <v>235108.5</v>
      </c>
      <c r="H197" s="214">
        <v>59920</v>
      </c>
      <c r="I197" s="214">
        <v>3025.05</v>
      </c>
      <c r="J197" s="298"/>
      <c r="K197" s="214">
        <v>67999.27</v>
      </c>
      <c r="L197" s="214">
        <v>34465.839999999997</v>
      </c>
      <c r="M197" s="214"/>
      <c r="N197" s="214"/>
      <c r="O197" s="214"/>
      <c r="Q197" s="217">
        <f t="shared" si="54"/>
        <v>366052.82</v>
      </c>
      <c r="R197" s="299">
        <v>8000</v>
      </c>
      <c r="S197" s="217">
        <f t="shared" si="52"/>
        <v>5380200</v>
      </c>
      <c r="V197" s="300"/>
      <c r="X197" s="283">
        <f t="shared" si="53"/>
        <v>365786.25</v>
      </c>
    </row>
    <row r="198" spans="1:24" x14ac:dyDescent="0.2">
      <c r="A198" s="198"/>
      <c r="B198" s="210" t="s">
        <v>118</v>
      </c>
      <c r="C198" s="216">
        <v>1</v>
      </c>
      <c r="D198" s="214">
        <v>5329800</v>
      </c>
      <c r="E198" s="214"/>
      <c r="F198" s="214"/>
      <c r="G198" s="214">
        <v>237625.14</v>
      </c>
      <c r="H198" s="214">
        <v>59920</v>
      </c>
      <c r="I198" s="214">
        <v>3025.05</v>
      </c>
      <c r="J198" s="298"/>
      <c r="K198" s="214">
        <v>61667.38</v>
      </c>
      <c r="L198" s="214">
        <v>35812</v>
      </c>
      <c r="M198" s="214"/>
      <c r="N198" s="214"/>
      <c r="O198" s="214"/>
      <c r="Q198" s="217">
        <f t="shared" si="54"/>
        <v>362237.57</v>
      </c>
      <c r="R198" s="299">
        <v>8000</v>
      </c>
      <c r="S198" s="217">
        <f t="shared" si="52"/>
        <v>5329800</v>
      </c>
      <c r="V198" s="300"/>
      <c r="X198" s="283">
        <f t="shared" si="53"/>
        <v>362237.57</v>
      </c>
    </row>
    <row r="199" spans="1:24" x14ac:dyDescent="0.2">
      <c r="A199" s="198"/>
      <c r="B199" s="210" t="s">
        <v>119</v>
      </c>
      <c r="C199" s="216">
        <v>1</v>
      </c>
      <c r="D199" s="214">
        <v>5646600</v>
      </c>
      <c r="E199" s="214"/>
      <c r="F199" s="214"/>
      <c r="G199" s="214">
        <v>253498.79</v>
      </c>
      <c r="H199" s="214">
        <v>59920</v>
      </c>
      <c r="I199" s="214">
        <v>3025.05</v>
      </c>
      <c r="J199" s="298"/>
      <c r="K199" s="214">
        <v>36523.339999999997</v>
      </c>
      <c r="L199" s="214">
        <v>41335.68</v>
      </c>
      <c r="M199" s="214"/>
      <c r="N199" s="214"/>
      <c r="O199" s="214"/>
      <c r="Q199" s="217">
        <f t="shared" si="54"/>
        <v>352967.18000000005</v>
      </c>
      <c r="R199" s="299">
        <v>8000</v>
      </c>
      <c r="S199" s="217">
        <f>D199+N199</f>
        <v>5646600</v>
      </c>
      <c r="V199" s="300"/>
      <c r="X199" s="283">
        <f t="shared" si="53"/>
        <v>352967.18000000005</v>
      </c>
    </row>
    <row r="200" spans="1:24" x14ac:dyDescent="0.2">
      <c r="A200" s="197"/>
      <c r="B200" s="213" t="s">
        <v>83</v>
      </c>
      <c r="C200" s="213">
        <f>SUM(C188:C199)</f>
        <v>12</v>
      </c>
      <c r="D200" s="215">
        <f>SUM(D188:D199)</f>
        <v>55168200</v>
      </c>
      <c r="E200" s="215"/>
      <c r="F200" s="215"/>
      <c r="G200" s="215">
        <f t="shared" ref="G200:O200" si="55">SUM(G188:G199)</f>
        <v>2395825.25</v>
      </c>
      <c r="H200" s="215">
        <f t="shared" si="55"/>
        <v>728642.16999999993</v>
      </c>
      <c r="I200" s="215">
        <f t="shared" si="55"/>
        <v>36300.6</v>
      </c>
      <c r="J200" s="215">
        <f>SUM(J188:J199)</f>
        <v>0</v>
      </c>
      <c r="K200" s="215">
        <f t="shared" si="55"/>
        <v>631447.23</v>
      </c>
      <c r="L200" s="215">
        <f t="shared" si="55"/>
        <v>427569.51000000007</v>
      </c>
      <c r="M200" s="215">
        <f t="shared" si="55"/>
        <v>0</v>
      </c>
      <c r="N200" s="215">
        <f t="shared" si="55"/>
        <v>0</v>
      </c>
      <c r="O200" s="215">
        <f t="shared" si="55"/>
        <v>0</v>
      </c>
      <c r="Q200" s="217">
        <f>SUM(Q188:Q199)</f>
        <v>3792215.25</v>
      </c>
      <c r="R200" s="299">
        <f>SUM(R188:R199)</f>
        <v>97282</v>
      </c>
      <c r="S200" s="217">
        <f>SUM(S188:S199)</f>
        <v>55168200</v>
      </c>
      <c r="V200" s="300"/>
      <c r="X200" s="264">
        <f>SUM(X188:X199)</f>
        <v>3784744.98</v>
      </c>
    </row>
    <row r="206" spans="1:24" x14ac:dyDescent="0.2">
      <c r="A206" s="198"/>
      <c r="B206" s="216"/>
      <c r="C206" s="216"/>
      <c r="D206" s="214"/>
      <c r="E206" s="214"/>
      <c r="F206" s="214"/>
      <c r="G206" s="214"/>
      <c r="H206" s="297" t="s">
        <v>151</v>
      </c>
      <c r="I206" s="204" t="s">
        <v>151</v>
      </c>
      <c r="J206" s="198" t="s">
        <v>152</v>
      </c>
      <c r="K206" s="204" t="s">
        <v>151</v>
      </c>
      <c r="L206" s="198" t="s">
        <v>152</v>
      </c>
      <c r="M206" s="208" t="s">
        <v>151</v>
      </c>
      <c r="N206" s="208" t="s">
        <v>151</v>
      </c>
      <c r="O206" s="197"/>
    </row>
    <row r="207" spans="1:24" x14ac:dyDescent="0.2">
      <c r="A207" s="198"/>
      <c r="B207" s="197">
        <v>2023</v>
      </c>
      <c r="C207" s="197"/>
      <c r="D207" s="197"/>
      <c r="E207" s="197" t="s">
        <v>154</v>
      </c>
      <c r="F207" s="197" t="s">
        <v>154</v>
      </c>
      <c r="G207" s="197" t="s">
        <v>123</v>
      </c>
      <c r="H207" s="208" t="s">
        <v>179</v>
      </c>
      <c r="I207" s="208" t="s">
        <v>107</v>
      </c>
      <c r="J207" s="197" t="s">
        <v>156</v>
      </c>
      <c r="K207" s="208" t="s">
        <v>157</v>
      </c>
      <c r="L207" s="197" t="s">
        <v>158</v>
      </c>
      <c r="M207" s="208" t="s">
        <v>159</v>
      </c>
      <c r="N207" s="208" t="s">
        <v>160</v>
      </c>
      <c r="O207" s="197" t="s">
        <v>159</v>
      </c>
    </row>
    <row r="208" spans="1:24" x14ac:dyDescent="0.2">
      <c r="A208" s="204" t="s">
        <v>161</v>
      </c>
      <c r="B208" s="197" t="s">
        <v>162</v>
      </c>
      <c r="C208" s="197" t="s">
        <v>180</v>
      </c>
      <c r="D208" s="197" t="s">
        <v>123</v>
      </c>
      <c r="E208" s="197" t="s">
        <v>164</v>
      </c>
      <c r="F208" s="197" t="s">
        <v>164</v>
      </c>
      <c r="G208" s="197" t="s">
        <v>41</v>
      </c>
      <c r="H208" s="208" t="s">
        <v>41</v>
      </c>
      <c r="I208" s="208" t="s">
        <v>181</v>
      </c>
      <c r="J208" s="197" t="s">
        <v>166</v>
      </c>
      <c r="K208" s="208" t="s">
        <v>41</v>
      </c>
      <c r="L208" s="197" t="s">
        <v>181</v>
      </c>
      <c r="M208" s="208" t="s">
        <v>41</v>
      </c>
      <c r="N208" s="208" t="s">
        <v>123</v>
      </c>
      <c r="O208" s="197" t="s">
        <v>167</v>
      </c>
    </row>
    <row r="209" spans="1:24" x14ac:dyDescent="0.2">
      <c r="A209" s="204" t="s">
        <v>238</v>
      </c>
      <c r="B209" s="210" t="s">
        <v>112</v>
      </c>
      <c r="C209" s="216" t="s">
        <v>236</v>
      </c>
      <c r="D209" s="214">
        <v>0</v>
      </c>
      <c r="E209" s="214"/>
      <c r="F209" s="214"/>
      <c r="G209" s="214">
        <v>0</v>
      </c>
      <c r="H209" s="214">
        <v>0</v>
      </c>
      <c r="I209" s="214">
        <v>0</v>
      </c>
      <c r="J209" s="298" t="s">
        <v>236</v>
      </c>
      <c r="K209" s="214">
        <v>0</v>
      </c>
      <c r="L209" s="214">
        <v>0</v>
      </c>
      <c r="M209" s="214">
        <v>0</v>
      </c>
      <c r="N209" s="214">
        <v>0</v>
      </c>
      <c r="O209" s="214">
        <v>0</v>
      </c>
      <c r="Q209" s="217">
        <f>G209+H209+I209+K209+M209</f>
        <v>0</v>
      </c>
      <c r="S209" s="217">
        <f>D209+N209</f>
        <v>0</v>
      </c>
    </row>
    <row r="210" spans="1:24" x14ac:dyDescent="0.2">
      <c r="A210" s="198"/>
      <c r="B210" s="210" t="s">
        <v>113</v>
      </c>
      <c r="C210" s="216"/>
      <c r="D210" s="214">
        <v>-3045</v>
      </c>
      <c r="E210" s="214"/>
      <c r="F210" s="214"/>
      <c r="G210" s="214">
        <v>-130.58000000000001</v>
      </c>
      <c r="H210" s="214"/>
      <c r="I210" s="214"/>
      <c r="J210" s="298"/>
      <c r="K210" s="214">
        <v>-79.849999999999994</v>
      </c>
      <c r="L210" s="214">
        <v>0</v>
      </c>
      <c r="M210" s="214"/>
      <c r="N210" s="214"/>
      <c r="O210" s="214"/>
      <c r="Q210" s="217">
        <f t="shared" ref="Q210:Q220" si="56">G210+H210+I210+K210+M210</f>
        <v>-210.43</v>
      </c>
      <c r="S210" s="217">
        <f t="shared" ref="S210:S220" si="57">D210+N210</f>
        <v>-3045</v>
      </c>
    </row>
    <row r="211" spans="1:24" x14ac:dyDescent="0.2">
      <c r="A211" s="198"/>
      <c r="B211" s="210" t="s">
        <v>114</v>
      </c>
      <c r="C211" s="216"/>
      <c r="D211" s="214">
        <v>0</v>
      </c>
      <c r="E211" s="214"/>
      <c r="F211" s="214"/>
      <c r="G211" s="214"/>
      <c r="H211" s="214"/>
      <c r="I211" s="214"/>
      <c r="J211" s="298"/>
      <c r="K211" s="214"/>
      <c r="L211" s="214">
        <v>0</v>
      </c>
      <c r="M211" s="214"/>
      <c r="N211" s="214"/>
      <c r="O211" s="214"/>
      <c r="Q211" s="217">
        <f t="shared" si="56"/>
        <v>0</v>
      </c>
      <c r="S211" s="217">
        <f t="shared" si="57"/>
        <v>0</v>
      </c>
    </row>
    <row r="212" spans="1:24" x14ac:dyDescent="0.2">
      <c r="A212" s="198"/>
      <c r="B212" s="210" t="s">
        <v>168</v>
      </c>
      <c r="C212" s="216"/>
      <c r="D212" s="214">
        <v>0</v>
      </c>
      <c r="E212" s="214"/>
      <c r="F212" s="214"/>
      <c r="G212" s="214"/>
      <c r="H212" s="214"/>
      <c r="I212" s="214"/>
      <c r="J212" s="298"/>
      <c r="K212" s="214"/>
      <c r="L212" s="214">
        <v>0</v>
      </c>
      <c r="M212" s="214"/>
      <c r="N212" s="214"/>
      <c r="O212" s="214"/>
      <c r="Q212" s="217">
        <f t="shared" si="56"/>
        <v>0</v>
      </c>
      <c r="S212" s="217">
        <f t="shared" si="57"/>
        <v>0</v>
      </c>
    </row>
    <row r="213" spans="1:24" x14ac:dyDescent="0.2">
      <c r="A213" s="198"/>
      <c r="B213" s="210" t="s">
        <v>115</v>
      </c>
      <c r="C213" s="216"/>
      <c r="D213" s="214">
        <v>0</v>
      </c>
      <c r="E213" s="214"/>
      <c r="F213" s="214"/>
      <c r="G213" s="214"/>
      <c r="H213" s="214"/>
      <c r="I213" s="214"/>
      <c r="J213" s="298"/>
      <c r="K213" s="214"/>
      <c r="L213" s="214">
        <v>0</v>
      </c>
      <c r="M213" s="214"/>
      <c r="N213" s="214"/>
      <c r="O213" s="214"/>
      <c r="Q213" s="217">
        <f t="shared" si="56"/>
        <v>0</v>
      </c>
      <c r="S213" s="217">
        <f t="shared" si="57"/>
        <v>0</v>
      </c>
    </row>
    <row r="214" spans="1:24" x14ac:dyDescent="0.2">
      <c r="A214" s="198"/>
      <c r="B214" s="210" t="s">
        <v>169</v>
      </c>
      <c r="C214" s="216"/>
      <c r="D214" s="214">
        <v>0</v>
      </c>
      <c r="E214" s="214"/>
      <c r="F214" s="214"/>
      <c r="G214" s="214"/>
      <c r="H214" s="214"/>
      <c r="I214" s="214"/>
      <c r="J214" s="298"/>
      <c r="K214" s="214"/>
      <c r="L214" s="214">
        <v>0</v>
      </c>
      <c r="M214" s="214"/>
      <c r="N214" s="214"/>
      <c r="O214" s="214"/>
      <c r="Q214" s="217">
        <f t="shared" si="56"/>
        <v>0</v>
      </c>
      <c r="S214" s="217">
        <f t="shared" si="57"/>
        <v>0</v>
      </c>
    </row>
    <row r="215" spans="1:24" x14ac:dyDescent="0.2">
      <c r="A215" s="198"/>
      <c r="B215" s="210" t="s">
        <v>170</v>
      </c>
      <c r="C215" s="216"/>
      <c r="D215" s="214">
        <v>0</v>
      </c>
      <c r="E215" s="214"/>
      <c r="F215" s="214"/>
      <c r="G215" s="214"/>
      <c r="H215" s="214"/>
      <c r="I215" s="214"/>
      <c r="J215" s="298"/>
      <c r="K215" s="214"/>
      <c r="L215" s="214">
        <v>0</v>
      </c>
      <c r="M215" s="214"/>
      <c r="N215" s="214"/>
      <c r="O215" s="214"/>
      <c r="Q215" s="217">
        <f t="shared" si="56"/>
        <v>0</v>
      </c>
      <c r="S215" s="217">
        <f t="shared" si="57"/>
        <v>0</v>
      </c>
    </row>
    <row r="216" spans="1:24" x14ac:dyDescent="0.2">
      <c r="A216" s="198"/>
      <c r="B216" s="210" t="s">
        <v>116</v>
      </c>
      <c r="C216" s="216"/>
      <c r="D216" s="214">
        <v>0</v>
      </c>
      <c r="E216" s="214"/>
      <c r="F216" s="214"/>
      <c r="G216" s="214"/>
      <c r="H216" s="214"/>
      <c r="I216" s="214"/>
      <c r="J216" s="298"/>
      <c r="K216" s="214"/>
      <c r="L216" s="214">
        <v>0</v>
      </c>
      <c r="M216" s="214"/>
      <c r="N216" s="214"/>
      <c r="O216" s="214"/>
      <c r="Q216" s="217">
        <f t="shared" si="56"/>
        <v>0</v>
      </c>
      <c r="S216" s="217">
        <f t="shared" si="57"/>
        <v>0</v>
      </c>
    </row>
    <row r="217" spans="1:24" x14ac:dyDescent="0.2">
      <c r="A217" s="198"/>
      <c r="B217" s="210" t="s">
        <v>171</v>
      </c>
      <c r="C217" s="216"/>
      <c r="D217" s="214">
        <v>-129289</v>
      </c>
      <c r="E217" s="214"/>
      <c r="F217" s="214"/>
      <c r="G217" s="214">
        <v>-5544.43</v>
      </c>
      <c r="H217" s="214"/>
      <c r="I217" s="214"/>
      <c r="J217" s="298"/>
      <c r="K217" s="214">
        <v>-1448.84</v>
      </c>
      <c r="L217" s="214">
        <v>0</v>
      </c>
      <c r="M217" s="214"/>
      <c r="N217" s="214"/>
      <c r="O217" s="214"/>
      <c r="Q217" s="217">
        <f t="shared" si="56"/>
        <v>-6993.27</v>
      </c>
      <c r="S217" s="217">
        <f t="shared" si="57"/>
        <v>-129289</v>
      </c>
    </row>
    <row r="218" spans="1:24" x14ac:dyDescent="0.2">
      <c r="A218" s="198"/>
      <c r="B218" s="210" t="s">
        <v>117</v>
      </c>
      <c r="C218" s="216"/>
      <c r="D218" s="214">
        <v>-4801</v>
      </c>
      <c r="E218" s="214"/>
      <c r="F218" s="214"/>
      <c r="G218" s="214">
        <v>-205.89</v>
      </c>
      <c r="H218" s="214"/>
      <c r="I218" s="214"/>
      <c r="J218" s="298"/>
      <c r="K218" s="214">
        <v>-60.68</v>
      </c>
      <c r="L218" s="214">
        <v>0</v>
      </c>
      <c r="M218" s="214"/>
      <c r="N218" s="214"/>
      <c r="O218" s="214"/>
      <c r="Q218" s="217">
        <f t="shared" si="56"/>
        <v>-266.57</v>
      </c>
      <c r="S218" s="217">
        <f t="shared" si="57"/>
        <v>-4801</v>
      </c>
    </row>
    <row r="219" spans="1:24" x14ac:dyDescent="0.2">
      <c r="A219" s="198"/>
      <c r="B219" s="210" t="s">
        <v>118</v>
      </c>
      <c r="C219" s="216"/>
      <c r="D219" s="214"/>
      <c r="E219" s="214"/>
      <c r="F219" s="214"/>
      <c r="G219" s="214"/>
      <c r="H219" s="214"/>
      <c r="I219" s="214"/>
      <c r="J219" s="298"/>
      <c r="K219" s="214"/>
      <c r="L219" s="214">
        <v>0</v>
      </c>
      <c r="M219" s="214"/>
      <c r="N219" s="214"/>
      <c r="O219" s="214"/>
      <c r="Q219" s="217">
        <f t="shared" si="56"/>
        <v>0</v>
      </c>
      <c r="S219" s="217">
        <f t="shared" si="57"/>
        <v>0</v>
      </c>
    </row>
    <row r="220" spans="1:24" x14ac:dyDescent="0.2">
      <c r="A220" s="198"/>
      <c r="B220" s="210" t="s">
        <v>119</v>
      </c>
      <c r="C220" s="216"/>
      <c r="D220" s="214"/>
      <c r="E220" s="214"/>
      <c r="F220" s="214"/>
      <c r="G220" s="214"/>
      <c r="H220" s="214"/>
      <c r="I220" s="214"/>
      <c r="J220" s="298"/>
      <c r="K220" s="214"/>
      <c r="L220" s="214">
        <v>0</v>
      </c>
      <c r="M220" s="214"/>
      <c r="N220" s="214"/>
      <c r="O220" s="214"/>
      <c r="Q220" s="217">
        <f t="shared" si="56"/>
        <v>0</v>
      </c>
      <c r="S220" s="217">
        <f t="shared" si="57"/>
        <v>0</v>
      </c>
    </row>
    <row r="221" spans="1:24" x14ac:dyDescent="0.2">
      <c r="A221" s="197"/>
      <c r="B221" s="213" t="s">
        <v>83</v>
      </c>
      <c r="C221" s="213">
        <f>SUM(C209:C220)</f>
        <v>0</v>
      </c>
      <c r="D221" s="215">
        <f>SUM(D209:D220)</f>
        <v>-137135</v>
      </c>
      <c r="E221" s="215"/>
      <c r="F221" s="215"/>
      <c r="G221" s="215">
        <f t="shared" ref="G221:O221" si="58">SUM(G209:G220)</f>
        <v>-5880.9000000000005</v>
      </c>
      <c r="H221" s="215">
        <f t="shared" si="58"/>
        <v>0</v>
      </c>
      <c r="I221" s="215">
        <f t="shared" si="58"/>
        <v>0</v>
      </c>
      <c r="J221" s="215">
        <f t="shared" si="58"/>
        <v>0</v>
      </c>
      <c r="K221" s="215">
        <f t="shared" si="58"/>
        <v>-1589.37</v>
      </c>
      <c r="L221" s="215">
        <f t="shared" si="58"/>
        <v>0</v>
      </c>
      <c r="M221" s="215">
        <f t="shared" si="58"/>
        <v>0</v>
      </c>
      <c r="N221" s="215">
        <f t="shared" si="58"/>
        <v>0</v>
      </c>
      <c r="O221" s="215">
        <f t="shared" si="58"/>
        <v>0</v>
      </c>
      <c r="Q221" s="217">
        <f>SUM(Q209:Q220)</f>
        <v>-7470.27</v>
      </c>
      <c r="S221" s="217">
        <f>SUM(S209:S220)</f>
        <v>-137135</v>
      </c>
    </row>
    <row r="222" spans="1:24" x14ac:dyDescent="0.2">
      <c r="A222" s="151"/>
      <c r="B222" s="222"/>
      <c r="C222" s="222"/>
      <c r="D222" s="223"/>
      <c r="E222" s="223"/>
      <c r="F222" s="223"/>
      <c r="G222" s="223"/>
      <c r="H222" s="223"/>
      <c r="I222" s="223"/>
      <c r="J222" s="223"/>
      <c r="K222" s="223"/>
      <c r="L222" s="223"/>
      <c r="M222" s="223"/>
      <c r="N222" s="223"/>
      <c r="O222" s="223"/>
      <c r="P222" s="223"/>
      <c r="Q222" s="223"/>
      <c r="U222" s="217"/>
      <c r="V222" s="296"/>
      <c r="W222" s="217"/>
      <c r="X222" s="217"/>
    </row>
    <row r="223" spans="1:24" x14ac:dyDescent="0.2">
      <c r="A223" s="151"/>
      <c r="B223" s="222"/>
      <c r="C223" s="222"/>
      <c r="D223" s="223"/>
      <c r="E223" s="223"/>
      <c r="F223" s="223"/>
      <c r="G223" s="223"/>
      <c r="H223" s="223"/>
      <c r="I223" s="223"/>
      <c r="J223" s="223"/>
      <c r="K223" s="223"/>
      <c r="L223" s="223"/>
      <c r="M223" s="223"/>
      <c r="N223" s="223"/>
      <c r="O223" s="223"/>
      <c r="P223" s="223"/>
      <c r="Q223" s="223"/>
      <c r="U223" s="217"/>
      <c r="V223" s="296"/>
      <c r="W223" s="217"/>
      <c r="X223" s="217"/>
    </row>
    <row r="224" spans="1:24" x14ac:dyDescent="0.2">
      <c r="A224" s="151"/>
      <c r="B224" s="222"/>
      <c r="C224" s="222"/>
      <c r="D224" s="223"/>
      <c r="E224" s="223"/>
      <c r="F224" s="223"/>
      <c r="G224" s="223"/>
      <c r="H224" s="223"/>
      <c r="I224" s="223"/>
      <c r="J224" s="223"/>
      <c r="K224" s="223"/>
      <c r="L224" s="223"/>
      <c r="M224" s="223"/>
      <c r="N224" s="223"/>
      <c r="O224" s="223"/>
      <c r="P224" s="223"/>
      <c r="Q224" s="223"/>
      <c r="U224" s="217"/>
      <c r="V224" s="296"/>
      <c r="W224" s="217"/>
      <c r="X224" s="217"/>
    </row>
    <row r="225" spans="1:31" x14ac:dyDescent="0.2">
      <c r="A225" s="151"/>
      <c r="B225" s="222"/>
      <c r="C225" s="222"/>
      <c r="D225" s="223"/>
      <c r="E225" s="223"/>
      <c r="F225" s="223"/>
      <c r="G225" s="223"/>
      <c r="H225" s="223"/>
      <c r="I225" s="223"/>
      <c r="J225" s="223"/>
      <c r="K225" s="223"/>
      <c r="L225" s="223"/>
      <c r="M225" s="223"/>
      <c r="N225" s="223"/>
      <c r="O225" s="223"/>
      <c r="P225" s="223"/>
      <c r="Q225" s="223"/>
    </row>
    <row r="226" spans="1:31" s="227" customFormat="1" x14ac:dyDescent="0.2">
      <c r="A226" s="224"/>
      <c r="B226" s="225"/>
      <c r="C226" s="225"/>
      <c r="D226" s="226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  <c r="R226" s="226"/>
    </row>
    <row r="228" spans="1:31" x14ac:dyDescent="0.2">
      <c r="A228" s="198"/>
      <c r="B228" s="228" t="s">
        <v>185</v>
      </c>
      <c r="C228" s="435" t="s">
        <v>186</v>
      </c>
      <c r="D228" s="436"/>
      <c r="E228" s="436"/>
      <c r="F228" s="436"/>
      <c r="G228" s="436"/>
      <c r="P228" s="217">
        <f>P144+P127+P110+P92+P75+P56+P37+P19</f>
        <v>8391949</v>
      </c>
    </row>
    <row r="229" spans="1:31" x14ac:dyDescent="0.2">
      <c r="A229" s="198"/>
      <c r="B229" s="228"/>
      <c r="C229" s="229"/>
      <c r="D229" s="230"/>
      <c r="E229" s="230"/>
      <c r="F229" s="204" t="s">
        <v>152</v>
      </c>
      <c r="G229" s="230"/>
      <c r="H229" s="261"/>
    </row>
    <row r="230" spans="1:31" x14ac:dyDescent="0.2">
      <c r="A230" s="198"/>
      <c r="B230" s="197">
        <v>2023</v>
      </c>
      <c r="C230" s="229"/>
      <c r="D230" s="230"/>
      <c r="E230" s="230"/>
      <c r="F230" s="208" t="s">
        <v>157</v>
      </c>
      <c r="G230" s="230"/>
      <c r="H230" s="261"/>
      <c r="I230" s="281" t="s">
        <v>212</v>
      </c>
      <c r="J230" s="281" t="s">
        <v>159</v>
      </c>
      <c r="L230" s="281" t="s">
        <v>210</v>
      </c>
      <c r="N230" s="151" t="s">
        <v>213</v>
      </c>
      <c r="X230" s="222" t="s">
        <v>211</v>
      </c>
    </row>
    <row r="231" spans="1:31" x14ac:dyDescent="0.2">
      <c r="A231" s="204" t="s">
        <v>161</v>
      </c>
      <c r="B231" s="197" t="s">
        <v>162</v>
      </c>
      <c r="C231" s="197" t="s">
        <v>167</v>
      </c>
      <c r="D231" s="197" t="s">
        <v>123</v>
      </c>
      <c r="E231" s="197" t="s">
        <v>187</v>
      </c>
      <c r="F231" s="208" t="s">
        <v>41</v>
      </c>
      <c r="G231" s="197" t="s">
        <v>158</v>
      </c>
      <c r="H231" s="261"/>
      <c r="I231" s="282" t="s">
        <v>41</v>
      </c>
      <c r="J231" s="281" t="s">
        <v>123</v>
      </c>
      <c r="L231" s="281" t="s">
        <v>123</v>
      </c>
      <c r="N231" s="281" t="s">
        <v>41</v>
      </c>
      <c r="T231" s="151" t="s">
        <v>202</v>
      </c>
      <c r="U231" s="151" t="s">
        <v>123</v>
      </c>
      <c r="V231" s="151" t="s">
        <v>187</v>
      </c>
      <c r="AE231" s="152" t="s">
        <v>123</v>
      </c>
    </row>
    <row r="232" spans="1:31" x14ac:dyDescent="0.2">
      <c r="A232" s="204" t="s">
        <v>140</v>
      </c>
      <c r="B232" s="231" t="s">
        <v>112</v>
      </c>
      <c r="C232" s="214">
        <v>159</v>
      </c>
      <c r="D232" s="214">
        <v>12459</v>
      </c>
      <c r="E232" s="214">
        <v>2243.2199999999998</v>
      </c>
      <c r="F232" s="232">
        <v>176.15</v>
      </c>
      <c r="G232" s="232">
        <v>263.22000000000003</v>
      </c>
      <c r="H232" s="261"/>
      <c r="I232" s="217">
        <f>E232</f>
        <v>2243.2199999999998</v>
      </c>
      <c r="J232" s="150">
        <f t="shared" ref="J232:J243" si="59">P7+P25+P44+P63+P80+P98+P115+P132</f>
        <v>710041</v>
      </c>
      <c r="K232" s="279"/>
      <c r="L232" s="217">
        <f>J232+D232</f>
        <v>722500</v>
      </c>
      <c r="N232" s="217">
        <f t="shared" ref="N232:N243" si="60">O7+O25+O44+O63+O80+O98+O115+O132</f>
        <v>136182.29999999999</v>
      </c>
      <c r="T232">
        <f>C232</f>
        <v>159</v>
      </c>
      <c r="U232" s="217">
        <f>D232</f>
        <v>12459</v>
      </c>
      <c r="V232" s="217">
        <f>E232</f>
        <v>2243.2199999999998</v>
      </c>
      <c r="X232" s="217">
        <f t="shared" ref="X232:X243" si="61">X7+X25+X44+X63+X80+X98+X115+X132+I232+N232</f>
        <v>4528582.68</v>
      </c>
      <c r="Z232" s="217">
        <f>Z37</f>
        <v>34527842.710000001</v>
      </c>
      <c r="AA232" s="285" t="s">
        <v>134</v>
      </c>
    </row>
    <row r="233" spans="1:31" x14ac:dyDescent="0.2">
      <c r="A233" s="216"/>
      <c r="B233" s="231" t="s">
        <v>113</v>
      </c>
      <c r="C233" s="214">
        <v>159</v>
      </c>
      <c r="D233" s="214">
        <v>12459</v>
      </c>
      <c r="E233" s="214">
        <v>2243.2199999999998</v>
      </c>
      <c r="F233" s="232">
        <v>326.81</v>
      </c>
      <c r="G233" s="232">
        <v>249.07</v>
      </c>
      <c r="H233" s="261"/>
      <c r="I233" s="217">
        <f t="shared" ref="I233:I234" si="62">E233</f>
        <v>2243.2199999999998</v>
      </c>
      <c r="J233" s="150">
        <f t="shared" si="59"/>
        <v>706993</v>
      </c>
      <c r="K233" s="279"/>
      <c r="L233" s="217">
        <f t="shared" ref="L233:L243" si="63">J233+D233</f>
        <v>719452</v>
      </c>
      <c r="N233" s="217">
        <f t="shared" si="60"/>
        <v>135803.46000000002</v>
      </c>
      <c r="T233">
        <f t="shared" ref="T233:T244" si="64">C233</f>
        <v>159</v>
      </c>
      <c r="U233" s="217">
        <f t="shared" ref="U233:U244" si="65">D233</f>
        <v>12459</v>
      </c>
      <c r="V233" s="217">
        <f t="shared" ref="V233:V244" si="66">E233</f>
        <v>2243.2199999999998</v>
      </c>
      <c r="X233" s="217">
        <f t="shared" si="61"/>
        <v>5156406.0799999991</v>
      </c>
      <c r="Z233" s="217">
        <f>X56</f>
        <v>7122.81</v>
      </c>
      <c r="AA233" s="285" t="s">
        <v>142</v>
      </c>
    </row>
    <row r="234" spans="1:31" x14ac:dyDescent="0.2">
      <c r="A234" s="216"/>
      <c r="B234" s="231" t="s">
        <v>114</v>
      </c>
      <c r="C234" s="214">
        <v>159</v>
      </c>
      <c r="D234" s="214">
        <v>12459</v>
      </c>
      <c r="E234" s="214">
        <v>2243.2199999999998</v>
      </c>
      <c r="F234" s="232">
        <v>177.3</v>
      </c>
      <c r="G234" s="232">
        <v>147.61000000000001</v>
      </c>
      <c r="H234" s="261"/>
      <c r="I234" s="217">
        <f t="shared" si="62"/>
        <v>2243.2199999999998</v>
      </c>
      <c r="J234" s="150">
        <f t="shared" si="59"/>
        <v>701315</v>
      </c>
      <c r="K234" s="279"/>
      <c r="L234" s="217">
        <f t="shared" si="63"/>
        <v>713774</v>
      </c>
      <c r="N234" s="217">
        <f t="shared" si="60"/>
        <v>135524.46000000002</v>
      </c>
      <c r="T234">
        <f t="shared" si="64"/>
        <v>159</v>
      </c>
      <c r="U234" s="217">
        <f t="shared" si="65"/>
        <v>12459</v>
      </c>
      <c r="V234" s="217">
        <f t="shared" si="66"/>
        <v>2243.2199999999998</v>
      </c>
      <c r="X234" s="217">
        <f t="shared" si="61"/>
        <v>4018360.7399999998</v>
      </c>
      <c r="Z234" s="217">
        <f>X75</f>
        <v>1909941.84</v>
      </c>
      <c r="AA234" s="285" t="s">
        <v>136</v>
      </c>
    </row>
    <row r="235" spans="1:31" x14ac:dyDescent="0.2">
      <c r="A235" s="216"/>
      <c r="B235" s="231" t="s">
        <v>168</v>
      </c>
      <c r="C235" s="214">
        <v>159</v>
      </c>
      <c r="D235" s="214">
        <v>12459</v>
      </c>
      <c r="E235" s="214">
        <v>2243.2199999999998</v>
      </c>
      <c r="F235" s="232">
        <v>113.12</v>
      </c>
      <c r="G235" s="232">
        <v>222.47</v>
      </c>
      <c r="H235" s="261"/>
      <c r="I235" s="283">
        <f>E235+F235</f>
        <v>2356.3399999999997</v>
      </c>
      <c r="J235" s="150">
        <f t="shared" si="59"/>
        <v>702818</v>
      </c>
      <c r="K235" s="279"/>
      <c r="L235" s="217">
        <f t="shared" si="63"/>
        <v>715277</v>
      </c>
      <c r="N235" s="217">
        <f t="shared" si="60"/>
        <v>136379.05000000002</v>
      </c>
      <c r="T235">
        <f t="shared" si="64"/>
        <v>159</v>
      </c>
      <c r="U235" s="217">
        <f t="shared" si="65"/>
        <v>12459</v>
      </c>
      <c r="V235" s="217">
        <f t="shared" si="66"/>
        <v>2243.2199999999998</v>
      </c>
      <c r="X235" s="217">
        <f t="shared" si="61"/>
        <v>3288751.0199999996</v>
      </c>
      <c r="Z235" s="217">
        <f>X92</f>
        <v>1376353.3900000001</v>
      </c>
      <c r="AA235" s="285" t="s">
        <v>136</v>
      </c>
    </row>
    <row r="236" spans="1:31" x14ac:dyDescent="0.2">
      <c r="A236" s="216"/>
      <c r="B236" s="231" t="s">
        <v>115</v>
      </c>
      <c r="C236" s="214">
        <v>160</v>
      </c>
      <c r="D236" s="214">
        <v>12420</v>
      </c>
      <c r="E236" s="214">
        <v>2262.52</v>
      </c>
      <c r="F236" s="232">
        <v>151.31</v>
      </c>
      <c r="G236" s="232">
        <v>310.18</v>
      </c>
      <c r="H236" s="261"/>
      <c r="I236" s="283">
        <f t="shared" ref="I236:I243" si="67">E236+F236</f>
        <v>2413.83</v>
      </c>
      <c r="J236" s="150">
        <f t="shared" si="59"/>
        <v>702185</v>
      </c>
      <c r="K236" s="279"/>
      <c r="L236" s="217">
        <f t="shared" si="63"/>
        <v>714605</v>
      </c>
      <c r="N236" s="217">
        <f t="shared" si="60"/>
        <v>136392.47999999998</v>
      </c>
      <c r="T236">
        <f t="shared" si="64"/>
        <v>160</v>
      </c>
      <c r="U236" s="217">
        <f t="shared" si="65"/>
        <v>12420</v>
      </c>
      <c r="V236" s="217">
        <f t="shared" si="66"/>
        <v>2262.52</v>
      </c>
      <c r="X236" s="217">
        <f t="shared" si="61"/>
        <v>3672653.1399999997</v>
      </c>
      <c r="Z236" s="217">
        <f>X110</f>
        <v>62211.130000000005</v>
      </c>
      <c r="AA236" s="285" t="s">
        <v>135</v>
      </c>
    </row>
    <row r="237" spans="1:31" x14ac:dyDescent="0.2">
      <c r="A237" s="216"/>
      <c r="B237" s="231" t="s">
        <v>169</v>
      </c>
      <c r="C237" s="214">
        <v>160</v>
      </c>
      <c r="D237" s="214">
        <v>12280</v>
      </c>
      <c r="E237" s="214">
        <v>2262.52</v>
      </c>
      <c r="F237" s="232">
        <v>132.25</v>
      </c>
      <c r="G237" s="232">
        <v>288.58</v>
      </c>
      <c r="H237" s="261"/>
      <c r="I237" s="283">
        <f t="shared" si="67"/>
        <v>2394.77</v>
      </c>
      <c r="J237" s="150">
        <f t="shared" si="59"/>
        <v>699533</v>
      </c>
      <c r="K237" s="279"/>
      <c r="L237" s="217">
        <f t="shared" si="63"/>
        <v>711813</v>
      </c>
      <c r="N237" s="217">
        <f t="shared" si="60"/>
        <v>136578.21</v>
      </c>
      <c r="T237">
        <f t="shared" si="64"/>
        <v>160</v>
      </c>
      <c r="U237" s="217">
        <f t="shared" si="65"/>
        <v>12280</v>
      </c>
      <c r="V237" s="217">
        <f t="shared" si="66"/>
        <v>2262.52</v>
      </c>
      <c r="X237" s="217">
        <f t="shared" si="61"/>
        <v>3450488.15</v>
      </c>
      <c r="Z237" s="217">
        <f>X127</f>
        <v>1272417.6700000002</v>
      </c>
      <c r="AA237" s="285" t="s">
        <v>137</v>
      </c>
    </row>
    <row r="238" spans="1:31" x14ac:dyDescent="0.2">
      <c r="A238" s="216"/>
      <c r="B238" s="231" t="s">
        <v>170</v>
      </c>
      <c r="C238" s="214">
        <v>160</v>
      </c>
      <c r="D238" s="214">
        <v>12280</v>
      </c>
      <c r="E238" s="214">
        <v>2262.52</v>
      </c>
      <c r="F238" s="232">
        <v>77.62</v>
      </c>
      <c r="G238" s="232">
        <v>343.81</v>
      </c>
      <c r="H238" s="261"/>
      <c r="I238" s="283">
        <f t="shared" si="67"/>
        <v>2340.14</v>
      </c>
      <c r="J238" s="150">
        <f t="shared" si="59"/>
        <v>698570</v>
      </c>
      <c r="K238" s="279"/>
      <c r="L238" s="217">
        <f t="shared" si="63"/>
        <v>710850</v>
      </c>
      <c r="N238" s="217">
        <f t="shared" si="60"/>
        <v>136909.01</v>
      </c>
      <c r="T238">
        <f t="shared" si="64"/>
        <v>160</v>
      </c>
      <c r="U238" s="217">
        <f t="shared" si="65"/>
        <v>12280</v>
      </c>
      <c r="V238" s="217">
        <f t="shared" si="66"/>
        <v>2262.52</v>
      </c>
      <c r="X238" s="217">
        <f t="shared" si="61"/>
        <v>3971036.1499999994</v>
      </c>
      <c r="Z238" s="217">
        <f>X144</f>
        <v>7413501.3599999994</v>
      </c>
      <c r="AA238" s="285" t="s">
        <v>138</v>
      </c>
    </row>
    <row r="239" spans="1:31" x14ac:dyDescent="0.2">
      <c r="A239" s="216"/>
      <c r="B239" s="231" t="s">
        <v>116</v>
      </c>
      <c r="C239" s="214">
        <v>161</v>
      </c>
      <c r="D239" s="214">
        <v>12350</v>
      </c>
      <c r="E239" s="214">
        <v>2271.88</v>
      </c>
      <c r="F239" s="232">
        <v>67.290000000000006</v>
      </c>
      <c r="G239" s="232">
        <v>360.32</v>
      </c>
      <c r="H239" s="261"/>
      <c r="I239" s="283">
        <f t="shared" si="67"/>
        <v>2339.17</v>
      </c>
      <c r="J239" s="150">
        <f t="shared" si="59"/>
        <v>699593</v>
      </c>
      <c r="K239" s="279"/>
      <c r="L239" s="217">
        <f t="shared" si="63"/>
        <v>711943</v>
      </c>
      <c r="N239" s="217">
        <f t="shared" si="60"/>
        <v>137380.72999999998</v>
      </c>
      <c r="T239">
        <f t="shared" si="64"/>
        <v>161</v>
      </c>
      <c r="U239" s="217">
        <f t="shared" si="65"/>
        <v>12350</v>
      </c>
      <c r="V239" s="217">
        <f t="shared" si="66"/>
        <v>2271.88</v>
      </c>
      <c r="X239" s="217">
        <f t="shared" si="61"/>
        <v>4410457.49</v>
      </c>
      <c r="Z239" s="217">
        <f>N244+I244</f>
        <v>1668299.81</v>
      </c>
      <c r="AA239" s="285" t="s">
        <v>139</v>
      </c>
    </row>
    <row r="240" spans="1:31" x14ac:dyDescent="0.2">
      <c r="A240" s="216"/>
      <c r="B240" s="231" t="s">
        <v>171</v>
      </c>
      <c r="C240" s="214">
        <v>160</v>
      </c>
      <c r="D240" s="214">
        <v>12280</v>
      </c>
      <c r="E240" s="214">
        <v>2262.52</v>
      </c>
      <c r="F240" s="232">
        <v>137.74</v>
      </c>
      <c r="G240" s="232">
        <v>330</v>
      </c>
      <c r="H240" s="261"/>
      <c r="I240" s="283">
        <f t="shared" si="67"/>
        <v>2400.2600000000002</v>
      </c>
      <c r="J240" s="150">
        <f t="shared" si="59"/>
        <v>697678</v>
      </c>
      <c r="K240" s="279"/>
      <c r="L240" s="217">
        <f t="shared" si="63"/>
        <v>709958</v>
      </c>
      <c r="N240" s="217">
        <f t="shared" si="60"/>
        <v>137238.44</v>
      </c>
      <c r="T240">
        <f t="shared" si="64"/>
        <v>160</v>
      </c>
      <c r="U240" s="217">
        <f t="shared" si="65"/>
        <v>12280</v>
      </c>
      <c r="V240" s="217">
        <f t="shared" si="66"/>
        <v>2262.52</v>
      </c>
      <c r="X240" s="217">
        <f t="shared" si="61"/>
        <v>3666008.8200000003</v>
      </c>
      <c r="Z240" s="264">
        <f>SUM(Z232:Z239)</f>
        <v>48237690.720000014</v>
      </c>
      <c r="AA240" s="285" t="s">
        <v>64</v>
      </c>
    </row>
    <row r="241" spans="1:32" x14ac:dyDescent="0.2">
      <c r="A241" s="216"/>
      <c r="B241" s="231" t="s">
        <v>117</v>
      </c>
      <c r="C241" s="214">
        <v>160</v>
      </c>
      <c r="D241" s="214">
        <v>12280</v>
      </c>
      <c r="E241" s="214">
        <v>2262.52</v>
      </c>
      <c r="F241" s="232">
        <v>155.09</v>
      </c>
      <c r="G241" s="232">
        <v>230.39</v>
      </c>
      <c r="H241" s="261"/>
      <c r="I241" s="283">
        <f t="shared" si="67"/>
        <v>2417.61</v>
      </c>
      <c r="J241" s="150">
        <f t="shared" si="59"/>
        <v>694151</v>
      </c>
      <c r="K241" s="279"/>
      <c r="L241" s="217">
        <f t="shared" si="63"/>
        <v>706431</v>
      </c>
      <c r="N241" s="217">
        <f t="shared" si="60"/>
        <v>137340.33000000002</v>
      </c>
      <c r="T241">
        <f t="shared" si="64"/>
        <v>160</v>
      </c>
      <c r="U241" s="217">
        <f t="shared" si="65"/>
        <v>12280</v>
      </c>
      <c r="V241" s="217">
        <f t="shared" si="66"/>
        <v>2262.52</v>
      </c>
      <c r="X241" s="217">
        <f t="shared" si="61"/>
        <v>3351856.2499999995</v>
      </c>
      <c r="Z241" s="217">
        <f>Z240-X244</f>
        <v>0</v>
      </c>
      <c r="AA241" s="285" t="s">
        <v>207</v>
      </c>
    </row>
    <row r="242" spans="1:32" x14ac:dyDescent="0.2">
      <c r="A242" s="216"/>
      <c r="B242" s="231" t="s">
        <v>118</v>
      </c>
      <c r="C242" s="214">
        <v>160</v>
      </c>
      <c r="D242" s="214">
        <v>12336</v>
      </c>
      <c r="E242" s="214">
        <v>2260.1799999999998</v>
      </c>
      <c r="F242" s="232">
        <v>142.93</v>
      </c>
      <c r="G242" s="232">
        <v>243.72</v>
      </c>
      <c r="H242" s="261"/>
      <c r="I242" s="283">
        <f t="shared" si="67"/>
        <v>2403.1099999999997</v>
      </c>
      <c r="J242" s="150">
        <f t="shared" si="59"/>
        <v>692253</v>
      </c>
      <c r="K242" s="279"/>
      <c r="L242" s="217">
        <f t="shared" si="63"/>
        <v>704589</v>
      </c>
      <c r="N242" s="217">
        <f t="shared" si="60"/>
        <v>137560.94999999998</v>
      </c>
      <c r="T242">
        <f t="shared" si="64"/>
        <v>160</v>
      </c>
      <c r="U242" s="217">
        <f t="shared" si="65"/>
        <v>12336</v>
      </c>
      <c r="V242" s="217">
        <f t="shared" si="66"/>
        <v>2260.1799999999998</v>
      </c>
      <c r="X242" s="217">
        <f t="shared" si="61"/>
        <v>4266979.3499999996</v>
      </c>
    </row>
    <row r="243" spans="1:32" x14ac:dyDescent="0.2">
      <c r="A243" s="216"/>
      <c r="B243" s="231" t="s">
        <v>119</v>
      </c>
      <c r="C243" s="214">
        <v>169</v>
      </c>
      <c r="D243" s="214">
        <v>13288</v>
      </c>
      <c r="E243" s="214">
        <v>2418.13</v>
      </c>
      <c r="F243" s="232">
        <v>86.29</v>
      </c>
      <c r="G243" s="232">
        <v>303.06</v>
      </c>
      <c r="H243" s="261"/>
      <c r="I243" s="283">
        <f t="shared" si="67"/>
        <v>2504.42</v>
      </c>
      <c r="J243" s="150">
        <f t="shared" si="59"/>
        <v>686819</v>
      </c>
      <c r="K243" s="279"/>
      <c r="L243" s="217">
        <f t="shared" si="63"/>
        <v>700107</v>
      </c>
      <c r="N243" s="217">
        <f t="shared" si="60"/>
        <v>136711.08000000002</v>
      </c>
      <c r="T243">
        <f t="shared" si="64"/>
        <v>169</v>
      </c>
      <c r="U243" s="217">
        <f t="shared" si="65"/>
        <v>13288</v>
      </c>
      <c r="V243" s="217">
        <f t="shared" si="66"/>
        <v>2418.13</v>
      </c>
      <c r="X243" s="217">
        <f t="shared" si="61"/>
        <v>4456110.8499999996</v>
      </c>
    </row>
    <row r="244" spans="1:32" x14ac:dyDescent="0.2">
      <c r="A244" s="213"/>
      <c r="B244" s="213" t="s">
        <v>83</v>
      </c>
      <c r="C244" s="215">
        <f>SUM(C232:C243)</f>
        <v>1926</v>
      </c>
      <c r="D244" s="215">
        <f>SUM(D232:D243)</f>
        <v>149350</v>
      </c>
      <c r="E244" s="215">
        <f>SUM(E232:E243)</f>
        <v>27235.670000000002</v>
      </c>
      <c r="F244" s="215">
        <f>SUM(F232:F243)</f>
        <v>1743.8999999999999</v>
      </c>
      <c r="G244" s="233">
        <f>SUM(G232:G243)</f>
        <v>3292.4299999999994</v>
      </c>
      <c r="H244" s="261"/>
      <c r="I244" s="223">
        <f>SUM(I232:I243)</f>
        <v>28299.309999999998</v>
      </c>
      <c r="J244" s="223">
        <f>SUM(J232:J243)</f>
        <v>8391949</v>
      </c>
      <c r="K244" s="284"/>
      <c r="L244" s="223">
        <f>SUM(L232:L243)</f>
        <v>8541299</v>
      </c>
      <c r="M244" s="223"/>
      <c r="N244" s="223">
        <f>SUM(N232:N243)</f>
        <v>1640000.5</v>
      </c>
      <c r="O244" s="222"/>
      <c r="T244" s="265">
        <f t="shared" si="64"/>
        <v>1926</v>
      </c>
      <c r="U244" s="264">
        <f t="shared" si="65"/>
        <v>149350</v>
      </c>
      <c r="V244" s="264">
        <f t="shared" si="66"/>
        <v>27235.670000000002</v>
      </c>
      <c r="X244" s="264">
        <f>SUM(X232:X243)</f>
        <v>48237690.719999999</v>
      </c>
      <c r="AC244" s="152" t="s">
        <v>24</v>
      </c>
      <c r="AD244" s="152" t="s">
        <v>123</v>
      </c>
      <c r="AE244" s="152" t="s">
        <v>187</v>
      </c>
    </row>
    <row r="245" spans="1:32" x14ac:dyDescent="0.2">
      <c r="A245" s="222"/>
      <c r="B245" s="222"/>
      <c r="C245" s="223"/>
      <c r="D245" s="223"/>
      <c r="E245" s="223"/>
      <c r="F245" s="223"/>
      <c r="G245" s="223"/>
      <c r="H245" s="223"/>
      <c r="I245" s="223"/>
      <c r="AC245" s="217">
        <f>T20</f>
        <v>22478</v>
      </c>
      <c r="AD245" s="217">
        <f>U19</f>
        <v>268297725</v>
      </c>
      <c r="AE245" s="217">
        <f>X19</f>
        <v>32719854.120000001</v>
      </c>
      <c r="AF245" t="s">
        <v>134</v>
      </c>
    </row>
    <row r="246" spans="1:32" x14ac:dyDescent="0.2">
      <c r="A246" s="222"/>
      <c r="B246" s="222"/>
      <c r="C246" s="223"/>
      <c r="D246" s="223"/>
      <c r="E246" s="223"/>
      <c r="F246" s="223"/>
      <c r="G246" s="223"/>
      <c r="H246" s="223"/>
      <c r="I246" s="223"/>
      <c r="AC246" s="217">
        <f>T57</f>
        <v>8.5</v>
      </c>
      <c r="AD246" s="217">
        <f>U56</f>
        <v>49591</v>
      </c>
      <c r="AE246" s="217">
        <f>X56</f>
        <v>7122.81</v>
      </c>
      <c r="AF246" t="s">
        <v>142</v>
      </c>
    </row>
    <row r="247" spans="1:32" x14ac:dyDescent="0.2">
      <c r="A247" s="222"/>
      <c r="B247" s="222"/>
      <c r="C247" s="223"/>
      <c r="D247" s="223"/>
      <c r="E247" s="223"/>
      <c r="F247" s="223"/>
      <c r="G247" s="223"/>
      <c r="H247" s="223"/>
      <c r="I247" s="223"/>
      <c r="W247" s="188"/>
      <c r="X247" s="150"/>
      <c r="AF247" t="s">
        <v>136</v>
      </c>
    </row>
    <row r="248" spans="1:32" x14ac:dyDescent="0.2">
      <c r="A248" s="222"/>
      <c r="B248" s="222"/>
      <c r="C248" s="223"/>
      <c r="D248" s="223"/>
      <c r="E248" s="223"/>
      <c r="F248" s="223"/>
      <c r="G248" s="223"/>
      <c r="H248" s="223"/>
      <c r="I248" s="223"/>
      <c r="AF248" t="s">
        <v>136</v>
      </c>
    </row>
    <row r="249" spans="1:32" x14ac:dyDescent="0.2">
      <c r="A249" s="222"/>
      <c r="B249" s="222"/>
      <c r="C249" s="223"/>
      <c r="D249" s="223"/>
      <c r="E249" s="223"/>
      <c r="F249" s="223"/>
      <c r="G249" s="223"/>
      <c r="H249" s="223"/>
      <c r="I249" s="223"/>
      <c r="W249" s="188"/>
      <c r="X249" s="150"/>
      <c r="AF249" t="s">
        <v>135</v>
      </c>
    </row>
    <row r="250" spans="1:32" x14ac:dyDescent="0.2">
      <c r="AF250" t="s">
        <v>137</v>
      </c>
    </row>
    <row r="251" spans="1:32" x14ac:dyDescent="0.2">
      <c r="AF251" t="s">
        <v>138</v>
      </c>
    </row>
    <row r="252" spans="1:32" x14ac:dyDescent="0.2">
      <c r="W252" s="153" t="s">
        <v>167</v>
      </c>
      <c r="X252" s="154" t="s">
        <v>188</v>
      </c>
      <c r="Y252" s="261"/>
      <c r="AF252" t="s">
        <v>139</v>
      </c>
    </row>
    <row r="253" spans="1:32" x14ac:dyDescent="0.2">
      <c r="A253" s="197" t="s">
        <v>16</v>
      </c>
      <c r="B253" s="197" t="s">
        <v>185</v>
      </c>
      <c r="C253" s="437" t="s">
        <v>189</v>
      </c>
      <c r="D253" s="438"/>
      <c r="E253" s="437" t="s">
        <v>190</v>
      </c>
      <c r="F253" s="438"/>
      <c r="G253" s="437" t="s">
        <v>191</v>
      </c>
      <c r="H253" s="438"/>
      <c r="I253" s="437" t="s">
        <v>192</v>
      </c>
      <c r="J253" s="438"/>
      <c r="K253" s="437" t="s">
        <v>193</v>
      </c>
      <c r="L253" s="438"/>
      <c r="M253" s="437" t="s">
        <v>194</v>
      </c>
      <c r="N253" s="438"/>
      <c r="O253" s="437" t="s">
        <v>195</v>
      </c>
      <c r="P253" s="438"/>
      <c r="Q253" s="437" t="s">
        <v>196</v>
      </c>
      <c r="R253" s="438"/>
      <c r="S253" s="437" t="s">
        <v>197</v>
      </c>
      <c r="T253" s="438"/>
      <c r="U253" s="437" t="s">
        <v>198</v>
      </c>
      <c r="V253" s="438"/>
      <c r="W253" s="154" t="s">
        <v>199</v>
      </c>
      <c r="X253" s="154" t="s">
        <v>199</v>
      </c>
      <c r="Y253" s="261"/>
      <c r="AF253" t="s">
        <v>226</v>
      </c>
    </row>
    <row r="254" spans="1:32" x14ac:dyDescent="0.2">
      <c r="A254" s="234"/>
      <c r="B254" s="235" t="s">
        <v>162</v>
      </c>
      <c r="C254" s="235" t="s">
        <v>167</v>
      </c>
      <c r="D254" s="235" t="s">
        <v>123</v>
      </c>
      <c r="E254" s="235" t="s">
        <v>167</v>
      </c>
      <c r="F254" s="235" t="s">
        <v>123</v>
      </c>
      <c r="G254" s="235" t="s">
        <v>167</v>
      </c>
      <c r="H254" s="235" t="s">
        <v>123</v>
      </c>
      <c r="I254" s="235" t="s">
        <v>167</v>
      </c>
      <c r="J254" s="235" t="s">
        <v>123</v>
      </c>
      <c r="K254" s="235" t="s">
        <v>167</v>
      </c>
      <c r="L254" s="235" t="s">
        <v>123</v>
      </c>
      <c r="M254" s="235" t="s">
        <v>167</v>
      </c>
      <c r="N254" s="235" t="s">
        <v>123</v>
      </c>
      <c r="O254" s="235" t="s">
        <v>167</v>
      </c>
      <c r="P254" s="235" t="s">
        <v>123</v>
      </c>
      <c r="Q254" s="235" t="s">
        <v>167</v>
      </c>
      <c r="R254" s="235" t="s">
        <v>123</v>
      </c>
      <c r="S254" s="235" t="s">
        <v>167</v>
      </c>
      <c r="T254" s="235" t="s">
        <v>123</v>
      </c>
      <c r="U254" s="235" t="s">
        <v>167</v>
      </c>
      <c r="V254" s="235" t="s">
        <v>123</v>
      </c>
      <c r="W254" s="236"/>
      <c r="X254" s="236"/>
      <c r="Y254" s="261"/>
      <c r="AF254" t="s">
        <v>227</v>
      </c>
    </row>
    <row r="255" spans="1:32" x14ac:dyDescent="0.2">
      <c r="A255" s="198"/>
      <c r="B255" s="231" t="s">
        <v>112</v>
      </c>
      <c r="C255" s="211">
        <v>3317</v>
      </c>
      <c r="D255" s="211">
        <v>231840</v>
      </c>
      <c r="E255" s="211">
        <v>792</v>
      </c>
      <c r="F255" s="211">
        <v>55440</v>
      </c>
      <c r="G255" s="211">
        <v>65</v>
      </c>
      <c r="H255" s="211">
        <v>4550</v>
      </c>
      <c r="I255" s="211">
        <v>47</v>
      </c>
      <c r="J255" s="211">
        <v>3290</v>
      </c>
      <c r="K255" s="237">
        <v>674</v>
      </c>
      <c r="L255" s="211">
        <v>94360</v>
      </c>
      <c r="M255" s="211">
        <v>258</v>
      </c>
      <c r="N255" s="219">
        <v>35980</v>
      </c>
      <c r="O255" s="219">
        <v>4601</v>
      </c>
      <c r="P255" s="219">
        <v>110112</v>
      </c>
      <c r="Q255" s="219">
        <v>1669</v>
      </c>
      <c r="R255" s="219">
        <v>93072</v>
      </c>
      <c r="S255" s="211">
        <v>200</v>
      </c>
      <c r="T255" s="211">
        <v>15323</v>
      </c>
      <c r="U255" s="198">
        <v>562</v>
      </c>
      <c r="V255" s="211">
        <v>78680</v>
      </c>
      <c r="W255" s="238">
        <f>C255+E255+G255+I255+K255+M255+O255+Q255+S255+U255</f>
        <v>12185</v>
      </c>
      <c r="X255" s="239">
        <f>D255+F255+H255+J255+L255+N255+P255+R255+T255+V255</f>
        <v>722647</v>
      </c>
      <c r="Y255" s="261"/>
    </row>
    <row r="256" spans="1:32" x14ac:dyDescent="0.2">
      <c r="A256" s="198"/>
      <c r="B256" s="231" t="s">
        <v>113</v>
      </c>
      <c r="C256" s="211">
        <v>3277</v>
      </c>
      <c r="D256" s="211">
        <v>229040</v>
      </c>
      <c r="E256" s="211">
        <v>783</v>
      </c>
      <c r="F256" s="211">
        <v>54810</v>
      </c>
      <c r="G256" s="211">
        <v>66</v>
      </c>
      <c r="H256" s="211">
        <v>4620</v>
      </c>
      <c r="I256" s="211">
        <v>49</v>
      </c>
      <c r="J256" s="211">
        <v>3430</v>
      </c>
      <c r="K256" s="237">
        <v>672</v>
      </c>
      <c r="L256" s="211">
        <v>94080</v>
      </c>
      <c r="M256" s="211">
        <v>253</v>
      </c>
      <c r="N256" s="219">
        <v>35280</v>
      </c>
      <c r="O256" s="219">
        <v>4624</v>
      </c>
      <c r="P256" s="219">
        <v>110664</v>
      </c>
      <c r="Q256" s="211">
        <v>1673</v>
      </c>
      <c r="R256" s="219">
        <v>93296</v>
      </c>
      <c r="S256" s="211">
        <v>204</v>
      </c>
      <c r="T256" s="211">
        <v>15631</v>
      </c>
      <c r="U256" s="198">
        <v>563</v>
      </c>
      <c r="V256" s="211">
        <v>78820</v>
      </c>
      <c r="W256" s="238">
        <f t="shared" ref="W256:X267" si="68">C256+E256+G256+I256+K256+M256+O256+Q256+S256+U256</f>
        <v>12164</v>
      </c>
      <c r="X256" s="239">
        <f t="shared" si="68"/>
        <v>719671</v>
      </c>
      <c r="Y256" s="261"/>
    </row>
    <row r="257" spans="1:25" x14ac:dyDescent="0.2">
      <c r="A257" s="198"/>
      <c r="B257" s="231" t="s">
        <v>114</v>
      </c>
      <c r="C257" s="211">
        <v>3249</v>
      </c>
      <c r="D257" s="211">
        <v>227010</v>
      </c>
      <c r="E257" s="211">
        <v>769</v>
      </c>
      <c r="F257" s="211">
        <v>53830</v>
      </c>
      <c r="G257" s="211">
        <v>66</v>
      </c>
      <c r="H257" s="211">
        <v>4620</v>
      </c>
      <c r="I257" s="211">
        <v>48</v>
      </c>
      <c r="J257" s="211">
        <v>3360</v>
      </c>
      <c r="K257" s="237">
        <v>661</v>
      </c>
      <c r="L257" s="211">
        <v>92540</v>
      </c>
      <c r="M257" s="211">
        <v>251</v>
      </c>
      <c r="N257" s="219">
        <v>35000</v>
      </c>
      <c r="O257" s="219">
        <v>4673</v>
      </c>
      <c r="P257" s="219">
        <v>111816</v>
      </c>
      <c r="Q257" s="219">
        <v>1678</v>
      </c>
      <c r="R257" s="219">
        <v>93576</v>
      </c>
      <c r="S257" s="211">
        <v>208</v>
      </c>
      <c r="T257" s="211">
        <v>15939</v>
      </c>
      <c r="U257" s="198">
        <v>555</v>
      </c>
      <c r="V257" s="211">
        <v>77700</v>
      </c>
      <c r="W257" s="238">
        <f t="shared" si="68"/>
        <v>12158</v>
      </c>
      <c r="X257" s="239">
        <f t="shared" si="68"/>
        <v>715391</v>
      </c>
      <c r="Y257" s="261"/>
    </row>
    <row r="258" spans="1:25" x14ac:dyDescent="0.2">
      <c r="A258" s="198"/>
      <c r="B258" s="231" t="s">
        <v>168</v>
      </c>
      <c r="C258" s="211">
        <v>3225</v>
      </c>
      <c r="D258" s="211">
        <v>225330</v>
      </c>
      <c r="E258" s="211">
        <v>756</v>
      </c>
      <c r="F258" s="211">
        <v>52920</v>
      </c>
      <c r="G258" s="211">
        <v>65</v>
      </c>
      <c r="H258" s="211">
        <v>4550</v>
      </c>
      <c r="I258" s="211">
        <v>48</v>
      </c>
      <c r="J258" s="211">
        <v>3360</v>
      </c>
      <c r="K258" s="237">
        <v>664</v>
      </c>
      <c r="L258" s="211">
        <v>92960</v>
      </c>
      <c r="M258" s="211">
        <v>252</v>
      </c>
      <c r="N258" s="219">
        <v>35140</v>
      </c>
      <c r="O258" s="219">
        <v>4712</v>
      </c>
      <c r="P258" s="219">
        <v>112776</v>
      </c>
      <c r="Q258" s="219">
        <v>1684</v>
      </c>
      <c r="R258" s="219">
        <v>93912</v>
      </c>
      <c r="S258" s="211">
        <v>221</v>
      </c>
      <c r="T258" s="211">
        <v>16940</v>
      </c>
      <c r="U258" s="198">
        <v>554</v>
      </c>
      <c r="V258" s="211">
        <v>77560</v>
      </c>
      <c r="W258" s="238">
        <f t="shared" si="68"/>
        <v>12181</v>
      </c>
      <c r="X258" s="239">
        <f t="shared" si="68"/>
        <v>715448</v>
      </c>
      <c r="Y258" s="261"/>
    </row>
    <row r="259" spans="1:25" x14ac:dyDescent="0.2">
      <c r="A259" s="198"/>
      <c r="B259" s="231" t="s">
        <v>115</v>
      </c>
      <c r="C259" s="211">
        <v>3192</v>
      </c>
      <c r="D259" s="211">
        <v>223090</v>
      </c>
      <c r="E259" s="211">
        <v>757</v>
      </c>
      <c r="F259" s="211">
        <v>52990</v>
      </c>
      <c r="G259" s="211">
        <v>65</v>
      </c>
      <c r="H259" s="211">
        <v>4550</v>
      </c>
      <c r="I259" s="211">
        <v>47</v>
      </c>
      <c r="J259" s="211">
        <v>3290</v>
      </c>
      <c r="K259" s="237">
        <v>656</v>
      </c>
      <c r="L259" s="211">
        <v>91840</v>
      </c>
      <c r="M259" s="211">
        <v>255</v>
      </c>
      <c r="N259" s="219">
        <v>35560</v>
      </c>
      <c r="O259" s="219">
        <v>4745</v>
      </c>
      <c r="P259" s="219">
        <v>113592</v>
      </c>
      <c r="Q259" s="219">
        <v>1694</v>
      </c>
      <c r="R259" s="219">
        <v>94472</v>
      </c>
      <c r="S259" s="211">
        <v>231</v>
      </c>
      <c r="T259" s="211">
        <v>17710</v>
      </c>
      <c r="U259" s="198">
        <v>556</v>
      </c>
      <c r="V259" s="211">
        <v>77840</v>
      </c>
      <c r="W259" s="238">
        <f t="shared" si="68"/>
        <v>12198</v>
      </c>
      <c r="X259" s="239">
        <f t="shared" si="68"/>
        <v>714934</v>
      </c>
      <c r="Y259" s="261"/>
    </row>
    <row r="260" spans="1:25" x14ac:dyDescent="0.2">
      <c r="A260" s="198"/>
      <c r="B260" s="231" t="s">
        <v>169</v>
      </c>
      <c r="C260" s="211">
        <v>3162</v>
      </c>
      <c r="D260" s="211">
        <v>220990</v>
      </c>
      <c r="E260" s="211">
        <v>748</v>
      </c>
      <c r="F260" s="211">
        <v>52290</v>
      </c>
      <c r="G260" s="211">
        <v>65</v>
      </c>
      <c r="H260" s="211">
        <v>4550</v>
      </c>
      <c r="I260" s="211">
        <v>49</v>
      </c>
      <c r="J260" s="211">
        <v>3430</v>
      </c>
      <c r="K260" s="237">
        <v>651</v>
      </c>
      <c r="L260" s="211">
        <v>91140</v>
      </c>
      <c r="M260" s="211">
        <v>252</v>
      </c>
      <c r="N260" s="219">
        <v>35140</v>
      </c>
      <c r="O260" s="219">
        <v>4779</v>
      </c>
      <c r="P260" s="219">
        <v>114408</v>
      </c>
      <c r="Q260" s="219">
        <v>1701</v>
      </c>
      <c r="R260" s="219">
        <v>95200</v>
      </c>
      <c r="S260" s="211">
        <v>237</v>
      </c>
      <c r="T260" s="211">
        <v>18172</v>
      </c>
      <c r="U260" s="198">
        <v>550</v>
      </c>
      <c r="V260" s="211">
        <v>77000</v>
      </c>
      <c r="W260" s="238">
        <f t="shared" si="68"/>
        <v>12194</v>
      </c>
      <c r="X260" s="239">
        <f t="shared" si="68"/>
        <v>712320</v>
      </c>
      <c r="Y260" s="261"/>
    </row>
    <row r="261" spans="1:25" x14ac:dyDescent="0.2">
      <c r="A261" s="198"/>
      <c r="B261" s="231" t="s">
        <v>170</v>
      </c>
      <c r="C261" s="211">
        <v>3136</v>
      </c>
      <c r="D261" s="211">
        <v>219520</v>
      </c>
      <c r="E261" s="211">
        <v>740</v>
      </c>
      <c r="F261" s="211">
        <v>51800</v>
      </c>
      <c r="G261" s="211">
        <v>64</v>
      </c>
      <c r="H261" s="211">
        <v>4480</v>
      </c>
      <c r="I261" s="211">
        <v>49</v>
      </c>
      <c r="J261" s="211">
        <v>3430</v>
      </c>
      <c r="K261" s="237">
        <v>646</v>
      </c>
      <c r="L261" s="211">
        <v>90440</v>
      </c>
      <c r="M261" s="211">
        <v>254</v>
      </c>
      <c r="N261" s="219">
        <v>35560</v>
      </c>
      <c r="O261" s="219">
        <v>4816</v>
      </c>
      <c r="P261" s="219">
        <v>115584</v>
      </c>
      <c r="Q261" s="219">
        <v>1701</v>
      </c>
      <c r="R261" s="219">
        <v>94864</v>
      </c>
      <c r="S261" s="211">
        <v>241</v>
      </c>
      <c r="T261" s="211">
        <v>18557</v>
      </c>
      <c r="U261" s="198">
        <v>548</v>
      </c>
      <c r="V261" s="211">
        <v>76720</v>
      </c>
      <c r="W261" s="238">
        <f t="shared" si="68"/>
        <v>12195</v>
      </c>
      <c r="X261" s="239">
        <f t="shared" si="68"/>
        <v>710955</v>
      </c>
      <c r="Y261" s="261"/>
    </row>
    <row r="262" spans="1:25" x14ac:dyDescent="0.2">
      <c r="A262" s="198"/>
      <c r="B262" s="231" t="s">
        <v>116</v>
      </c>
      <c r="C262" s="211">
        <v>3115</v>
      </c>
      <c r="D262" s="211">
        <v>217980</v>
      </c>
      <c r="E262" s="211">
        <v>739</v>
      </c>
      <c r="F262" s="211">
        <v>51660</v>
      </c>
      <c r="G262" s="211">
        <v>65</v>
      </c>
      <c r="H262" s="211">
        <v>4550</v>
      </c>
      <c r="I262" s="211">
        <v>48</v>
      </c>
      <c r="J262" s="211">
        <v>3360</v>
      </c>
      <c r="K262" s="237">
        <v>646</v>
      </c>
      <c r="L262" s="211">
        <v>90440</v>
      </c>
      <c r="M262" s="211">
        <v>255</v>
      </c>
      <c r="N262" s="219">
        <v>35700</v>
      </c>
      <c r="O262" s="219">
        <v>4870</v>
      </c>
      <c r="P262" s="219">
        <v>116880</v>
      </c>
      <c r="Q262" s="219">
        <v>1713</v>
      </c>
      <c r="R262" s="219">
        <v>95872</v>
      </c>
      <c r="S262" s="211">
        <v>248</v>
      </c>
      <c r="T262" s="211">
        <v>19096</v>
      </c>
      <c r="U262" s="198">
        <v>546</v>
      </c>
      <c r="V262" s="211">
        <v>76440</v>
      </c>
      <c r="W262" s="238">
        <f t="shared" si="68"/>
        <v>12245</v>
      </c>
      <c r="X262" s="239">
        <f t="shared" si="68"/>
        <v>711978</v>
      </c>
      <c r="Y262" s="261"/>
    </row>
    <row r="263" spans="1:25" x14ac:dyDescent="0.2">
      <c r="A263" s="198"/>
      <c r="B263" s="231" t="s">
        <v>171</v>
      </c>
      <c r="C263" s="211">
        <v>3085</v>
      </c>
      <c r="D263" s="211">
        <v>215950</v>
      </c>
      <c r="E263" s="211">
        <v>735</v>
      </c>
      <c r="F263" s="211">
        <v>51450</v>
      </c>
      <c r="G263" s="211">
        <v>63</v>
      </c>
      <c r="H263" s="211">
        <v>4410</v>
      </c>
      <c r="I263" s="211">
        <v>48</v>
      </c>
      <c r="J263" s="211">
        <v>3360</v>
      </c>
      <c r="K263" s="237">
        <v>645</v>
      </c>
      <c r="L263" s="211">
        <v>90160</v>
      </c>
      <c r="M263" s="211">
        <v>257</v>
      </c>
      <c r="N263" s="219">
        <v>35980</v>
      </c>
      <c r="O263" s="219">
        <v>4912</v>
      </c>
      <c r="P263" s="219">
        <v>117888</v>
      </c>
      <c r="Q263" s="219">
        <v>1716</v>
      </c>
      <c r="R263" s="219">
        <v>96040</v>
      </c>
      <c r="S263" s="211">
        <v>263</v>
      </c>
      <c r="T263" s="211">
        <v>20251</v>
      </c>
      <c r="U263" s="198">
        <v>537</v>
      </c>
      <c r="V263" s="211">
        <v>75180</v>
      </c>
      <c r="W263" s="238">
        <f t="shared" si="68"/>
        <v>12261</v>
      </c>
      <c r="X263" s="239">
        <f t="shared" si="68"/>
        <v>710669</v>
      </c>
      <c r="Y263" s="261"/>
    </row>
    <row r="264" spans="1:25" x14ac:dyDescent="0.2">
      <c r="A264" s="198"/>
      <c r="B264" s="231" t="s">
        <v>117</v>
      </c>
      <c r="C264" s="211">
        <v>3046</v>
      </c>
      <c r="D264" s="211">
        <v>213220</v>
      </c>
      <c r="E264" s="211">
        <v>733</v>
      </c>
      <c r="F264" s="211">
        <v>51310</v>
      </c>
      <c r="G264" s="211">
        <v>63</v>
      </c>
      <c r="H264" s="211">
        <v>4410</v>
      </c>
      <c r="I264" s="211">
        <v>48</v>
      </c>
      <c r="J264" s="211">
        <v>3360</v>
      </c>
      <c r="K264" s="237">
        <v>634</v>
      </c>
      <c r="L264" s="211">
        <v>88760</v>
      </c>
      <c r="M264" s="211">
        <v>255</v>
      </c>
      <c r="N264" s="219">
        <v>35700</v>
      </c>
      <c r="O264" s="219">
        <v>4953</v>
      </c>
      <c r="P264" s="219">
        <v>118872</v>
      </c>
      <c r="Q264" s="219">
        <v>1716</v>
      </c>
      <c r="R264" s="219">
        <v>96040</v>
      </c>
      <c r="S264" s="211">
        <v>266</v>
      </c>
      <c r="T264" s="211">
        <v>20482</v>
      </c>
      <c r="U264" s="198">
        <v>532</v>
      </c>
      <c r="V264" s="211">
        <v>74480</v>
      </c>
      <c r="W264" s="238">
        <f t="shared" si="68"/>
        <v>12246</v>
      </c>
      <c r="X264" s="239">
        <f t="shared" si="68"/>
        <v>706634</v>
      </c>
      <c r="Y264" s="261"/>
    </row>
    <row r="265" spans="1:25" x14ac:dyDescent="0.2">
      <c r="A265" s="198"/>
      <c r="B265" s="231" t="s">
        <v>118</v>
      </c>
      <c r="C265" s="211">
        <v>3020</v>
      </c>
      <c r="D265" s="211">
        <v>211400</v>
      </c>
      <c r="E265" s="211">
        <v>724</v>
      </c>
      <c r="F265" s="211">
        <v>50680</v>
      </c>
      <c r="G265" s="211">
        <v>64</v>
      </c>
      <c r="H265" s="211">
        <v>4410</v>
      </c>
      <c r="I265" s="211">
        <v>46</v>
      </c>
      <c r="J265" s="211">
        <v>3220</v>
      </c>
      <c r="K265" s="237">
        <v>631</v>
      </c>
      <c r="L265" s="211">
        <v>88340</v>
      </c>
      <c r="M265" s="211">
        <v>256</v>
      </c>
      <c r="N265" s="219">
        <v>35840</v>
      </c>
      <c r="O265" s="219">
        <v>5000</v>
      </c>
      <c r="P265" s="219">
        <v>119928</v>
      </c>
      <c r="Q265" s="219">
        <v>1718</v>
      </c>
      <c r="R265" s="219">
        <v>96152</v>
      </c>
      <c r="S265" s="211">
        <v>282</v>
      </c>
      <c r="T265" s="211">
        <v>21714</v>
      </c>
      <c r="U265" s="198">
        <v>528</v>
      </c>
      <c r="V265" s="211">
        <v>73920</v>
      </c>
      <c r="W265" s="238">
        <f t="shared" si="68"/>
        <v>12269</v>
      </c>
      <c r="X265" s="239">
        <f t="shared" si="68"/>
        <v>705604</v>
      </c>
      <c r="Y265" s="261"/>
    </row>
    <row r="266" spans="1:25" x14ac:dyDescent="0.2">
      <c r="A266" s="198"/>
      <c r="B266" s="231" t="s">
        <v>119</v>
      </c>
      <c r="C266" s="211">
        <v>2980</v>
      </c>
      <c r="D266" s="211">
        <v>208600</v>
      </c>
      <c r="E266" s="211">
        <v>718</v>
      </c>
      <c r="F266" s="211">
        <v>50260</v>
      </c>
      <c r="G266" s="211">
        <v>64</v>
      </c>
      <c r="H266" s="211">
        <v>4480</v>
      </c>
      <c r="I266" s="211">
        <v>46</v>
      </c>
      <c r="J266" s="211">
        <v>3220</v>
      </c>
      <c r="K266" s="237">
        <v>626</v>
      </c>
      <c r="L266" s="211">
        <v>87640</v>
      </c>
      <c r="M266" s="211">
        <v>262</v>
      </c>
      <c r="N266" s="219">
        <v>36680</v>
      </c>
      <c r="O266" s="219">
        <v>5029</v>
      </c>
      <c r="P266" s="219">
        <v>120696</v>
      </c>
      <c r="Q266" s="219">
        <v>1730</v>
      </c>
      <c r="R266" s="219">
        <v>96824</v>
      </c>
      <c r="S266" s="211">
        <v>282</v>
      </c>
      <c r="T266" s="211">
        <v>21714</v>
      </c>
      <c r="U266" s="198">
        <v>522</v>
      </c>
      <c r="V266" s="211">
        <v>73080</v>
      </c>
      <c r="W266" s="238">
        <f t="shared" si="68"/>
        <v>12259</v>
      </c>
      <c r="X266" s="239">
        <f t="shared" si="68"/>
        <v>703194</v>
      </c>
      <c r="Y266" s="261"/>
    </row>
    <row r="267" spans="1:25" x14ac:dyDescent="0.2">
      <c r="A267" s="197"/>
      <c r="B267" s="197" t="s">
        <v>83</v>
      </c>
      <c r="C267" s="212">
        <f t="shared" ref="C267:V267" si="69">SUM(C255:C266)</f>
        <v>37804</v>
      </c>
      <c r="D267" s="212">
        <f t="shared" si="69"/>
        <v>2643970</v>
      </c>
      <c r="E267" s="212">
        <f t="shared" si="69"/>
        <v>8994</v>
      </c>
      <c r="F267" s="212">
        <f t="shared" si="69"/>
        <v>629440</v>
      </c>
      <c r="G267" s="212">
        <f t="shared" si="69"/>
        <v>775</v>
      </c>
      <c r="H267" s="212">
        <f t="shared" si="69"/>
        <v>54180</v>
      </c>
      <c r="I267" s="212">
        <f t="shared" si="69"/>
        <v>573</v>
      </c>
      <c r="J267" s="212">
        <f t="shared" si="69"/>
        <v>40110</v>
      </c>
      <c r="K267" s="212">
        <f t="shared" si="69"/>
        <v>7806</v>
      </c>
      <c r="L267" s="212">
        <f t="shared" si="69"/>
        <v>1092700</v>
      </c>
      <c r="M267" s="212">
        <f t="shared" si="69"/>
        <v>3060</v>
      </c>
      <c r="N267" s="212">
        <f t="shared" si="69"/>
        <v>427560</v>
      </c>
      <c r="O267" s="212">
        <f>SUM(O255:O266)</f>
        <v>57714</v>
      </c>
      <c r="P267" s="212">
        <f>SUM(P255:P266)</f>
        <v>1383216</v>
      </c>
      <c r="Q267" s="212">
        <f>SUM(Q255:Q266)</f>
        <v>20393</v>
      </c>
      <c r="R267" s="212">
        <f>SUM(R255:R266)</f>
        <v>1139320</v>
      </c>
      <c r="S267" s="212">
        <f t="shared" si="69"/>
        <v>2883</v>
      </c>
      <c r="T267" s="212">
        <f t="shared" si="69"/>
        <v>221529</v>
      </c>
      <c r="U267" s="212">
        <f t="shared" si="69"/>
        <v>6553</v>
      </c>
      <c r="V267" s="212">
        <f t="shared" si="69"/>
        <v>917420</v>
      </c>
      <c r="W267" s="238">
        <f t="shared" si="68"/>
        <v>146555</v>
      </c>
      <c r="X267" s="239">
        <f t="shared" si="68"/>
        <v>8549445</v>
      </c>
      <c r="Y267" s="261"/>
    </row>
    <row r="269" spans="1:25" x14ac:dyDescent="0.2">
      <c r="C269" s="217"/>
      <c r="D269" s="217"/>
      <c r="E269" s="217"/>
      <c r="F269" s="217"/>
      <c r="G269" s="217"/>
      <c r="H269" s="217"/>
      <c r="I269" s="217"/>
      <c r="J269" s="217"/>
      <c r="K269" s="217"/>
      <c r="L269" s="217"/>
      <c r="M269" s="217"/>
      <c r="N269" s="217"/>
      <c r="O269" s="217"/>
      <c r="P269" s="217"/>
      <c r="Q269" s="217"/>
      <c r="R269" s="217"/>
      <c r="S269" s="217"/>
      <c r="T269" s="217"/>
      <c r="U269" s="217"/>
      <c r="V269" s="217"/>
    </row>
    <row r="275" spans="11:18" x14ac:dyDescent="0.2">
      <c r="L275" s="152" t="s">
        <v>90</v>
      </c>
      <c r="M275" s="152" t="s">
        <v>97</v>
      </c>
      <c r="Q275" s="152" t="s">
        <v>90</v>
      </c>
      <c r="R275" s="152" t="s">
        <v>97</v>
      </c>
    </row>
    <row r="276" spans="11:18" x14ac:dyDescent="0.2">
      <c r="K276" s="152" t="s">
        <v>112</v>
      </c>
      <c r="L276" s="150">
        <f>L7+L25+L44+M44+L63+L80+L98+L115+L132+F232+K149+K170+K188+K209</f>
        <v>623991.1</v>
      </c>
      <c r="M276" s="302">
        <f>N7+N25+N44+N63+N80+N98+N115+N132+L149+L170+L188+L209</f>
        <v>508825.36999999994</v>
      </c>
      <c r="P276" t="s">
        <v>128</v>
      </c>
      <c r="Q276" s="217">
        <f>L19+L37</f>
        <v>3269676.6399999997</v>
      </c>
      <c r="R276" s="217">
        <f>N19+N37</f>
        <v>3658466.23</v>
      </c>
    </row>
    <row r="277" spans="11:18" x14ac:dyDescent="0.2">
      <c r="K277" s="152" t="s">
        <v>113</v>
      </c>
      <c r="L277" s="150">
        <f t="shared" ref="L277:L287" si="70">L8+L26+L45+M45+L64+L81+L99+L116+L133+F233+K150+K171+K189+K210</f>
        <v>1165414.1499999999</v>
      </c>
      <c r="M277" s="301">
        <f t="shared" ref="M277:M287" si="71">N8+N26+N45+N64+N81+N99+N116+N133+G233+L150+L171+L189+L210</f>
        <v>515611.9599999999</v>
      </c>
      <c r="P277" t="s">
        <v>141</v>
      </c>
      <c r="Q277" s="217">
        <f>L56+M56</f>
        <v>711.32</v>
      </c>
      <c r="R277" s="217">
        <f>N56</f>
        <v>702.2600000000001</v>
      </c>
    </row>
    <row r="278" spans="11:18" x14ac:dyDescent="0.2">
      <c r="K278" s="152" t="s">
        <v>114</v>
      </c>
      <c r="L278" s="150">
        <f t="shared" si="70"/>
        <v>580964</v>
      </c>
      <c r="M278" s="301">
        <f t="shared" si="71"/>
        <v>267403.36</v>
      </c>
      <c r="P278" t="s">
        <v>129</v>
      </c>
      <c r="Q278" s="217">
        <f>L75</f>
        <v>175771.94000000003</v>
      </c>
      <c r="R278" s="217">
        <f>N75</f>
        <v>203834.25999999998</v>
      </c>
    </row>
    <row r="279" spans="11:18" x14ac:dyDescent="0.2">
      <c r="K279" s="152" t="s">
        <v>228</v>
      </c>
      <c r="L279" s="150">
        <f t="shared" si="70"/>
        <v>308372.21000000002</v>
      </c>
      <c r="M279" s="301">
        <f t="shared" si="71"/>
        <v>335923.04999999993</v>
      </c>
      <c r="P279" t="s">
        <v>130</v>
      </c>
      <c r="Q279" s="217">
        <f>L92</f>
        <v>112603.20000000001</v>
      </c>
      <c r="R279" s="217">
        <f>N92</f>
        <v>139601.16</v>
      </c>
    </row>
    <row r="280" spans="11:18" x14ac:dyDescent="0.2">
      <c r="K280" s="152" t="s">
        <v>115</v>
      </c>
      <c r="L280" s="150">
        <f t="shared" si="70"/>
        <v>443798.4</v>
      </c>
      <c r="M280" s="301">
        <f t="shared" si="71"/>
        <v>494802.54</v>
      </c>
      <c r="P280" t="s">
        <v>133</v>
      </c>
      <c r="Q280" s="217">
        <f>L110</f>
        <v>8017.0499999999984</v>
      </c>
      <c r="R280" s="217">
        <f>N110</f>
        <v>10280.749999999998</v>
      </c>
    </row>
    <row r="281" spans="11:18" x14ac:dyDescent="0.2">
      <c r="K281" s="152" t="s">
        <v>229</v>
      </c>
      <c r="L281" s="150">
        <f t="shared" si="70"/>
        <v>331502.96000000008</v>
      </c>
      <c r="M281" s="301">
        <f t="shared" si="71"/>
        <v>420557.12000000005</v>
      </c>
      <c r="P281" t="s">
        <v>131</v>
      </c>
      <c r="Q281" s="217">
        <f>L127</f>
        <v>146346.69</v>
      </c>
      <c r="R281" s="217">
        <f>N127</f>
        <v>131191.41999999998</v>
      </c>
    </row>
    <row r="282" spans="11:18" x14ac:dyDescent="0.2">
      <c r="K282" s="152" t="s">
        <v>230</v>
      </c>
      <c r="L282" s="150">
        <f t="shared" si="70"/>
        <v>282603.46000000002</v>
      </c>
      <c r="M282" s="301">
        <f t="shared" si="71"/>
        <v>614947.73</v>
      </c>
      <c r="P282" t="s">
        <v>132</v>
      </c>
      <c r="Q282" s="217">
        <f>L144</f>
        <v>908212.01</v>
      </c>
      <c r="R282" s="217">
        <f>N144</f>
        <v>766669.56</v>
      </c>
    </row>
    <row r="283" spans="11:18" x14ac:dyDescent="0.2">
      <c r="K283" s="152" t="s">
        <v>116</v>
      </c>
      <c r="L283" s="150">
        <f t="shared" si="70"/>
        <v>279293.73000000004</v>
      </c>
      <c r="M283" s="301">
        <f t="shared" si="71"/>
        <v>707813.69</v>
      </c>
      <c r="P283" t="s">
        <v>140</v>
      </c>
      <c r="Q283" s="217">
        <f>F244</f>
        <v>1743.8999999999999</v>
      </c>
      <c r="R283" s="217">
        <f>G244</f>
        <v>3292.4299999999994</v>
      </c>
    </row>
    <row r="284" spans="11:18" x14ac:dyDescent="0.2">
      <c r="K284" s="152" t="s">
        <v>231</v>
      </c>
      <c r="L284" s="150">
        <f t="shared" si="70"/>
        <v>464032.73000000004</v>
      </c>
      <c r="M284" s="301">
        <f t="shared" si="71"/>
        <v>557171.92000000016</v>
      </c>
      <c r="P284" s="152" t="s">
        <v>234</v>
      </c>
      <c r="Q284" s="217">
        <f>K161</f>
        <v>648139.77</v>
      </c>
      <c r="R284" s="217">
        <f>L161</f>
        <v>521609.37</v>
      </c>
    </row>
    <row r="285" spans="11:18" x14ac:dyDescent="0.2">
      <c r="K285" s="152" t="s">
        <v>117</v>
      </c>
      <c r="L285" s="150">
        <f t="shared" si="70"/>
        <v>510353.08000000013</v>
      </c>
      <c r="M285" s="301">
        <f t="shared" si="71"/>
        <v>376698.4</v>
      </c>
      <c r="P285" s="152" t="s">
        <v>237</v>
      </c>
      <c r="Q285" s="217">
        <f>K200</f>
        <v>631447.23</v>
      </c>
      <c r="R285" s="217">
        <f>L200</f>
        <v>427569.51000000007</v>
      </c>
    </row>
    <row r="286" spans="11:18" x14ac:dyDescent="0.2">
      <c r="K286" s="152" t="s">
        <v>118</v>
      </c>
      <c r="L286" s="150">
        <f t="shared" si="70"/>
        <v>568823.1</v>
      </c>
      <c r="M286" s="301">
        <f t="shared" si="71"/>
        <v>481724.18999999994</v>
      </c>
      <c r="Q286" s="217">
        <f>SUM(Q276:Q285)</f>
        <v>5902669.75</v>
      </c>
      <c r="R286" s="217">
        <f>SUM(R276:R285)</f>
        <v>5863216.9499999993</v>
      </c>
    </row>
    <row r="287" spans="11:18" x14ac:dyDescent="0.2">
      <c r="K287" s="152" t="s">
        <v>119</v>
      </c>
      <c r="L287" s="150">
        <f t="shared" si="70"/>
        <v>340264.19000000006</v>
      </c>
      <c r="M287" s="301">
        <f t="shared" si="71"/>
        <v>581474.4</v>
      </c>
    </row>
    <row r="288" spans="11:18" x14ac:dyDescent="0.2">
      <c r="K288" s="295" t="s">
        <v>64</v>
      </c>
      <c r="L288" s="265">
        <f>SUM(L276:L287)</f>
        <v>5899413.1100000003</v>
      </c>
      <c r="M288" s="265">
        <f>SUM(M276:M287)</f>
        <v>5862953.7300000004</v>
      </c>
    </row>
    <row r="297" spans="5:5" x14ac:dyDescent="0.2">
      <c r="E297" t="s">
        <v>284</v>
      </c>
    </row>
    <row r="298" spans="5:5" x14ac:dyDescent="0.2">
      <c r="E298" t="s">
        <v>285</v>
      </c>
    </row>
    <row r="299" spans="5:5" x14ac:dyDescent="0.2">
      <c r="E299" t="s">
        <v>286</v>
      </c>
    </row>
    <row r="300" spans="5:5" x14ac:dyDescent="0.2">
      <c r="E300" t="s">
        <v>287</v>
      </c>
    </row>
    <row r="301" spans="5:5" x14ac:dyDescent="0.2">
      <c r="E301" t="s">
        <v>288</v>
      </c>
    </row>
    <row r="302" spans="5:5" x14ac:dyDescent="0.2">
      <c r="E302" t="s">
        <v>289</v>
      </c>
    </row>
    <row r="303" spans="5:5" x14ac:dyDescent="0.2">
      <c r="E303" t="s">
        <v>290</v>
      </c>
    </row>
    <row r="304" spans="5:5" x14ac:dyDescent="0.2">
      <c r="E304" t="s">
        <v>291</v>
      </c>
    </row>
    <row r="305" spans="5:5" x14ac:dyDescent="0.2">
      <c r="E305" t="s">
        <v>292</v>
      </c>
    </row>
    <row r="306" spans="5:5" x14ac:dyDescent="0.2">
      <c r="E306" t="s">
        <v>293</v>
      </c>
    </row>
  </sheetData>
  <mergeCells count="11">
    <mergeCell ref="C228:G228"/>
    <mergeCell ref="O253:P253"/>
    <mergeCell ref="Q253:R253"/>
    <mergeCell ref="S253:T253"/>
    <mergeCell ref="U253:V253"/>
    <mergeCell ref="C253:D253"/>
    <mergeCell ref="E253:F253"/>
    <mergeCell ref="G253:H253"/>
    <mergeCell ref="I253:J253"/>
    <mergeCell ref="K253:L253"/>
    <mergeCell ref="M253:N253"/>
  </mergeCells>
  <phoneticPr fontId="29" type="noConversion"/>
  <pageMargins left="0.7" right="0.7" top="0.75" bottom="0.75" header="0.3" footer="0.3"/>
  <pageSetup orientation="landscape" r:id="rId1"/>
  <rowBreaks count="3" manualBreakCount="3">
    <brk id="76" max="16383" man="1"/>
    <brk id="111" max="16383" man="1"/>
    <brk id="226" max="16383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5451A-F4CE-418C-B3FC-5BFD8741525C}">
  <sheetPr>
    <tabColor rgb="FFFF0000"/>
  </sheetPr>
  <dimension ref="B2:AT76"/>
  <sheetViews>
    <sheetView topLeftCell="A43" workbookViewId="0">
      <selection activeCell="P247" sqref="P247"/>
    </sheetView>
  </sheetViews>
  <sheetFormatPr defaultRowHeight="12.75" x14ac:dyDescent="0.2"/>
  <cols>
    <col min="2" max="2" width="22" bestFit="1" customWidth="1"/>
    <col min="4" max="7" width="44.5703125" bestFit="1" customWidth="1"/>
    <col min="8" max="8" width="45.5703125" bestFit="1" customWidth="1"/>
    <col min="9" max="12" width="49.28515625" bestFit="1" customWidth="1"/>
    <col min="13" max="13" width="50.42578125" bestFit="1" customWidth="1"/>
    <col min="14" max="15" width="49.28515625" bestFit="1" customWidth="1"/>
    <col min="16" max="16" width="14" bestFit="1" customWidth="1"/>
  </cols>
  <sheetData>
    <row r="2" spans="2:16" x14ac:dyDescent="0.2">
      <c r="B2" s="222" t="s">
        <v>438</v>
      </c>
    </row>
    <row r="7" spans="2:16" x14ac:dyDescent="0.2">
      <c r="D7" t="s">
        <v>112</v>
      </c>
      <c r="E7" t="s">
        <v>113</v>
      </c>
      <c r="F7" t="s">
        <v>114</v>
      </c>
      <c r="G7" t="s">
        <v>228</v>
      </c>
      <c r="H7" t="s">
        <v>115</v>
      </c>
      <c r="I7" t="s">
        <v>229</v>
      </c>
      <c r="J7" t="s">
        <v>230</v>
      </c>
      <c r="K7" t="s">
        <v>116</v>
      </c>
      <c r="L7" t="s">
        <v>231</v>
      </c>
      <c r="M7" t="s">
        <v>117</v>
      </c>
      <c r="N7" t="s">
        <v>118</v>
      </c>
      <c r="O7" t="s">
        <v>119</v>
      </c>
      <c r="P7" t="s">
        <v>64</v>
      </c>
    </row>
    <row r="9" spans="2:16" x14ac:dyDescent="0.2">
      <c r="B9" s="222" t="s">
        <v>234</v>
      </c>
      <c r="D9" t="s">
        <v>284</v>
      </c>
      <c r="E9" t="s">
        <v>284</v>
      </c>
      <c r="F9" t="s">
        <v>284</v>
      </c>
      <c r="G9" t="s">
        <v>284</v>
      </c>
      <c r="H9" t="s">
        <v>284</v>
      </c>
      <c r="I9" t="s">
        <v>284</v>
      </c>
      <c r="J9" t="s">
        <v>284</v>
      </c>
      <c r="K9" t="s">
        <v>284</v>
      </c>
      <c r="L9" t="s">
        <v>284</v>
      </c>
      <c r="M9" t="s">
        <v>284</v>
      </c>
      <c r="N9" t="s">
        <v>284</v>
      </c>
      <c r="O9" t="s">
        <v>284</v>
      </c>
    </row>
    <row r="10" spans="2:16" x14ac:dyDescent="0.2">
      <c r="D10" t="s">
        <v>311</v>
      </c>
      <c r="E10" t="s">
        <v>325</v>
      </c>
      <c r="F10" t="s">
        <v>333</v>
      </c>
      <c r="G10" t="s">
        <v>349</v>
      </c>
      <c r="H10" t="s">
        <v>294</v>
      </c>
      <c r="I10" t="s">
        <v>299</v>
      </c>
      <c r="J10" t="s">
        <v>304</v>
      </c>
      <c r="K10" t="s">
        <v>321</v>
      </c>
      <c r="L10" t="s">
        <v>285</v>
      </c>
      <c r="M10" t="s">
        <v>342</v>
      </c>
      <c r="N10" t="s">
        <v>338</v>
      </c>
      <c r="O10" t="s">
        <v>316</v>
      </c>
    </row>
    <row r="11" spans="2:16" x14ac:dyDescent="0.2">
      <c r="D11" t="s">
        <v>286</v>
      </c>
      <c r="E11" t="s">
        <v>286</v>
      </c>
      <c r="F11" t="s">
        <v>286</v>
      </c>
      <c r="G11" t="s">
        <v>286</v>
      </c>
      <c r="H11" t="s">
        <v>286</v>
      </c>
      <c r="I11" t="s">
        <v>286</v>
      </c>
      <c r="J11" t="s">
        <v>286</v>
      </c>
      <c r="K11" t="s">
        <v>286</v>
      </c>
      <c r="L11" t="s">
        <v>286</v>
      </c>
      <c r="M11" t="s">
        <v>286</v>
      </c>
      <c r="N11" t="s">
        <v>286</v>
      </c>
      <c r="O11" t="s">
        <v>286</v>
      </c>
    </row>
    <row r="12" spans="2:16" x14ac:dyDescent="0.2">
      <c r="D12" t="s">
        <v>312</v>
      </c>
      <c r="E12" t="s">
        <v>326</v>
      </c>
      <c r="F12" t="s">
        <v>334</v>
      </c>
      <c r="G12" t="s">
        <v>350</v>
      </c>
      <c r="H12" t="s">
        <v>295</v>
      </c>
      <c r="I12" t="s">
        <v>300</v>
      </c>
      <c r="J12" t="s">
        <v>305</v>
      </c>
      <c r="K12" t="s">
        <v>322</v>
      </c>
      <c r="L12" t="s">
        <v>287</v>
      </c>
      <c r="M12" t="s">
        <v>343</v>
      </c>
      <c r="N12" t="s">
        <v>339</v>
      </c>
      <c r="O12" t="s">
        <v>317</v>
      </c>
    </row>
    <row r="13" spans="2:16" x14ac:dyDescent="0.2">
      <c r="D13" t="s">
        <v>313</v>
      </c>
      <c r="E13" t="s">
        <v>327</v>
      </c>
      <c r="F13" t="s">
        <v>335</v>
      </c>
      <c r="G13" t="s">
        <v>351</v>
      </c>
      <c r="H13" t="s">
        <v>296</v>
      </c>
      <c r="I13" t="s">
        <v>301</v>
      </c>
      <c r="J13" t="s">
        <v>306</v>
      </c>
      <c r="K13" t="s">
        <v>323</v>
      </c>
      <c r="L13" t="s">
        <v>288</v>
      </c>
      <c r="M13" t="s">
        <v>344</v>
      </c>
      <c r="N13" t="s">
        <v>340</v>
      </c>
      <c r="O13" t="s">
        <v>318</v>
      </c>
    </row>
    <row r="14" spans="2:16" x14ac:dyDescent="0.2">
      <c r="D14" t="s">
        <v>314</v>
      </c>
      <c r="E14" t="s">
        <v>328</v>
      </c>
      <c r="F14" t="s">
        <v>336</v>
      </c>
      <c r="G14" t="s">
        <v>352</v>
      </c>
      <c r="H14" t="s">
        <v>297</v>
      </c>
      <c r="I14" t="s">
        <v>302</v>
      </c>
      <c r="J14" t="s">
        <v>307</v>
      </c>
      <c r="K14" t="s">
        <v>290</v>
      </c>
      <c r="L14" t="s">
        <v>289</v>
      </c>
      <c r="M14" t="s">
        <v>345</v>
      </c>
      <c r="N14" t="s">
        <v>290</v>
      </c>
      <c r="O14" t="s">
        <v>290</v>
      </c>
    </row>
    <row r="15" spans="2:16" x14ac:dyDescent="0.2">
      <c r="D15" t="s">
        <v>290</v>
      </c>
      <c r="E15" t="s">
        <v>329</v>
      </c>
      <c r="F15" t="s">
        <v>290</v>
      </c>
      <c r="G15" t="s">
        <v>290</v>
      </c>
      <c r="H15" t="s">
        <v>290</v>
      </c>
      <c r="I15" t="s">
        <v>290</v>
      </c>
      <c r="J15" t="s">
        <v>290</v>
      </c>
      <c r="K15" t="s">
        <v>324</v>
      </c>
      <c r="L15" t="s">
        <v>290</v>
      </c>
      <c r="M15" t="s">
        <v>290</v>
      </c>
      <c r="N15" t="s">
        <v>341</v>
      </c>
      <c r="O15" t="s">
        <v>319</v>
      </c>
    </row>
    <row r="16" spans="2:16" x14ac:dyDescent="0.2">
      <c r="D16" t="s">
        <v>315</v>
      </c>
      <c r="E16" t="s">
        <v>290</v>
      </c>
      <c r="F16" t="s">
        <v>337</v>
      </c>
      <c r="G16" t="s">
        <v>353</v>
      </c>
      <c r="H16" t="s">
        <v>298</v>
      </c>
      <c r="I16" t="s">
        <v>303</v>
      </c>
      <c r="J16" t="s">
        <v>308</v>
      </c>
      <c r="L16" t="s">
        <v>291</v>
      </c>
      <c r="M16" t="s">
        <v>346</v>
      </c>
      <c r="O16" t="s">
        <v>320</v>
      </c>
    </row>
    <row r="17" spans="2:46" x14ac:dyDescent="0.2">
      <c r="E17" t="s">
        <v>330</v>
      </c>
      <c r="J17" t="s">
        <v>309</v>
      </c>
      <c r="L17" t="s">
        <v>292</v>
      </c>
      <c r="M17" t="s">
        <v>347</v>
      </c>
    </row>
    <row r="18" spans="2:46" x14ac:dyDescent="0.2">
      <c r="E18" t="s">
        <v>331</v>
      </c>
      <c r="J18" t="s">
        <v>310</v>
      </c>
      <c r="L18" t="s">
        <v>293</v>
      </c>
      <c r="M18" t="s">
        <v>348</v>
      </c>
    </row>
    <row r="19" spans="2:46" x14ac:dyDescent="0.2">
      <c r="E19" t="s">
        <v>332</v>
      </c>
    </row>
    <row r="21" spans="2:46" x14ac:dyDescent="0.2">
      <c r="B21" t="s">
        <v>363</v>
      </c>
      <c r="D21" s="150">
        <v>3772800</v>
      </c>
      <c r="E21" s="150">
        <v>1958400</v>
      </c>
      <c r="F21" s="150">
        <v>2390400</v>
      </c>
      <c r="G21" s="150">
        <v>2239200</v>
      </c>
      <c r="H21" s="150">
        <v>2995200</v>
      </c>
      <c r="I21" s="150">
        <v>1972800</v>
      </c>
      <c r="J21" s="150">
        <v>7365600</v>
      </c>
      <c r="K21" s="150">
        <v>7876800</v>
      </c>
      <c r="L21" s="150">
        <v>7473600</v>
      </c>
      <c r="M21" s="150">
        <v>8330400</v>
      </c>
      <c r="N21" s="150">
        <v>8380800</v>
      </c>
      <c r="O21" s="150">
        <v>8640000</v>
      </c>
      <c r="P21" s="150">
        <f>SUM(D21:O21)</f>
        <v>63396000</v>
      </c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409"/>
      <c r="AN21" s="409"/>
      <c r="AO21" s="409"/>
      <c r="AP21" s="409"/>
      <c r="AQ21" s="409"/>
      <c r="AR21" s="409"/>
      <c r="AS21" s="409"/>
      <c r="AT21" s="409"/>
    </row>
    <row r="22" spans="2:46" x14ac:dyDescent="0.2"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409"/>
      <c r="AN22" s="409"/>
      <c r="AO22" s="409"/>
      <c r="AP22" s="409"/>
      <c r="AQ22" s="409"/>
      <c r="AR22" s="409"/>
      <c r="AS22" s="409"/>
      <c r="AT22" s="409"/>
    </row>
    <row r="23" spans="2:46" x14ac:dyDescent="0.2">
      <c r="B23" t="s">
        <v>10</v>
      </c>
      <c r="D23" s="409">
        <v>5726.7</v>
      </c>
      <c r="E23" s="409">
        <v>5726.7</v>
      </c>
      <c r="F23" s="409">
        <v>5726.7</v>
      </c>
      <c r="G23" s="409">
        <v>5726.7</v>
      </c>
      <c r="H23" s="409">
        <v>5726.7</v>
      </c>
      <c r="I23" s="409">
        <v>5726.7</v>
      </c>
      <c r="J23" s="409">
        <v>5726.7</v>
      </c>
      <c r="K23" s="409">
        <v>5726.7</v>
      </c>
      <c r="L23" s="409">
        <v>5726.7</v>
      </c>
      <c r="M23" s="409">
        <v>5726.7</v>
      </c>
      <c r="N23" s="409">
        <v>5726.7</v>
      </c>
      <c r="O23" s="409">
        <v>5726.7</v>
      </c>
      <c r="P23" s="409">
        <f t="shared" ref="P23:P34" si="0">SUM(D23:O23)</f>
        <v>68720.39999999998</v>
      </c>
      <c r="Q23" s="409"/>
      <c r="R23" s="409"/>
      <c r="S23" s="409"/>
      <c r="T23" s="409"/>
      <c r="U23" s="409"/>
      <c r="V23" s="409"/>
      <c r="W23" s="409"/>
      <c r="X23" s="409"/>
      <c r="Y23" s="409"/>
      <c r="Z23" s="409"/>
      <c r="AA23" s="409"/>
      <c r="AB23" s="409"/>
      <c r="AC23" s="409"/>
      <c r="AD23" s="409"/>
      <c r="AE23" s="409"/>
      <c r="AF23" s="409"/>
      <c r="AG23" s="409"/>
      <c r="AH23" s="409"/>
      <c r="AI23" s="409"/>
      <c r="AJ23" s="409"/>
      <c r="AK23" s="409"/>
      <c r="AL23" s="409"/>
      <c r="AM23" s="409"/>
      <c r="AN23" s="409"/>
      <c r="AO23" s="409"/>
      <c r="AP23" s="409"/>
      <c r="AQ23" s="409"/>
      <c r="AR23" s="409"/>
      <c r="AS23" s="409"/>
      <c r="AT23" s="409"/>
    </row>
    <row r="24" spans="2:46" x14ac:dyDescent="0.2">
      <c r="B24" t="s">
        <v>354</v>
      </c>
      <c r="D24" s="409">
        <v>150081.98000000001</v>
      </c>
      <c r="E24" s="409">
        <v>77905.149999999994</v>
      </c>
      <c r="F24" s="409">
        <v>95090.11</v>
      </c>
      <c r="G24" s="409">
        <v>89075.38</v>
      </c>
      <c r="H24" s="409">
        <v>119149.06</v>
      </c>
      <c r="I24" s="409">
        <v>78477.98</v>
      </c>
      <c r="J24" s="409">
        <v>293003.57</v>
      </c>
      <c r="K24" s="409">
        <v>313339.09999999998</v>
      </c>
      <c r="L24" s="409">
        <v>297299.81</v>
      </c>
      <c r="M24" s="409">
        <v>331383.31</v>
      </c>
      <c r="N24" s="409">
        <v>333388.21999999997</v>
      </c>
      <c r="O24" s="409">
        <v>343699.20000000001</v>
      </c>
      <c r="P24" s="409">
        <f t="shared" si="0"/>
        <v>2521892.87</v>
      </c>
      <c r="Q24" s="409"/>
      <c r="R24" s="409"/>
      <c r="S24" s="409"/>
      <c r="T24" s="409"/>
      <c r="U24" s="409"/>
      <c r="V24" s="409"/>
      <c r="W24" s="409"/>
      <c r="X24" s="409"/>
      <c r="Y24" s="409"/>
      <c r="Z24" s="409"/>
      <c r="AA24" s="409"/>
      <c r="AB24" s="409"/>
      <c r="AC24" s="409"/>
      <c r="AD24" s="409"/>
      <c r="AE24" s="409"/>
      <c r="AF24" s="409"/>
      <c r="AG24" s="409"/>
      <c r="AH24" s="409"/>
      <c r="AI24" s="409"/>
      <c r="AJ24" s="409"/>
      <c r="AK24" s="409"/>
      <c r="AL24" s="409"/>
      <c r="AM24" s="409"/>
      <c r="AN24" s="409"/>
      <c r="AO24" s="409"/>
      <c r="AP24" s="409"/>
      <c r="AQ24" s="409"/>
      <c r="AR24" s="409"/>
      <c r="AS24" s="409"/>
      <c r="AT24" s="409"/>
    </row>
    <row r="25" spans="2:46" x14ac:dyDescent="0.2">
      <c r="B25" t="s">
        <v>93</v>
      </c>
      <c r="D25" s="409">
        <v>87600</v>
      </c>
      <c r="E25" s="409">
        <v>87600</v>
      </c>
      <c r="F25" s="409">
        <v>87600</v>
      </c>
      <c r="G25" s="409">
        <v>87600</v>
      </c>
      <c r="H25" s="409">
        <v>87600</v>
      </c>
      <c r="I25" s="409">
        <v>87600</v>
      </c>
      <c r="J25" s="409">
        <v>87600</v>
      </c>
      <c r="K25" s="409">
        <v>87600</v>
      </c>
      <c r="L25" s="409">
        <v>87600</v>
      </c>
      <c r="M25" s="409">
        <v>87600</v>
      </c>
      <c r="N25" s="409">
        <v>87600</v>
      </c>
      <c r="O25" s="409"/>
      <c r="P25" s="409">
        <f t="shared" si="0"/>
        <v>963600</v>
      </c>
      <c r="Q25" s="409"/>
      <c r="R25" s="409"/>
      <c r="S25" s="409"/>
      <c r="T25" s="409"/>
      <c r="U25" s="409"/>
      <c r="V25" s="409"/>
      <c r="W25" s="409"/>
      <c r="X25" s="409"/>
      <c r="Y25" s="409"/>
      <c r="Z25" s="409"/>
      <c r="AA25" s="409"/>
      <c r="AB25" s="409"/>
      <c r="AC25" s="409"/>
      <c r="AD25" s="409"/>
      <c r="AE25" s="409"/>
      <c r="AF25" s="409"/>
      <c r="AG25" s="409"/>
      <c r="AH25" s="409"/>
      <c r="AI25" s="409"/>
      <c r="AJ25" s="409"/>
      <c r="AK25" s="409"/>
      <c r="AL25" s="409"/>
      <c r="AM25" s="409"/>
      <c r="AN25" s="409"/>
      <c r="AO25" s="409"/>
      <c r="AP25" s="409"/>
      <c r="AQ25" s="409"/>
      <c r="AR25" s="409"/>
      <c r="AS25" s="409"/>
      <c r="AT25" s="409"/>
    </row>
    <row r="26" spans="2:46" x14ac:dyDescent="0.2">
      <c r="B26" t="s">
        <v>355</v>
      </c>
      <c r="D26" s="409">
        <v>53334.19</v>
      </c>
      <c r="E26" s="409">
        <v>51352.97</v>
      </c>
      <c r="F26" s="409">
        <v>34045.99</v>
      </c>
      <c r="G26" s="409">
        <v>20300.36</v>
      </c>
      <c r="H26" s="409">
        <v>36486.93</v>
      </c>
      <c r="I26" s="409">
        <v>21231.67</v>
      </c>
      <c r="J26" s="409">
        <v>46586.68</v>
      </c>
      <c r="K26" s="409">
        <v>42910.44</v>
      </c>
      <c r="L26" s="409">
        <v>83750.66</v>
      </c>
      <c r="M26" s="409">
        <v>105286.26</v>
      </c>
      <c r="N26" s="409">
        <v>96968.37</v>
      </c>
      <c r="O26" s="409">
        <v>55885.25</v>
      </c>
      <c r="P26" s="409">
        <f t="shared" si="0"/>
        <v>648139.77</v>
      </c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09"/>
      <c r="AF26" s="409"/>
      <c r="AG26" s="409"/>
      <c r="AH26" s="409"/>
      <c r="AI26" s="409"/>
      <c r="AJ26" s="409"/>
      <c r="AK26" s="409"/>
      <c r="AL26" s="409"/>
      <c r="AM26" s="409"/>
      <c r="AN26" s="409"/>
      <c r="AO26" s="409"/>
      <c r="AP26" s="409"/>
      <c r="AQ26" s="409"/>
      <c r="AR26" s="409"/>
      <c r="AS26" s="409"/>
      <c r="AT26" s="409"/>
    </row>
    <row r="27" spans="2:46" x14ac:dyDescent="0.2">
      <c r="B27" t="s">
        <v>356</v>
      </c>
      <c r="D27" s="409"/>
      <c r="E27" s="409">
        <v>-49.24</v>
      </c>
      <c r="F27" s="409"/>
      <c r="G27" s="409"/>
      <c r="H27" s="409"/>
      <c r="I27" s="409"/>
      <c r="J27" s="409">
        <v>-12.18</v>
      </c>
      <c r="K27" s="409"/>
      <c r="L27" s="409">
        <v>-1447.42</v>
      </c>
      <c r="M27" s="409">
        <v>-158.43</v>
      </c>
      <c r="N27" s="409"/>
      <c r="O27" s="409"/>
      <c r="P27" s="409">
        <f t="shared" si="0"/>
        <v>-1667.2700000000002</v>
      </c>
      <c r="Q27" s="409"/>
      <c r="R27" s="409"/>
      <c r="S27" s="409"/>
      <c r="T27" s="409"/>
      <c r="U27" s="409"/>
      <c r="V27" s="409"/>
      <c r="W27" s="409"/>
      <c r="X27" s="409"/>
      <c r="Y27" s="409"/>
      <c r="Z27" s="409"/>
      <c r="AA27" s="409"/>
      <c r="AB27" s="409"/>
      <c r="AC27" s="409"/>
      <c r="AD27" s="409"/>
      <c r="AE27" s="409"/>
      <c r="AF27" s="409"/>
      <c r="AG27" s="409"/>
      <c r="AH27" s="409"/>
      <c r="AI27" s="409"/>
      <c r="AJ27" s="409"/>
      <c r="AK27" s="409"/>
      <c r="AL27" s="409"/>
      <c r="AM27" s="409"/>
      <c r="AN27" s="409"/>
      <c r="AO27" s="409"/>
      <c r="AP27" s="409"/>
      <c r="AQ27" s="409"/>
      <c r="AR27" s="409"/>
      <c r="AS27" s="409"/>
      <c r="AT27" s="409"/>
    </row>
    <row r="28" spans="2:46" x14ac:dyDescent="0.2">
      <c r="B28" t="s">
        <v>357</v>
      </c>
      <c r="D28" s="409">
        <v>13908.29</v>
      </c>
      <c r="E28" s="409">
        <v>38549.980000000003</v>
      </c>
      <c r="F28" s="409">
        <v>32625.99</v>
      </c>
      <c r="G28" s="409">
        <v>34673.230000000003</v>
      </c>
      <c r="H28" s="409">
        <v>24436.99</v>
      </c>
      <c r="I28" s="409">
        <v>38280.29</v>
      </c>
      <c r="J28" s="409"/>
      <c r="K28" s="409"/>
      <c r="L28" s="409"/>
      <c r="M28" s="409"/>
      <c r="N28" s="409"/>
      <c r="O28" s="409"/>
      <c r="P28" s="409">
        <f t="shared" si="0"/>
        <v>182474.77000000002</v>
      </c>
      <c r="Q28" s="409"/>
      <c r="R28" s="409"/>
      <c r="S28" s="409"/>
      <c r="T28" s="409"/>
      <c r="U28" s="409"/>
      <c r="V28" s="409"/>
      <c r="W28" s="409"/>
      <c r="X28" s="409"/>
      <c r="Y28" s="409"/>
      <c r="Z28" s="409"/>
      <c r="AA28" s="409"/>
      <c r="AB28" s="409"/>
      <c r="AC28" s="409"/>
      <c r="AD28" s="409"/>
      <c r="AE28" s="409"/>
      <c r="AF28" s="409"/>
      <c r="AG28" s="409"/>
      <c r="AH28" s="409"/>
      <c r="AI28" s="409"/>
      <c r="AJ28" s="409"/>
      <c r="AK28" s="409"/>
      <c r="AL28" s="409"/>
      <c r="AM28" s="409"/>
      <c r="AN28" s="409"/>
      <c r="AO28" s="409"/>
      <c r="AP28" s="409"/>
      <c r="AQ28" s="409"/>
      <c r="AR28" s="409"/>
      <c r="AS28" s="409"/>
      <c r="AT28" s="409"/>
    </row>
    <row r="29" spans="2:46" x14ac:dyDescent="0.2">
      <c r="B29" t="s">
        <v>358</v>
      </c>
      <c r="D29" s="409">
        <v>37243</v>
      </c>
      <c r="E29" s="409">
        <v>14959</v>
      </c>
      <c r="F29" s="409">
        <v>19790</v>
      </c>
      <c r="G29" s="409">
        <v>26284</v>
      </c>
      <c r="H29" s="409">
        <v>30271</v>
      </c>
      <c r="I29" s="409">
        <v>26578</v>
      </c>
      <c r="J29" s="409">
        <v>68618</v>
      </c>
      <c r="K29" s="409">
        <v>79780</v>
      </c>
      <c r="L29" s="409">
        <v>57532</v>
      </c>
      <c r="M29" s="409">
        <v>63952</v>
      </c>
      <c r="N29" s="409">
        <v>71664</v>
      </c>
      <c r="O29" s="409">
        <v>73074</v>
      </c>
      <c r="P29" s="409">
        <f t="shared" si="0"/>
        <v>569745</v>
      </c>
      <c r="Q29" s="409"/>
      <c r="R29" s="409"/>
      <c r="S29" s="409"/>
      <c r="T29" s="409"/>
      <c r="U29" s="409"/>
      <c r="V29" s="409"/>
      <c r="W29" s="409"/>
      <c r="X29" s="409"/>
      <c r="Y29" s="409"/>
      <c r="Z29" s="409"/>
      <c r="AA29" s="409"/>
      <c r="AB29" s="409"/>
      <c r="AC29" s="409"/>
      <c r="AD29" s="409"/>
      <c r="AE29" s="409"/>
      <c r="AF29" s="409"/>
      <c r="AG29" s="409"/>
      <c r="AH29" s="409"/>
      <c r="AI29" s="409"/>
      <c r="AJ29" s="409"/>
      <c r="AK29" s="409"/>
      <c r="AL29" s="409"/>
      <c r="AM29" s="409"/>
      <c r="AN29" s="409"/>
      <c r="AO29" s="409"/>
      <c r="AP29" s="409"/>
      <c r="AQ29" s="409"/>
      <c r="AR29" s="409"/>
      <c r="AS29" s="409"/>
      <c r="AT29" s="409"/>
    </row>
    <row r="30" spans="2:46" x14ac:dyDescent="0.2">
      <c r="B30" t="s">
        <v>359</v>
      </c>
      <c r="D30" s="409">
        <v>-61600</v>
      </c>
      <c r="E30" s="409">
        <v>-61600</v>
      </c>
      <c r="F30" s="409">
        <v>-61600</v>
      </c>
      <c r="G30" s="409">
        <v>-61600</v>
      </c>
      <c r="H30" s="409">
        <v>-61600</v>
      </c>
      <c r="I30" s="409">
        <v>-61600</v>
      </c>
      <c r="J30" s="409">
        <v>-61600</v>
      </c>
      <c r="K30" s="409">
        <v>-61600</v>
      </c>
      <c r="L30" s="409">
        <v>-61600</v>
      </c>
      <c r="M30" s="409">
        <v>-61600</v>
      </c>
      <c r="N30" s="409">
        <v>-61600</v>
      </c>
      <c r="O30" s="409">
        <v>-61600</v>
      </c>
      <c r="P30" s="409">
        <f t="shared" si="0"/>
        <v>-739200</v>
      </c>
      <c r="Q30" s="409"/>
      <c r="R30" s="409"/>
      <c r="S30" s="409"/>
      <c r="T30" s="409"/>
      <c r="U30" s="409"/>
      <c r="V30" s="409"/>
      <c r="W30" s="409"/>
      <c r="X30" s="409"/>
      <c r="Y30" s="409"/>
      <c r="Z30" s="409"/>
      <c r="AA30" s="409"/>
      <c r="AB30" s="409"/>
      <c r="AC30" s="409"/>
      <c r="AD30" s="409"/>
      <c r="AE30" s="409"/>
      <c r="AF30" s="409"/>
      <c r="AG30" s="409"/>
      <c r="AH30" s="409"/>
      <c r="AI30" s="409"/>
      <c r="AJ30" s="409"/>
      <c r="AK30" s="409"/>
      <c r="AL30" s="409"/>
      <c r="AM30" s="409"/>
      <c r="AN30" s="409"/>
      <c r="AO30" s="409"/>
      <c r="AP30" s="409"/>
      <c r="AQ30" s="409"/>
      <c r="AR30" s="409"/>
      <c r="AS30" s="409"/>
      <c r="AT30" s="409"/>
    </row>
    <row r="31" spans="2:46" x14ac:dyDescent="0.2">
      <c r="B31" t="s">
        <v>360</v>
      </c>
      <c r="D31" s="409"/>
      <c r="E31" s="409">
        <v>45</v>
      </c>
      <c r="F31" s="409"/>
      <c r="G31" s="409"/>
      <c r="H31" s="409"/>
      <c r="I31" s="409"/>
      <c r="J31" s="409">
        <v>125</v>
      </c>
      <c r="K31" s="409"/>
      <c r="L31" s="409">
        <v>5863.95</v>
      </c>
      <c r="M31" s="409">
        <v>759.01</v>
      </c>
      <c r="N31" s="409"/>
      <c r="O31" s="409"/>
      <c r="P31" s="409">
        <f t="shared" si="0"/>
        <v>6792.96</v>
      </c>
      <c r="Q31" s="409"/>
      <c r="R31" s="409"/>
      <c r="S31" s="409"/>
      <c r="T31" s="409"/>
      <c r="U31" s="409"/>
      <c r="V31" s="409"/>
      <c r="W31" s="409"/>
      <c r="X31" s="409"/>
      <c r="Y31" s="409"/>
      <c r="Z31" s="409"/>
      <c r="AA31" s="409"/>
      <c r="AB31" s="409"/>
      <c r="AC31" s="409"/>
      <c r="AD31" s="409"/>
      <c r="AE31" s="409"/>
      <c r="AF31" s="409"/>
      <c r="AG31" s="409"/>
      <c r="AH31" s="409"/>
      <c r="AI31" s="409"/>
      <c r="AJ31" s="409"/>
      <c r="AK31" s="409"/>
      <c r="AL31" s="409"/>
      <c r="AM31" s="409"/>
      <c r="AN31" s="409"/>
      <c r="AO31" s="409"/>
      <c r="AP31" s="409"/>
      <c r="AQ31" s="409"/>
      <c r="AR31" s="409"/>
      <c r="AS31" s="409"/>
      <c r="AT31" s="409"/>
    </row>
    <row r="32" spans="2:46" x14ac:dyDescent="0.2">
      <c r="B32" t="s">
        <v>361</v>
      </c>
      <c r="D32" s="409"/>
      <c r="E32" s="409">
        <v>-74.709999999999994</v>
      </c>
      <c r="F32" s="409"/>
      <c r="G32" s="409"/>
      <c r="H32" s="409"/>
      <c r="I32" s="409"/>
      <c r="J32" s="409">
        <v>-76.62</v>
      </c>
      <c r="K32" s="409"/>
      <c r="L32" s="409">
        <v>-5138.0600000000004</v>
      </c>
      <c r="M32" s="409">
        <v>-498.64</v>
      </c>
      <c r="N32" s="409"/>
      <c r="O32" s="409"/>
      <c r="P32" s="409">
        <f t="shared" si="0"/>
        <v>-5788.0300000000007</v>
      </c>
      <c r="Q32" s="409"/>
      <c r="R32" s="409"/>
      <c r="S32" s="409"/>
      <c r="T32" s="409"/>
      <c r="U32" s="409"/>
      <c r="V32" s="409"/>
      <c r="W32" s="409"/>
      <c r="X32" s="409"/>
      <c r="Y32" s="409"/>
      <c r="Z32" s="409"/>
      <c r="AA32" s="409"/>
      <c r="AB32" s="409"/>
      <c r="AC32" s="409"/>
      <c r="AD32" s="409"/>
      <c r="AE32" s="409"/>
      <c r="AF32" s="409"/>
      <c r="AG32" s="409"/>
      <c r="AH32" s="409"/>
      <c r="AI32" s="409"/>
      <c r="AJ32" s="409"/>
      <c r="AK32" s="409"/>
      <c r="AL32" s="409"/>
      <c r="AM32" s="409"/>
      <c r="AN32" s="409"/>
      <c r="AO32" s="409"/>
      <c r="AP32" s="409"/>
      <c r="AQ32" s="409"/>
      <c r="AR32" s="409"/>
      <c r="AS32" s="409"/>
      <c r="AT32" s="409"/>
    </row>
    <row r="33" spans="2:46" x14ac:dyDescent="0.2">
      <c r="B33" t="s">
        <v>364</v>
      </c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O33" s="409">
        <v>-52084.800000000003</v>
      </c>
      <c r="P33" s="409">
        <f t="shared" si="0"/>
        <v>-52084.800000000003</v>
      </c>
      <c r="Q33" s="409"/>
      <c r="R33" s="409"/>
      <c r="S33" s="409"/>
      <c r="T33" s="409"/>
      <c r="U33" s="409"/>
      <c r="V33" s="409"/>
      <c r="W33" s="409"/>
      <c r="X33" s="409"/>
      <c r="Y33" s="409"/>
      <c r="Z33" s="409"/>
      <c r="AA33" s="409"/>
      <c r="AB33" s="409"/>
      <c r="AC33" s="409"/>
      <c r="AD33" s="409"/>
      <c r="AE33" s="409"/>
      <c r="AF33" s="409"/>
      <c r="AG33" s="409"/>
      <c r="AH33" s="409"/>
      <c r="AI33" s="409"/>
      <c r="AJ33" s="409"/>
      <c r="AK33" s="409"/>
      <c r="AL33" s="409"/>
      <c r="AM33" s="409"/>
      <c r="AN33" s="409"/>
      <c r="AO33" s="409"/>
      <c r="AP33" s="409"/>
      <c r="AQ33" s="409"/>
      <c r="AR33" s="409"/>
      <c r="AS33" s="409"/>
      <c r="AT33" s="409"/>
    </row>
    <row r="34" spans="2:46" x14ac:dyDescent="0.2">
      <c r="B34" t="s">
        <v>362</v>
      </c>
      <c r="D34" s="409">
        <f>SUM(D23:D33)</f>
        <v>286294.15999999997</v>
      </c>
      <c r="E34" s="409">
        <f t="shared" ref="E34:O34" si="1">SUM(E23:E33)</f>
        <v>214414.85</v>
      </c>
      <c r="F34" s="409">
        <f t="shared" si="1"/>
        <v>213278.78999999998</v>
      </c>
      <c r="G34" s="409">
        <f t="shared" si="1"/>
        <v>202059.67000000004</v>
      </c>
      <c r="H34" s="409">
        <f t="shared" si="1"/>
        <v>242070.68</v>
      </c>
      <c r="I34" s="409">
        <f t="shared" si="1"/>
        <v>196294.63999999998</v>
      </c>
      <c r="J34" s="409">
        <f t="shared" si="1"/>
        <v>439971.15</v>
      </c>
      <c r="K34" s="409">
        <f t="shared" si="1"/>
        <v>467756.24</v>
      </c>
      <c r="L34" s="409">
        <f t="shared" si="1"/>
        <v>469587.64</v>
      </c>
      <c r="M34" s="409">
        <f t="shared" si="1"/>
        <v>532450.21</v>
      </c>
      <c r="N34" s="409">
        <f t="shared" si="1"/>
        <v>533747.29</v>
      </c>
      <c r="O34" s="409">
        <f t="shared" si="1"/>
        <v>364700.35000000003</v>
      </c>
      <c r="P34" s="409">
        <f t="shared" si="0"/>
        <v>4162625.67</v>
      </c>
      <c r="Q34" s="409"/>
      <c r="R34" s="409"/>
      <c r="S34" s="409"/>
      <c r="T34" s="409"/>
      <c r="U34" s="409"/>
      <c r="V34" s="409"/>
      <c r="W34" s="409"/>
      <c r="X34" s="409"/>
      <c r="Y34" s="409"/>
      <c r="Z34" s="409"/>
      <c r="AA34" s="409"/>
      <c r="AB34" s="409"/>
      <c r="AC34" s="409"/>
      <c r="AD34" s="409"/>
      <c r="AE34" s="409"/>
      <c r="AF34" s="409"/>
      <c r="AG34" s="409"/>
      <c r="AH34" s="409"/>
      <c r="AI34" s="409"/>
      <c r="AJ34" s="409"/>
      <c r="AK34" s="409"/>
      <c r="AL34" s="409"/>
      <c r="AM34" s="409"/>
      <c r="AN34" s="409"/>
      <c r="AO34" s="409"/>
      <c r="AP34" s="409"/>
      <c r="AQ34" s="409"/>
      <c r="AR34" s="409"/>
      <c r="AS34" s="409"/>
      <c r="AT34" s="409"/>
    </row>
    <row r="35" spans="2:46" x14ac:dyDescent="0.2">
      <c r="D35" s="409"/>
      <c r="E35" s="409"/>
      <c r="F35" s="409"/>
      <c r="G35" s="409"/>
      <c r="H35" s="409"/>
      <c r="I35" s="409"/>
      <c r="J35" s="409"/>
      <c r="K35" s="409"/>
      <c r="L35" s="409"/>
      <c r="M35" s="409"/>
      <c r="N35" s="409"/>
      <c r="O35" s="409"/>
      <c r="P35" s="409"/>
      <c r="Q35" s="409"/>
      <c r="R35" s="409"/>
      <c r="S35" s="409"/>
      <c r="T35" s="409"/>
      <c r="U35" s="409"/>
      <c r="V35" s="409"/>
      <c r="W35" s="409"/>
      <c r="X35" s="409"/>
      <c r="Y35" s="409"/>
      <c r="Z35" s="409"/>
      <c r="AA35" s="409"/>
      <c r="AB35" s="409"/>
      <c r="AC35" s="409"/>
      <c r="AD35" s="409"/>
      <c r="AE35" s="409"/>
      <c r="AF35" s="409"/>
      <c r="AG35" s="409"/>
      <c r="AH35" s="409"/>
      <c r="AI35" s="409"/>
      <c r="AJ35" s="409"/>
      <c r="AK35" s="409"/>
      <c r="AL35" s="409"/>
      <c r="AM35" s="409"/>
      <c r="AN35" s="409"/>
      <c r="AO35" s="409"/>
      <c r="AP35" s="409"/>
      <c r="AQ35" s="409"/>
      <c r="AR35" s="409"/>
      <c r="AS35" s="409"/>
      <c r="AT35" s="409"/>
    </row>
    <row r="39" spans="2:46" x14ac:dyDescent="0.2">
      <c r="B39" s="222" t="s">
        <v>237</v>
      </c>
    </row>
    <row r="40" spans="2:46" x14ac:dyDescent="0.2">
      <c r="B40" s="152"/>
    </row>
    <row r="41" spans="2:46" x14ac:dyDescent="0.2">
      <c r="B41" s="152"/>
    </row>
    <row r="44" spans="2:46" x14ac:dyDescent="0.2">
      <c r="D44" t="s">
        <v>365</v>
      </c>
      <c r="E44" t="s">
        <v>365</v>
      </c>
      <c r="F44" t="s">
        <v>365</v>
      </c>
      <c r="G44" t="s">
        <v>365</v>
      </c>
      <c r="H44" t="s">
        <v>365</v>
      </c>
      <c r="I44" t="s">
        <v>365</v>
      </c>
      <c r="J44" t="s">
        <v>365</v>
      </c>
      <c r="K44" t="s">
        <v>365</v>
      </c>
      <c r="L44" t="s">
        <v>365</v>
      </c>
      <c r="M44" t="s">
        <v>365</v>
      </c>
      <c r="N44" t="s">
        <v>365</v>
      </c>
      <c r="O44" t="s">
        <v>365</v>
      </c>
    </row>
    <row r="45" spans="2:46" x14ac:dyDescent="0.2">
      <c r="D45" t="s">
        <v>398</v>
      </c>
      <c r="E45" t="s">
        <v>379</v>
      </c>
      <c r="F45" t="s">
        <v>366</v>
      </c>
      <c r="G45" t="s">
        <v>392</v>
      </c>
      <c r="H45" t="s">
        <v>422</v>
      </c>
      <c r="I45" t="s">
        <v>372</v>
      </c>
      <c r="J45" t="s">
        <v>388</v>
      </c>
      <c r="K45" t="s">
        <v>411</v>
      </c>
      <c r="L45" t="s">
        <v>426</v>
      </c>
      <c r="M45" t="s">
        <v>415</v>
      </c>
      <c r="N45" t="s">
        <v>407</v>
      </c>
      <c r="O45" t="s">
        <v>402</v>
      </c>
    </row>
    <row r="46" spans="2:46" x14ac:dyDescent="0.2">
      <c r="D46" t="s">
        <v>380</v>
      </c>
      <c r="E46" t="s">
        <v>380</v>
      </c>
      <c r="F46" t="s">
        <v>367</v>
      </c>
      <c r="G46" t="s">
        <v>393</v>
      </c>
      <c r="H46" t="s">
        <v>373</v>
      </c>
      <c r="I46" t="s">
        <v>373</v>
      </c>
      <c r="J46" t="s">
        <v>373</v>
      </c>
      <c r="K46" t="s">
        <v>373</v>
      </c>
      <c r="L46" t="s">
        <v>373</v>
      </c>
      <c r="M46" t="s">
        <v>373</v>
      </c>
      <c r="N46" t="s">
        <v>373</v>
      </c>
      <c r="O46" t="s">
        <v>373</v>
      </c>
    </row>
    <row r="47" spans="2:46" x14ac:dyDescent="0.2">
      <c r="D47" t="s">
        <v>399</v>
      </c>
      <c r="E47" t="s">
        <v>381</v>
      </c>
      <c r="F47" t="s">
        <v>368</v>
      </c>
      <c r="G47" t="s">
        <v>394</v>
      </c>
      <c r="H47" t="s">
        <v>423</v>
      </c>
      <c r="I47" t="s">
        <v>374</v>
      </c>
      <c r="J47" t="s">
        <v>389</v>
      </c>
      <c r="K47" t="s">
        <v>412</v>
      </c>
      <c r="L47" t="s">
        <v>427</v>
      </c>
      <c r="M47" t="s">
        <v>416</v>
      </c>
      <c r="N47" t="s">
        <v>408</v>
      </c>
      <c r="O47" t="s">
        <v>403</v>
      </c>
    </row>
    <row r="48" spans="2:46" x14ac:dyDescent="0.2">
      <c r="D48" t="s">
        <v>400</v>
      </c>
      <c r="E48" t="s">
        <v>382</v>
      </c>
      <c r="F48" t="s">
        <v>369</v>
      </c>
      <c r="G48" t="s">
        <v>395</v>
      </c>
      <c r="H48" t="s">
        <v>424</v>
      </c>
      <c r="I48" t="s">
        <v>375</v>
      </c>
      <c r="J48" t="s">
        <v>390</v>
      </c>
      <c r="K48" t="s">
        <v>413</v>
      </c>
      <c r="L48" t="s">
        <v>428</v>
      </c>
      <c r="M48" t="s">
        <v>417</v>
      </c>
      <c r="N48" t="s">
        <v>409</v>
      </c>
      <c r="O48" t="s">
        <v>404</v>
      </c>
    </row>
    <row r="49" spans="2:16" x14ac:dyDescent="0.2">
      <c r="D49" t="s">
        <v>384</v>
      </c>
      <c r="E49" t="s">
        <v>383</v>
      </c>
      <c r="F49" t="s">
        <v>370</v>
      </c>
      <c r="G49" t="s">
        <v>396</v>
      </c>
      <c r="H49" t="s">
        <v>377</v>
      </c>
      <c r="I49" t="s">
        <v>376</v>
      </c>
      <c r="J49" t="s">
        <v>377</v>
      </c>
      <c r="K49" t="s">
        <v>377</v>
      </c>
      <c r="L49" t="s">
        <v>429</v>
      </c>
      <c r="M49" t="s">
        <v>418</v>
      </c>
      <c r="N49" t="s">
        <v>377</v>
      </c>
      <c r="O49" t="s">
        <v>377</v>
      </c>
    </row>
    <row r="50" spans="2:16" x14ac:dyDescent="0.2">
      <c r="D50" t="s">
        <v>401</v>
      </c>
      <c r="E50" t="s">
        <v>384</v>
      </c>
      <c r="F50" t="s">
        <v>371</v>
      </c>
      <c r="G50" t="s">
        <v>397</v>
      </c>
      <c r="H50" t="s">
        <v>425</v>
      </c>
      <c r="I50" t="s">
        <v>377</v>
      </c>
      <c r="J50" t="s">
        <v>391</v>
      </c>
      <c r="K50" t="s">
        <v>414</v>
      </c>
      <c r="L50" t="s">
        <v>377</v>
      </c>
      <c r="M50" t="s">
        <v>377</v>
      </c>
      <c r="N50" t="s">
        <v>410</v>
      </c>
      <c r="O50" t="s">
        <v>405</v>
      </c>
    </row>
    <row r="51" spans="2:16" x14ac:dyDescent="0.2">
      <c r="E51" t="s">
        <v>385</v>
      </c>
      <c r="I51" t="s">
        <v>378</v>
      </c>
      <c r="L51" t="s">
        <v>430</v>
      </c>
      <c r="M51" t="s">
        <v>419</v>
      </c>
      <c r="O51" t="s">
        <v>406</v>
      </c>
    </row>
    <row r="52" spans="2:16" x14ac:dyDescent="0.2">
      <c r="E52" t="s">
        <v>386</v>
      </c>
      <c r="L52" t="s">
        <v>431</v>
      </c>
      <c r="M52" t="s">
        <v>420</v>
      </c>
    </row>
    <row r="53" spans="2:16" x14ac:dyDescent="0.2">
      <c r="E53" t="s">
        <v>387</v>
      </c>
      <c r="L53" t="s">
        <v>432</v>
      </c>
      <c r="M53" t="s">
        <v>421</v>
      </c>
    </row>
    <row r="56" spans="2:16" s="150" customFormat="1" x14ac:dyDescent="0.2">
      <c r="B56" s="361" t="s">
        <v>8</v>
      </c>
      <c r="D56" s="150">
        <v>3799800</v>
      </c>
      <c r="E56" s="150">
        <v>4208400</v>
      </c>
      <c r="F56" s="150">
        <v>4858200</v>
      </c>
      <c r="G56" s="150">
        <v>4824000</v>
      </c>
      <c r="H56" s="150">
        <v>4548600</v>
      </c>
      <c r="I56" s="150">
        <v>1436400</v>
      </c>
      <c r="J56" s="150">
        <v>4458600</v>
      </c>
      <c r="K56" s="150">
        <v>5290200</v>
      </c>
      <c r="L56" s="150">
        <v>5387400</v>
      </c>
      <c r="M56" s="150">
        <v>5380200</v>
      </c>
      <c r="N56" s="150">
        <v>5329800</v>
      </c>
      <c r="O56" s="150">
        <v>5646600</v>
      </c>
      <c r="P56" s="150">
        <f>SUM(D56:O56)</f>
        <v>55168200</v>
      </c>
    </row>
    <row r="57" spans="2:16" x14ac:dyDescent="0.2">
      <c r="P57" s="410"/>
    </row>
    <row r="58" spans="2:16" x14ac:dyDescent="0.2">
      <c r="B58" s="152" t="s">
        <v>10</v>
      </c>
      <c r="D58" s="409">
        <v>3025.05</v>
      </c>
      <c r="E58" s="409">
        <v>3025.05</v>
      </c>
      <c r="F58" s="409">
        <v>3025.05</v>
      </c>
      <c r="G58" s="409">
        <v>3025.05</v>
      </c>
      <c r="H58" s="409">
        <v>3025.05</v>
      </c>
      <c r="I58" s="409">
        <v>3025.05</v>
      </c>
      <c r="J58" s="409">
        <v>3025.05</v>
      </c>
      <c r="K58" s="409">
        <v>3025.05</v>
      </c>
      <c r="L58" s="409">
        <v>3025.05</v>
      </c>
      <c r="M58" s="409">
        <v>3025.05</v>
      </c>
      <c r="N58" s="409">
        <v>3025.05</v>
      </c>
      <c r="O58" s="409">
        <v>3025.05</v>
      </c>
      <c r="P58" s="409">
        <f t="shared" ref="P58:P68" si="2">SUM(D58:O58)</f>
        <v>36300.6</v>
      </c>
    </row>
    <row r="59" spans="2:16" x14ac:dyDescent="0.2">
      <c r="B59" s="152" t="s">
        <v>354</v>
      </c>
      <c r="D59" s="409">
        <v>162950.62</v>
      </c>
      <c r="E59" s="409">
        <v>180473.03</v>
      </c>
      <c r="F59" s="409">
        <v>208339.05</v>
      </c>
      <c r="G59" s="409">
        <v>206872.42</v>
      </c>
      <c r="H59" s="409">
        <v>195062.16</v>
      </c>
      <c r="I59" s="409">
        <v>61598.58</v>
      </c>
      <c r="J59" s="409">
        <v>191202.6</v>
      </c>
      <c r="K59" s="409">
        <v>226864.94</v>
      </c>
      <c r="L59" s="409">
        <v>231033.26</v>
      </c>
      <c r="M59" s="409">
        <v>230724.5</v>
      </c>
      <c r="N59" s="409">
        <v>228563.14</v>
      </c>
      <c r="O59" s="409">
        <v>242148.79</v>
      </c>
      <c r="P59" s="409">
        <f t="shared" si="2"/>
        <v>2365833.09</v>
      </c>
    </row>
    <row r="60" spans="2:16" x14ac:dyDescent="0.2">
      <c r="B60" s="152" t="s">
        <v>93</v>
      </c>
      <c r="D60" s="409">
        <v>62974.42</v>
      </c>
      <c r="E60" s="409">
        <v>62974.42</v>
      </c>
      <c r="F60" s="409">
        <v>62246.39</v>
      </c>
      <c r="G60" s="409">
        <v>61086.94</v>
      </c>
      <c r="H60" s="409">
        <v>59920</v>
      </c>
      <c r="I60" s="409">
        <v>59920</v>
      </c>
      <c r="J60" s="409">
        <v>59920</v>
      </c>
      <c r="K60" s="409">
        <v>59920</v>
      </c>
      <c r="L60" s="409">
        <v>59920</v>
      </c>
      <c r="M60" s="409">
        <v>59920</v>
      </c>
      <c r="N60" s="409">
        <v>59920</v>
      </c>
      <c r="O60" s="409">
        <v>59920</v>
      </c>
      <c r="P60" s="409">
        <f t="shared" si="2"/>
        <v>728642.16999999993</v>
      </c>
    </row>
    <row r="61" spans="2:16" x14ac:dyDescent="0.2">
      <c r="B61" s="152" t="s">
        <v>433</v>
      </c>
      <c r="D61" s="409">
        <v>53715.87</v>
      </c>
      <c r="E61" s="409">
        <v>110352.24</v>
      </c>
      <c r="F61" s="409">
        <v>69194.37</v>
      </c>
      <c r="G61" s="409">
        <v>43733.9</v>
      </c>
      <c r="H61" s="409">
        <v>55410.14</v>
      </c>
      <c r="I61" s="409">
        <v>15458.82</v>
      </c>
      <c r="J61" s="409">
        <v>28200.2</v>
      </c>
      <c r="K61" s="409">
        <v>28819.42</v>
      </c>
      <c r="L61" s="409">
        <v>60372.28</v>
      </c>
      <c r="M61" s="409">
        <v>67999.27</v>
      </c>
      <c r="N61" s="409">
        <v>61667.38</v>
      </c>
      <c r="O61" s="409">
        <v>36523.339999999997</v>
      </c>
      <c r="P61" s="409">
        <f t="shared" si="2"/>
        <v>631447.23</v>
      </c>
    </row>
    <row r="62" spans="2:16" x14ac:dyDescent="0.2">
      <c r="B62" s="152" t="s">
        <v>356</v>
      </c>
      <c r="D62" s="409"/>
      <c r="E62" s="409"/>
      <c r="F62" s="409"/>
      <c r="G62" s="409"/>
      <c r="H62" s="409"/>
      <c r="I62" s="409"/>
      <c r="J62" s="409"/>
      <c r="K62" s="409"/>
      <c r="L62" s="409">
        <v>-1448.84</v>
      </c>
      <c r="M62" s="409">
        <v>-60.68</v>
      </c>
      <c r="N62" s="409"/>
      <c r="O62" s="409"/>
      <c r="P62" s="409">
        <f t="shared" si="2"/>
        <v>-1509.52</v>
      </c>
    </row>
    <row r="63" spans="2:16" x14ac:dyDescent="0.2">
      <c r="B63" s="152" t="s">
        <v>437</v>
      </c>
      <c r="D63" s="409"/>
      <c r="E63" s="409"/>
      <c r="F63" s="409"/>
      <c r="G63" s="409"/>
      <c r="H63" s="409"/>
      <c r="I63" s="409">
        <v>29353.360000000001</v>
      </c>
      <c r="J63" s="409"/>
      <c r="K63" s="409"/>
      <c r="L63" s="409"/>
      <c r="M63" s="409"/>
      <c r="N63" s="409"/>
      <c r="O63" s="409"/>
      <c r="P63" s="409"/>
    </row>
    <row r="64" spans="2:16" x14ac:dyDescent="0.2">
      <c r="B64" s="152" t="s">
        <v>358</v>
      </c>
      <c r="D64" s="409">
        <v>36223</v>
      </c>
      <c r="E64" s="409">
        <v>22266</v>
      </c>
      <c r="F64" s="409">
        <v>30865</v>
      </c>
      <c r="G64" s="409">
        <v>42203</v>
      </c>
      <c r="H64" s="409">
        <v>40061</v>
      </c>
      <c r="I64" s="409">
        <v>20320</v>
      </c>
      <c r="J64" s="409">
        <v>44344</v>
      </c>
      <c r="K64" s="409">
        <v>56388</v>
      </c>
      <c r="L64" s="409">
        <v>43152</v>
      </c>
      <c r="M64" s="409">
        <v>43584</v>
      </c>
      <c r="N64" s="409">
        <v>48262</v>
      </c>
      <c r="O64" s="409">
        <v>50550</v>
      </c>
      <c r="P64" s="409">
        <f t="shared" si="2"/>
        <v>478218</v>
      </c>
    </row>
    <row r="65" spans="2:16" x14ac:dyDescent="0.2">
      <c r="B65" s="152" t="s">
        <v>434</v>
      </c>
      <c r="D65" s="409">
        <v>-41483.68</v>
      </c>
      <c r="E65" s="409">
        <v>-41483.68</v>
      </c>
      <c r="F65" s="409">
        <v>-40939.360000000001</v>
      </c>
      <c r="G65" s="409">
        <v>-40072.480000000003</v>
      </c>
      <c r="H65" s="409">
        <v>-39200</v>
      </c>
      <c r="I65" s="409">
        <v>-39200</v>
      </c>
      <c r="J65" s="409">
        <v>-39200</v>
      </c>
      <c r="K65" s="409">
        <v>-39200</v>
      </c>
      <c r="L65" s="409">
        <v>-39200</v>
      </c>
      <c r="M65" s="409">
        <v>-39200</v>
      </c>
      <c r="N65" s="409">
        <v>-39200</v>
      </c>
      <c r="O65" s="409">
        <v>-39200</v>
      </c>
      <c r="P65" s="409">
        <f t="shared" si="2"/>
        <v>-477579.2</v>
      </c>
    </row>
    <row r="66" spans="2:16" x14ac:dyDescent="0.2">
      <c r="B66" s="152" t="s">
        <v>435</v>
      </c>
      <c r="D66" s="409"/>
      <c r="E66" s="409"/>
      <c r="F66" s="409"/>
      <c r="G66" s="409"/>
      <c r="H66" s="409"/>
      <c r="I66" s="409"/>
      <c r="J66" s="409"/>
      <c r="K66" s="409"/>
      <c r="L66" s="409">
        <v>5864.03</v>
      </c>
      <c r="M66" s="409">
        <v>254</v>
      </c>
      <c r="N66" s="409"/>
      <c r="O66" s="409"/>
      <c r="P66" s="409">
        <f t="shared" si="2"/>
        <v>6118.03</v>
      </c>
    </row>
    <row r="67" spans="2:16" x14ac:dyDescent="0.2">
      <c r="B67" s="152" t="s">
        <v>436</v>
      </c>
      <c r="D67" s="409"/>
      <c r="E67" s="409"/>
      <c r="F67" s="409"/>
      <c r="G67" s="409"/>
      <c r="H67" s="409"/>
      <c r="I67" s="409"/>
      <c r="J67" s="409"/>
      <c r="K67" s="409"/>
      <c r="L67" s="409">
        <v>-5544.43</v>
      </c>
      <c r="M67" s="409">
        <v>-205.89</v>
      </c>
      <c r="N67" s="409"/>
      <c r="O67" s="409"/>
      <c r="P67" s="409">
        <f t="shared" si="2"/>
        <v>-5750.3200000000006</v>
      </c>
    </row>
    <row r="68" spans="2:16" x14ac:dyDescent="0.2">
      <c r="B68" s="152" t="s">
        <v>364</v>
      </c>
      <c r="D68" s="409"/>
      <c r="E68" s="409"/>
      <c r="F68" s="409"/>
      <c r="G68" s="409"/>
      <c r="H68" s="409"/>
      <c r="I68" s="409"/>
      <c r="J68" s="409"/>
      <c r="K68" s="409"/>
      <c r="L68" s="409"/>
      <c r="M68" s="409"/>
      <c r="N68" s="409"/>
      <c r="O68" s="409">
        <v>-36719.760000000002</v>
      </c>
      <c r="P68" s="409">
        <f t="shared" si="2"/>
        <v>-36719.760000000002</v>
      </c>
    </row>
    <row r="69" spans="2:16" x14ac:dyDescent="0.2">
      <c r="B69" s="152" t="s">
        <v>362</v>
      </c>
      <c r="D69" s="409">
        <f t="shared" ref="D69:N69" si="3">SUM(D58:D68)</f>
        <v>277405.27999999997</v>
      </c>
      <c r="E69" s="409">
        <f t="shared" si="3"/>
        <v>337607.06</v>
      </c>
      <c r="F69" s="409">
        <f t="shared" si="3"/>
        <v>332730.5</v>
      </c>
      <c r="G69" s="409">
        <f t="shared" si="3"/>
        <v>316848.83000000007</v>
      </c>
      <c r="H69" s="409">
        <f t="shared" si="3"/>
        <v>314278.34999999998</v>
      </c>
      <c r="I69" s="409">
        <f t="shared" si="3"/>
        <v>150475.81</v>
      </c>
      <c r="J69" s="409">
        <f t="shared" si="3"/>
        <v>287491.84999999998</v>
      </c>
      <c r="K69" s="409">
        <f t="shared" si="3"/>
        <v>335817.41</v>
      </c>
      <c r="L69" s="409">
        <f t="shared" si="3"/>
        <v>357173.35</v>
      </c>
      <c r="M69" s="409">
        <f t="shared" si="3"/>
        <v>366040.25</v>
      </c>
      <c r="N69" s="409">
        <f t="shared" si="3"/>
        <v>362237.57</v>
      </c>
      <c r="O69" s="409">
        <f>SUM(O58:O68)</f>
        <v>316247.41999999993</v>
      </c>
      <c r="P69" s="409">
        <f>SUM(P58:P68)</f>
        <v>3725000.3200000003</v>
      </c>
    </row>
    <row r="70" spans="2:16" x14ac:dyDescent="0.2">
      <c r="D70" s="409"/>
      <c r="E70" s="409"/>
      <c r="F70" s="409"/>
      <c r="G70" s="409"/>
      <c r="H70" s="409"/>
      <c r="I70" s="409"/>
      <c r="J70" s="409"/>
      <c r="K70" s="409"/>
      <c r="L70" s="409"/>
      <c r="M70" s="409"/>
      <c r="N70" s="409"/>
      <c r="O70" s="409"/>
    </row>
    <row r="71" spans="2:16" x14ac:dyDescent="0.2">
      <c r="E71" s="409"/>
      <c r="F71" s="409"/>
      <c r="G71" s="409"/>
      <c r="H71" s="409"/>
      <c r="I71" s="409"/>
      <c r="J71" s="409"/>
      <c r="K71" s="409"/>
      <c r="L71" s="409"/>
      <c r="M71" s="409"/>
      <c r="N71" s="409"/>
      <c r="O71" s="409"/>
    </row>
    <row r="72" spans="2:16" x14ac:dyDescent="0.2">
      <c r="E72" s="409"/>
      <c r="F72" s="409"/>
      <c r="G72" s="409"/>
      <c r="H72" s="409"/>
      <c r="I72" s="409"/>
      <c r="J72" s="409"/>
      <c r="K72" s="409"/>
      <c r="L72" s="409"/>
      <c r="M72" s="409"/>
      <c r="N72" s="409"/>
      <c r="O72" s="409"/>
    </row>
    <row r="73" spans="2:16" x14ac:dyDescent="0.2">
      <c r="E73" s="409"/>
      <c r="F73" s="409"/>
      <c r="G73" s="409"/>
      <c r="H73" s="409"/>
      <c r="I73" s="409"/>
      <c r="J73" s="409"/>
      <c r="K73" s="409"/>
      <c r="L73" s="409"/>
      <c r="M73" s="409"/>
      <c r="N73" s="409"/>
      <c r="O73" s="409"/>
    </row>
    <row r="74" spans="2:16" x14ac:dyDescent="0.2">
      <c r="E74" s="409"/>
      <c r="F74" s="409"/>
      <c r="G74" s="409"/>
      <c r="H74" s="409"/>
      <c r="I74" s="409"/>
      <c r="J74" s="409"/>
      <c r="K74" s="409"/>
      <c r="L74" s="409"/>
      <c r="M74" s="409"/>
      <c r="N74" s="409"/>
      <c r="O74" s="409"/>
    </row>
    <row r="75" spans="2:16" x14ac:dyDescent="0.2">
      <c r="E75" s="409"/>
      <c r="F75" s="409"/>
      <c r="G75" s="409"/>
      <c r="H75" s="409"/>
      <c r="I75" s="409"/>
      <c r="J75" s="409"/>
      <c r="K75" s="409"/>
      <c r="L75" s="409"/>
      <c r="M75" s="409"/>
      <c r="N75" s="409"/>
      <c r="O75" s="409"/>
    </row>
    <row r="76" spans="2:16" x14ac:dyDescent="0.2">
      <c r="E76" s="409"/>
      <c r="F76" s="409"/>
      <c r="G76" s="409"/>
      <c r="H76" s="409"/>
      <c r="I76" s="409"/>
      <c r="J76" s="409"/>
      <c r="K76" s="409"/>
      <c r="L76" s="409"/>
      <c r="M76" s="409"/>
      <c r="N76" s="409"/>
      <c r="O76" s="409"/>
    </row>
  </sheetData>
  <phoneticPr fontId="36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  <pageSetUpPr fitToPage="1"/>
  </sheetPr>
  <dimension ref="A1:I16"/>
  <sheetViews>
    <sheetView zoomScaleNormal="100" workbookViewId="0">
      <selection activeCell="P247" sqref="P247"/>
    </sheetView>
  </sheetViews>
  <sheetFormatPr defaultRowHeight="12.75" x14ac:dyDescent="0.2"/>
  <cols>
    <col min="1" max="1" width="9.140625" style="154"/>
    <col min="2" max="2" width="39.140625" bestFit="1" customWidth="1"/>
    <col min="5" max="5" width="39.140625" bestFit="1" customWidth="1"/>
    <col min="8" max="8" width="36.7109375" bestFit="1" customWidth="1"/>
  </cols>
  <sheetData>
    <row r="1" spans="1:9" x14ac:dyDescent="0.2">
      <c r="A1" s="189" t="str">
        <f>'Present and Proposed Rates'!A1</f>
        <v>Cumberland Valley Electric</v>
      </c>
    </row>
    <row r="2" spans="1:9" x14ac:dyDescent="0.2">
      <c r="A2" s="189" t="s">
        <v>125</v>
      </c>
    </row>
    <row r="3" spans="1:9" x14ac:dyDescent="0.2">
      <c r="A3" s="153"/>
    </row>
    <row r="4" spans="1:9" x14ac:dyDescent="0.2">
      <c r="A4" s="153" t="s">
        <v>109</v>
      </c>
      <c r="B4" s="190" t="s">
        <v>5</v>
      </c>
      <c r="C4" s="190" t="s">
        <v>60</v>
      </c>
    </row>
    <row r="6" spans="1:9" x14ac:dyDescent="0.2">
      <c r="A6" s="154">
        <v>1</v>
      </c>
      <c r="B6" t="s">
        <v>134</v>
      </c>
      <c r="C6" s="154" t="s">
        <v>128</v>
      </c>
      <c r="H6" s="152"/>
      <c r="I6" s="152"/>
    </row>
    <row r="7" spans="1:9" x14ac:dyDescent="0.2">
      <c r="A7" s="154">
        <v>2</v>
      </c>
      <c r="B7" t="s">
        <v>142</v>
      </c>
      <c r="C7" s="154" t="s">
        <v>141</v>
      </c>
      <c r="H7" s="152"/>
    </row>
    <row r="8" spans="1:9" x14ac:dyDescent="0.2">
      <c r="A8" s="154">
        <v>3</v>
      </c>
      <c r="B8" t="s">
        <v>136</v>
      </c>
      <c r="C8" s="154" t="s">
        <v>129</v>
      </c>
      <c r="H8" s="152"/>
    </row>
    <row r="9" spans="1:9" x14ac:dyDescent="0.2">
      <c r="A9" s="154">
        <v>4</v>
      </c>
      <c r="B9" t="s">
        <v>136</v>
      </c>
      <c r="C9" s="154" t="s">
        <v>130</v>
      </c>
      <c r="H9" s="152"/>
      <c r="I9" s="152"/>
    </row>
    <row r="10" spans="1:9" x14ac:dyDescent="0.2">
      <c r="A10" s="154">
        <v>5</v>
      </c>
      <c r="B10" t="s">
        <v>135</v>
      </c>
      <c r="C10" s="154" t="s">
        <v>133</v>
      </c>
      <c r="H10" s="152"/>
      <c r="I10" s="152"/>
    </row>
    <row r="11" spans="1:9" x14ac:dyDescent="0.2">
      <c r="A11" s="154">
        <v>6</v>
      </c>
      <c r="B11" t="s">
        <v>137</v>
      </c>
      <c r="C11" s="154" t="s">
        <v>131</v>
      </c>
      <c r="H11" s="152"/>
      <c r="I11" s="152"/>
    </row>
    <row r="12" spans="1:9" x14ac:dyDescent="0.2">
      <c r="A12" s="154">
        <v>7</v>
      </c>
      <c r="B12" t="s">
        <v>138</v>
      </c>
      <c r="C12" s="154" t="s">
        <v>132</v>
      </c>
      <c r="H12" s="152"/>
    </row>
    <row r="13" spans="1:9" x14ac:dyDescent="0.2">
      <c r="A13" s="154">
        <v>8</v>
      </c>
      <c r="B13" t="s">
        <v>139</v>
      </c>
      <c r="C13" s="154" t="s">
        <v>140</v>
      </c>
      <c r="H13" s="152"/>
    </row>
    <row r="14" spans="1:9" x14ac:dyDescent="0.2">
      <c r="A14" s="154">
        <v>9</v>
      </c>
      <c r="B14" s="152" t="s">
        <v>226</v>
      </c>
      <c r="C14" s="153" t="s">
        <v>234</v>
      </c>
      <c r="H14" s="152"/>
    </row>
    <row r="15" spans="1:9" x14ac:dyDescent="0.2">
      <c r="A15" s="154">
        <v>10</v>
      </c>
      <c r="B15" s="152" t="s">
        <v>227</v>
      </c>
      <c r="C15" s="153" t="s">
        <v>237</v>
      </c>
      <c r="H15" s="152"/>
    </row>
    <row r="16" spans="1:9" x14ac:dyDescent="0.2">
      <c r="C16" s="154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EBE2D-000C-43F1-B6B5-547F411A06A5}">
  <sheetPr>
    <tabColor theme="5" tint="0.79998168889431442"/>
    <pageSetUpPr fitToPage="1"/>
  </sheetPr>
  <dimension ref="A1:K90"/>
  <sheetViews>
    <sheetView view="pageBreakPreview" topLeftCell="A31" zoomScaleNormal="85" zoomScaleSheetLayoutView="100" workbookViewId="0">
      <selection activeCell="C63" sqref="C63:G63"/>
    </sheetView>
  </sheetViews>
  <sheetFormatPr defaultColWidth="8.85546875" defaultRowHeight="12.75" x14ac:dyDescent="0.2"/>
  <cols>
    <col min="1" max="1" width="1.7109375" style="328" customWidth="1"/>
    <col min="2" max="2" width="1.28515625" style="328" customWidth="1"/>
    <col min="3" max="3" width="8" style="329" customWidth="1"/>
    <col min="4" max="4" width="33.7109375" style="329" customWidth="1"/>
    <col min="5" max="5" width="33.28515625" style="328" customWidth="1"/>
    <col min="6" max="6" width="14.7109375" style="328" customWidth="1"/>
    <col min="7" max="7" width="12.5703125" style="328" customWidth="1"/>
    <col min="8" max="8" width="14.140625" style="328" customWidth="1"/>
    <col min="9" max="9" width="12.28515625" style="328" customWidth="1"/>
    <col min="10" max="16384" width="8.85546875" style="328"/>
  </cols>
  <sheetData>
    <row r="1" spans="1:10" x14ac:dyDescent="0.2">
      <c r="A1" s="327" t="str">
        <f>'Present and Proposed Rates'!A1</f>
        <v>Cumberland Valley Electric</v>
      </c>
    </row>
    <row r="2" spans="1:10" x14ac:dyDescent="0.2">
      <c r="A2" s="327" t="s">
        <v>248</v>
      </c>
    </row>
    <row r="4" spans="1:10" x14ac:dyDescent="0.2">
      <c r="C4" s="330" t="s">
        <v>53</v>
      </c>
      <c r="D4" s="331"/>
      <c r="E4" s="331" t="s">
        <v>249</v>
      </c>
      <c r="F4" s="332" t="s">
        <v>56</v>
      </c>
      <c r="G4" s="332" t="s">
        <v>57</v>
      </c>
      <c r="I4" s="333" t="s">
        <v>250</v>
      </c>
      <c r="J4" s="333"/>
    </row>
    <row r="5" spans="1:10" x14ac:dyDescent="0.2">
      <c r="C5" s="329" t="str">
        <f>'Present and Proposed Rates'!D8</f>
        <v>R</v>
      </c>
      <c r="D5" s="334" t="str">
        <f>'Present and Proposed Rates'!C8</f>
        <v>Sch I - Residential, Schools &amp; Churches</v>
      </c>
      <c r="I5" s="333"/>
      <c r="J5" s="333"/>
    </row>
    <row r="6" spans="1:10" x14ac:dyDescent="0.2">
      <c r="D6" s="334"/>
      <c r="E6" s="328" t="str">
        <f>'Present and Proposed Rates'!E8</f>
        <v>Customer Charge ($ per month)</v>
      </c>
      <c r="F6" s="335">
        <f>'Present and Proposed Rates'!H8</f>
        <v>17.62</v>
      </c>
      <c r="G6" s="335">
        <f>'Present and Proposed Rates'!I8</f>
        <v>25</v>
      </c>
      <c r="H6" s="336"/>
      <c r="I6" s="337">
        <f>G6-F6</f>
        <v>7.379999999999999</v>
      </c>
      <c r="J6" s="338">
        <f>I6/F6</f>
        <v>0.4188422247446083</v>
      </c>
    </row>
    <row r="7" spans="1:10" x14ac:dyDescent="0.2">
      <c r="D7" s="334"/>
      <c r="E7" s="328" t="str">
        <f>'Present and Proposed Rates'!E9</f>
        <v>Energy Charge ($ per kWh)</v>
      </c>
      <c r="F7" s="374">
        <f>'Present and Proposed Rates'!H9</f>
        <v>9.6939999999999998E-2</v>
      </c>
      <c r="G7" s="374">
        <f>'Present and Proposed Rates'!I9</f>
        <v>9.5079999999999998E-2</v>
      </c>
      <c r="H7" s="339"/>
      <c r="I7" s="340">
        <f>G7-F7</f>
        <v>-1.8600000000000005E-3</v>
      </c>
      <c r="J7" s="338">
        <f>I7/F7</f>
        <v>-1.9187126057355071E-2</v>
      </c>
    </row>
    <row r="8" spans="1:10" x14ac:dyDescent="0.2">
      <c r="D8" s="334" t="s">
        <v>440</v>
      </c>
      <c r="F8" s="374"/>
      <c r="G8" s="374"/>
      <c r="H8" s="339"/>
      <c r="I8" s="337"/>
      <c r="J8" s="338"/>
    </row>
    <row r="9" spans="1:10" x14ac:dyDescent="0.2">
      <c r="D9" s="334"/>
      <c r="E9" s="328" t="s">
        <v>441</v>
      </c>
      <c r="F9" s="335">
        <f>F6</f>
        <v>17.62</v>
      </c>
      <c r="G9" s="335">
        <f>G6</f>
        <v>25</v>
      </c>
      <c r="H9" s="339"/>
      <c r="I9" s="412">
        <f t="shared" ref="I9:I11" si="0">G9-F9</f>
        <v>7.379999999999999</v>
      </c>
      <c r="J9" s="338">
        <f t="shared" ref="J9:J11" si="1">I9/F9</f>
        <v>0.4188422247446083</v>
      </c>
    </row>
    <row r="10" spans="1:10" x14ac:dyDescent="0.2">
      <c r="D10" s="334"/>
      <c r="E10" s="328" t="s">
        <v>442</v>
      </c>
      <c r="F10" s="335">
        <v>0.59</v>
      </c>
      <c r="G10" s="335">
        <f>ROUND(G9*12/365,2)</f>
        <v>0.82</v>
      </c>
      <c r="H10" s="339"/>
      <c r="I10" s="337">
        <f t="shared" si="0"/>
        <v>0.22999999999999998</v>
      </c>
      <c r="J10" s="338">
        <f t="shared" si="1"/>
        <v>0.38983050847457629</v>
      </c>
    </row>
    <row r="11" spans="1:10" x14ac:dyDescent="0.2">
      <c r="D11" s="334"/>
      <c r="E11" s="328" t="s">
        <v>217</v>
      </c>
      <c r="F11" s="374">
        <f>F7</f>
        <v>9.6939999999999998E-2</v>
      </c>
      <c r="G11" s="374">
        <f>G7</f>
        <v>9.5079999999999998E-2</v>
      </c>
      <c r="H11" s="339"/>
      <c r="I11" s="340">
        <f t="shared" si="0"/>
        <v>-1.8600000000000005E-3</v>
      </c>
      <c r="J11" s="338">
        <f t="shared" si="1"/>
        <v>-1.9187126057355071E-2</v>
      </c>
    </row>
    <row r="12" spans="1:10" x14ac:dyDescent="0.2">
      <c r="C12" s="329" t="str">
        <f>'Present and Proposed Rates'!D10</f>
        <v>TOD</v>
      </c>
      <c r="D12" s="334" t="str">
        <f>'Present and Proposed Rates'!C10</f>
        <v>Sch I - Res TOD</v>
      </c>
      <c r="F12" s="335"/>
      <c r="G12" s="335"/>
      <c r="H12" s="339"/>
      <c r="I12" s="340"/>
      <c r="J12" s="338"/>
    </row>
    <row r="13" spans="1:10" x14ac:dyDescent="0.2">
      <c r="E13" s="328" t="str">
        <f>'Present and Proposed Rates'!E10</f>
        <v>Customer Charge ($ per month)</v>
      </c>
      <c r="F13" s="335">
        <f>'Present and Proposed Rates'!H10</f>
        <v>20.73</v>
      </c>
      <c r="G13" s="335">
        <f>'Present and Proposed Rates'!I10</f>
        <v>25</v>
      </c>
      <c r="H13" s="339"/>
      <c r="I13" s="337">
        <f t="shared" ref="I13:I15" si="2">G13-F13</f>
        <v>4.2699999999999996</v>
      </c>
      <c r="J13" s="338">
        <f t="shared" ref="J13:J15" si="3">I13/F13</f>
        <v>0.20598166907862997</v>
      </c>
    </row>
    <row r="14" spans="1:10" x14ac:dyDescent="0.2">
      <c r="D14" s="334"/>
      <c r="E14" s="328" t="str">
        <f>'Present and Proposed Rates'!E11</f>
        <v>Energy Charge On Peak ($per kWh)</v>
      </c>
      <c r="F14" s="374">
        <f>'Present and Proposed Rates'!H11</f>
        <v>0.11294</v>
      </c>
      <c r="G14" s="374">
        <f>'Present and Proposed Rates'!I11</f>
        <v>0.10567</v>
      </c>
      <c r="H14" s="339"/>
      <c r="I14" s="340">
        <f t="shared" si="2"/>
        <v>-7.2699999999999987E-3</v>
      </c>
      <c r="J14" s="338">
        <f t="shared" si="3"/>
        <v>-6.4370462192314487E-2</v>
      </c>
    </row>
    <row r="15" spans="1:10" x14ac:dyDescent="0.2">
      <c r="D15" s="334"/>
      <c r="E15" s="328" t="str">
        <f>'Present and Proposed Rates'!E12</f>
        <v>Energy Charge Off Peak ($ per kWh)</v>
      </c>
      <c r="F15" s="374">
        <f>'Present and Proposed Rates'!H12</f>
        <v>6.9750000000000006E-2</v>
      </c>
      <c r="G15" s="374">
        <f>'Present and Proposed Rates'!I12</f>
        <v>6.9750000000000006E-2</v>
      </c>
      <c r="H15" s="339"/>
      <c r="I15" s="375">
        <f t="shared" si="2"/>
        <v>0</v>
      </c>
      <c r="J15" s="338">
        <f t="shared" si="3"/>
        <v>0</v>
      </c>
    </row>
    <row r="16" spans="1:10" x14ac:dyDescent="0.2">
      <c r="C16" s="329" t="str">
        <f>'Present and Proposed Rates'!D13</f>
        <v>C1</v>
      </c>
      <c r="D16" s="334" t="str">
        <f>'Present and Proposed Rates'!C13</f>
        <v>Sch II - Small Commercial  Small Power</v>
      </c>
      <c r="F16" s="335"/>
      <c r="G16" s="335"/>
      <c r="H16" s="339"/>
      <c r="I16" s="375"/>
      <c r="J16" s="338"/>
    </row>
    <row r="17" spans="3:10" x14ac:dyDescent="0.2">
      <c r="E17" s="328" t="str">
        <f>'Present and Proposed Rates'!E13</f>
        <v>Customer Charge ($ per month)</v>
      </c>
      <c r="F17" s="335">
        <f>'Present and Proposed Rates'!H13</f>
        <v>19.690000000000001</v>
      </c>
      <c r="G17" s="335">
        <f>'Present and Proposed Rates'!I13</f>
        <v>27.07</v>
      </c>
      <c r="H17" s="336"/>
      <c r="I17" s="337">
        <f t="shared" ref="I17:I19" si="4">G17-F17</f>
        <v>7.379999999999999</v>
      </c>
      <c r="J17" s="338">
        <f t="shared" ref="J17:J19" si="5">I17/F17</f>
        <v>0.37480954799390548</v>
      </c>
    </row>
    <row r="18" spans="3:10" x14ac:dyDescent="0.2">
      <c r="D18" s="334"/>
      <c r="E18" s="328" t="str">
        <f>'Present and Proposed Rates'!E14</f>
        <v>Energy Charge 1st 3000 ($ per kWh)</v>
      </c>
      <c r="F18" s="374">
        <f>'Present and Proposed Rates'!H14</f>
        <v>9.7119999999999998E-2</v>
      </c>
      <c r="G18" s="374">
        <f>'Present and Proposed Rates'!I14</f>
        <v>9.8059999999999994E-2</v>
      </c>
      <c r="H18" s="336"/>
      <c r="I18" s="340">
        <f t="shared" si="4"/>
        <v>9.3999999999999639E-4</v>
      </c>
      <c r="J18" s="338">
        <f t="shared" si="5"/>
        <v>9.6787479406918904E-3</v>
      </c>
    </row>
    <row r="19" spans="3:10" x14ac:dyDescent="0.2">
      <c r="D19" s="334"/>
      <c r="E19" s="328" t="str">
        <f>'Present and Proposed Rates'!E15</f>
        <v>Energy Charge &gt;3000 ($ per kWh)</v>
      </c>
      <c r="F19" s="374">
        <f>'Present and Proposed Rates'!H15</f>
        <v>9.357E-2</v>
      </c>
      <c r="G19" s="374">
        <f>'Present and Proposed Rates'!I15</f>
        <v>9.4469999999999998E-2</v>
      </c>
      <c r="H19" s="336"/>
      <c r="I19" s="340">
        <f t="shared" si="4"/>
        <v>8.9999999999999802E-4</v>
      </c>
      <c r="J19" s="338">
        <f t="shared" si="5"/>
        <v>9.6184674575184141E-3</v>
      </c>
    </row>
    <row r="20" spans="3:10" x14ac:dyDescent="0.2">
      <c r="C20" s="329" t="str">
        <f>'Present and Proposed Rates'!D16</f>
        <v>C2</v>
      </c>
      <c r="D20" s="334" t="str">
        <f>'Present and Proposed Rates'!C16</f>
        <v>Sch II - Small Commercial  Small Power</v>
      </c>
      <c r="F20" s="335"/>
      <c r="G20" s="335"/>
      <c r="H20" s="336"/>
      <c r="I20" s="337"/>
      <c r="J20" s="338"/>
    </row>
    <row r="21" spans="3:10" x14ac:dyDescent="0.2">
      <c r="E21" s="328" t="str">
        <f>'Present and Proposed Rates'!E16</f>
        <v>Customer Charge ($ per month)</v>
      </c>
      <c r="F21" s="335">
        <f>'Present and Proposed Rates'!H16</f>
        <v>26.17</v>
      </c>
      <c r="G21" s="335">
        <f>'Present and Proposed Rates'!I16</f>
        <v>33</v>
      </c>
      <c r="H21" s="336"/>
      <c r="I21" s="337">
        <f t="shared" ref="I21:I36" si="6">G21-F21</f>
        <v>6.8299999999999983</v>
      </c>
      <c r="J21" s="338">
        <f t="shared" ref="J21:J36" si="7">I21/F21</f>
        <v>0.26098586167367205</v>
      </c>
    </row>
    <row r="22" spans="3:10" x14ac:dyDescent="0.2">
      <c r="D22" s="334"/>
      <c r="E22" s="328" t="str">
        <f>'Present and Proposed Rates'!E17</f>
        <v>Energy Charge 1st 3000 ($ per kWh)</v>
      </c>
      <c r="F22" s="374">
        <f>'Present and Proposed Rates'!H17</f>
        <v>0.10292</v>
      </c>
      <c r="G22" s="374">
        <f>'Present and Proposed Rates'!I17</f>
        <v>0.10144827268008384</v>
      </c>
      <c r="H22" s="336"/>
      <c r="I22" s="337"/>
      <c r="J22" s="338"/>
    </row>
    <row r="23" spans="3:10" x14ac:dyDescent="0.2">
      <c r="D23" s="334"/>
      <c r="E23" s="328" t="str">
        <f>'Present and Proposed Rates'!E18</f>
        <v>Energy Charge &gt;3000 ($ per kWh)</v>
      </c>
      <c r="F23" s="374">
        <f>'Present and Proposed Rates'!H18</f>
        <v>9.9180000000000004E-2</v>
      </c>
      <c r="G23" s="374">
        <f>'Present and Proposed Rates'!I18</f>
        <v>9.7761753637881033E-2</v>
      </c>
      <c r="H23" s="336"/>
      <c r="I23" s="340">
        <f t="shared" si="6"/>
        <v>-1.4182463621189717E-3</v>
      </c>
      <c r="J23" s="338">
        <f t="shared" si="7"/>
        <v>-1.4299721336146114E-2</v>
      </c>
    </row>
    <row r="24" spans="3:10" x14ac:dyDescent="0.2">
      <c r="D24" s="334"/>
      <c r="E24" s="328" t="str">
        <f>'Present and Proposed Rates'!E19</f>
        <v>Demand Charge ($ per kW)</v>
      </c>
      <c r="F24" s="335">
        <f>'Present and Proposed Rates'!H19</f>
        <v>4.37</v>
      </c>
      <c r="G24" s="335">
        <f>'Present and Proposed Rates'!I19</f>
        <v>4.37</v>
      </c>
      <c r="H24" s="336"/>
      <c r="I24" s="337">
        <f t="shared" si="6"/>
        <v>0</v>
      </c>
      <c r="J24" s="338">
        <f t="shared" si="7"/>
        <v>0</v>
      </c>
    </row>
    <row r="25" spans="3:10" x14ac:dyDescent="0.2">
      <c r="C25" s="329" t="str">
        <f>'Present and Proposed Rates'!D20</f>
        <v>IB</v>
      </c>
      <c r="D25" s="334" t="str">
        <f>'Present and Proposed Rates'!C20</f>
        <v>Sch VII - Inclining Block Rate</v>
      </c>
      <c r="F25" s="335"/>
      <c r="G25" s="335"/>
      <c r="H25" s="336"/>
      <c r="I25" s="337"/>
      <c r="J25" s="338"/>
    </row>
    <row r="26" spans="3:10" x14ac:dyDescent="0.2">
      <c r="E26" s="328" t="str">
        <f>'Present and Proposed Rates'!E20</f>
        <v>Customer Charge ($ per month)</v>
      </c>
      <c r="F26" s="335">
        <f>'Present and Proposed Rates'!H20</f>
        <v>10.26</v>
      </c>
      <c r="G26" s="335">
        <f>'Present and Proposed Rates'!I20</f>
        <v>17.64</v>
      </c>
      <c r="H26" s="336"/>
      <c r="I26" s="337">
        <f t="shared" si="6"/>
        <v>7.3800000000000008</v>
      </c>
      <c r="J26" s="338">
        <f t="shared" si="7"/>
        <v>0.71929824561403521</v>
      </c>
    </row>
    <row r="27" spans="3:10" x14ac:dyDescent="0.2">
      <c r="D27" s="334"/>
      <c r="E27" s="328" t="str">
        <f>'Present and Proposed Rates'!E21</f>
        <v>Energy Charge 1st 200 ($ per kWh)</v>
      </c>
      <c r="F27" s="374">
        <f>'Present and Proposed Rates'!H21</f>
        <v>9.9210000000000007E-2</v>
      </c>
      <c r="G27" s="374">
        <f>'Present and Proposed Rates'!I21</f>
        <v>9.9239999999999995E-2</v>
      </c>
      <c r="H27" s="336"/>
      <c r="I27" s="340">
        <f t="shared" si="6"/>
        <v>2.9999999999988369E-5</v>
      </c>
      <c r="J27" s="338">
        <f t="shared" si="7"/>
        <v>3.0238887208938986E-4</v>
      </c>
    </row>
    <row r="28" spans="3:10" x14ac:dyDescent="0.2">
      <c r="D28" s="334"/>
      <c r="E28" s="328" t="str">
        <f>'Present and Proposed Rates'!E22</f>
        <v>Energy Charge Next 300 ($ per kWh)</v>
      </c>
      <c r="F28" s="374">
        <f>'Present and Proposed Rates'!H22</f>
        <v>0.10439</v>
      </c>
      <c r="G28" s="374">
        <f>'Present and Proposed Rates'!I22</f>
        <v>0.10442</v>
      </c>
      <c r="H28" s="336"/>
      <c r="I28" s="340">
        <f t="shared" ref="I28" si="8">G28-F28</f>
        <v>3.0000000000002247E-5</v>
      </c>
      <c r="J28" s="338">
        <f t="shared" ref="J28" si="9">I28/F28</f>
        <v>2.8738384902770615E-4</v>
      </c>
    </row>
    <row r="29" spans="3:10" x14ac:dyDescent="0.2">
      <c r="D29" s="334"/>
      <c r="E29" s="328" t="str">
        <f>'Present and Proposed Rates'!E23</f>
        <v>Energy Charge 500+ ($ per kWh)</v>
      </c>
      <c r="F29" s="374">
        <f>'Present and Proposed Rates'!H23</f>
        <v>0.10958</v>
      </c>
      <c r="G29" s="374">
        <f>'Present and Proposed Rates'!I23</f>
        <v>0.10962</v>
      </c>
      <c r="H29" s="336"/>
      <c r="I29" s="340">
        <f t="shared" si="6"/>
        <v>3.999999999999837E-5</v>
      </c>
      <c r="J29" s="338">
        <f t="shared" si="7"/>
        <v>3.6503011498447135E-4</v>
      </c>
    </row>
    <row r="30" spans="3:10" x14ac:dyDescent="0.2">
      <c r="C30" s="329" t="str">
        <f>'Present and Proposed Rates'!D24</f>
        <v>E1</v>
      </c>
      <c r="D30" s="334" t="str">
        <f>'Present and Proposed Rates'!C24</f>
        <v>Sch III - All 3Phase Schools &amp; Churches</v>
      </c>
      <c r="F30" s="335"/>
      <c r="G30" s="335"/>
      <c r="H30" s="336"/>
      <c r="I30" s="337"/>
      <c r="J30" s="338"/>
    </row>
    <row r="31" spans="3:10" x14ac:dyDescent="0.2">
      <c r="E31" s="328" t="str">
        <f>'Present and Proposed Rates'!E24</f>
        <v>Customer Charge ($ per month)</v>
      </c>
      <c r="F31" s="335">
        <f>'Present and Proposed Rates'!H24</f>
        <v>46.64</v>
      </c>
      <c r="G31" s="335">
        <f>'Present and Proposed Rates'!I24</f>
        <v>46.64</v>
      </c>
      <c r="H31" s="336"/>
      <c r="I31" s="337">
        <f t="shared" si="6"/>
        <v>0</v>
      </c>
      <c r="J31" s="338">
        <f t="shared" si="7"/>
        <v>0</v>
      </c>
    </row>
    <row r="32" spans="3:10" x14ac:dyDescent="0.2">
      <c r="D32" s="334"/>
      <c r="E32" s="328" t="str">
        <f>'Present and Proposed Rates'!E25</f>
        <v>Energy Charge ($ per kWh)</v>
      </c>
      <c r="F32" s="374">
        <f>'Present and Proposed Rates'!H25</f>
        <v>9.0300000000000005E-2</v>
      </c>
      <c r="G32" s="374">
        <f>'Present and Proposed Rates'!I25</f>
        <v>9.0300000000000005E-2</v>
      </c>
      <c r="H32" s="336"/>
      <c r="I32" s="375">
        <f t="shared" si="6"/>
        <v>0</v>
      </c>
      <c r="J32" s="338">
        <f t="shared" si="7"/>
        <v>0</v>
      </c>
    </row>
    <row r="33" spans="3:10" x14ac:dyDescent="0.2">
      <c r="C33" s="329" t="str">
        <f>'Present and Proposed Rates'!D26</f>
        <v>L1</v>
      </c>
      <c r="D33" s="334" t="str">
        <f>'Present and Proposed Rates'!C26</f>
        <v>Sch IV-A - Large Power 50-2500 kW</v>
      </c>
      <c r="F33" s="335"/>
      <c r="G33" s="335"/>
      <c r="H33" s="336"/>
      <c r="I33" s="340"/>
      <c r="J33" s="338"/>
    </row>
    <row r="34" spans="3:10" x14ac:dyDescent="0.2">
      <c r="E34" s="328" t="str">
        <f>'Present and Proposed Rates'!E26</f>
        <v>Customer Charge ($ per month)</v>
      </c>
      <c r="F34" s="335">
        <f>'Present and Proposed Rates'!H26</f>
        <v>67.37</v>
      </c>
      <c r="G34" s="335">
        <f>'Present and Proposed Rates'!I26</f>
        <v>67.37</v>
      </c>
      <c r="H34" s="336"/>
      <c r="I34" s="340">
        <f t="shared" si="6"/>
        <v>0</v>
      </c>
      <c r="J34" s="338">
        <f t="shared" si="7"/>
        <v>0</v>
      </c>
    </row>
    <row r="35" spans="3:10" x14ac:dyDescent="0.2">
      <c r="D35" s="334"/>
      <c r="E35" s="328" t="str">
        <f>'Present and Proposed Rates'!E27</f>
        <v>Energy Charge ($ per kWh)</v>
      </c>
      <c r="F35" s="374">
        <f>'Present and Proposed Rates'!H27</f>
        <v>7.0559999999999998E-2</v>
      </c>
      <c r="G35" s="374">
        <f>'Present and Proposed Rates'!I27</f>
        <v>7.0559999999999998E-2</v>
      </c>
      <c r="H35" s="336"/>
      <c r="I35" s="375">
        <f t="shared" ref="I35" si="10">G35-F35</f>
        <v>0</v>
      </c>
      <c r="J35" s="338">
        <f t="shared" ref="J35" si="11">I35/F35</f>
        <v>0</v>
      </c>
    </row>
    <row r="36" spans="3:10" x14ac:dyDescent="0.2">
      <c r="D36" s="334"/>
      <c r="E36" s="328" t="str">
        <f>'Present and Proposed Rates'!E28</f>
        <v>Demand Charge ($ per kW)</v>
      </c>
      <c r="F36" s="335">
        <f>'Present and Proposed Rates'!H28</f>
        <v>4.37</v>
      </c>
      <c r="G36" s="335">
        <f>'Present and Proposed Rates'!I28</f>
        <v>6.6570912062657817</v>
      </c>
      <c r="H36" s="336"/>
      <c r="I36" s="337">
        <f t="shared" si="6"/>
        <v>2.2870912062657816</v>
      </c>
      <c r="J36" s="338">
        <f t="shared" si="7"/>
        <v>0.52336183209743281</v>
      </c>
    </row>
    <row r="37" spans="3:10" x14ac:dyDescent="0.2">
      <c r="C37" s="329" t="str">
        <f>'Present and Proposed Rates'!D42</f>
        <v>P1</v>
      </c>
      <c r="D37" s="334" t="str">
        <f>'Present and Proposed Rates'!C42</f>
        <v>Sch IV - Large Power 2500 + kW</v>
      </c>
    </row>
    <row r="38" spans="3:10" x14ac:dyDescent="0.2">
      <c r="C38" s="328"/>
      <c r="D38" s="328"/>
      <c r="E38" s="328" t="str">
        <f>'Present and Proposed Rates'!E42</f>
        <v>Customer Charge ($ per month)</v>
      </c>
      <c r="F38" s="335">
        <f>'Present and Proposed Rates'!H42</f>
        <v>103.65</v>
      </c>
      <c r="G38" s="335">
        <f>'Present and Proposed Rates'!I42</f>
        <v>103.65</v>
      </c>
      <c r="H38" s="336"/>
      <c r="I38" s="337">
        <f t="shared" ref="I38:I40" si="12">G38-F38</f>
        <v>0</v>
      </c>
      <c r="J38" s="338">
        <f t="shared" ref="J38:J40" si="13">I38/F38</f>
        <v>0</v>
      </c>
    </row>
    <row r="39" spans="3:10" x14ac:dyDescent="0.2">
      <c r="D39" s="334"/>
      <c r="E39" s="328" t="str">
        <f>'Present and Proposed Rates'!E43</f>
        <v>Energy Charge ($ per kWh)</v>
      </c>
      <c r="F39" s="374">
        <f>'Present and Proposed Rates'!H43</f>
        <v>6.055E-2</v>
      </c>
      <c r="G39" s="374">
        <f>'Present and Proposed Rates'!I43</f>
        <v>6.5648999999999999E-2</v>
      </c>
      <c r="H39" s="336"/>
      <c r="I39" s="340">
        <f t="shared" si="12"/>
        <v>5.0989999999999994E-3</v>
      </c>
      <c r="J39" s="338">
        <f t="shared" si="13"/>
        <v>8.4211395540875297E-2</v>
      </c>
    </row>
    <row r="40" spans="3:10" x14ac:dyDescent="0.2">
      <c r="D40" s="334"/>
      <c r="E40" s="328" t="str">
        <f>'Present and Proposed Rates'!E44</f>
        <v>Demand Charge ($ per kW)</v>
      </c>
      <c r="F40" s="335">
        <f>'Present and Proposed Rates'!H44</f>
        <v>6.79</v>
      </c>
      <c r="G40" s="335">
        <f>'Present and Proposed Rates'!I44</f>
        <v>6.52</v>
      </c>
      <c r="H40" s="336"/>
      <c r="I40" s="337">
        <f t="shared" si="12"/>
        <v>-0.27000000000000046</v>
      </c>
      <c r="J40" s="338">
        <f t="shared" si="13"/>
        <v>-3.9764359351988285E-2</v>
      </c>
    </row>
    <row r="41" spans="3:10" x14ac:dyDescent="0.2">
      <c r="C41" s="329" t="str">
        <f>'Present and Proposed Rates'!D45</f>
        <v>V</v>
      </c>
      <c r="D41" s="334" t="str">
        <f>'Present and Proposed Rates'!C45</f>
        <v>Sch V - Large Power 1000-2500 kW</v>
      </c>
    </row>
    <row r="42" spans="3:10" x14ac:dyDescent="0.2">
      <c r="C42" s="328"/>
      <c r="D42" s="328"/>
      <c r="E42" s="328" t="str">
        <f>'Present and Proposed Rates'!E45</f>
        <v>Customer Charge ($ per month)</v>
      </c>
      <c r="F42" s="335">
        <f>'Present and Proposed Rates'!H45</f>
        <v>636.89</v>
      </c>
      <c r="G42" s="335">
        <f>'Present and Proposed Rates'!I45</f>
        <v>636.89</v>
      </c>
      <c r="H42" s="336"/>
      <c r="I42" s="337">
        <f t="shared" ref="I42:I45" si="14">G42-F42</f>
        <v>0</v>
      </c>
      <c r="J42" s="338">
        <f t="shared" ref="J42:J45" si="15">I42/F42</f>
        <v>0</v>
      </c>
    </row>
    <row r="43" spans="3:10" x14ac:dyDescent="0.2">
      <c r="D43" s="334"/>
      <c r="E43" s="328" t="str">
        <f>'Present and Proposed Rates'!E46</f>
        <v>Energy Charge ($ per kWh)</v>
      </c>
      <c r="F43" s="374">
        <f>'Present and Proposed Rates'!H46</f>
        <v>6.6009999999999999E-2</v>
      </c>
      <c r="G43" s="374">
        <f>'Present and Proposed Rates'!I46</f>
        <v>6.5648999999999999E-2</v>
      </c>
      <c r="H43" s="336"/>
      <c r="I43" s="375">
        <f t="shared" si="14"/>
        <v>-3.6100000000000021E-4</v>
      </c>
      <c r="J43" s="338">
        <f t="shared" si="15"/>
        <v>-5.468868353279809E-3</v>
      </c>
    </row>
    <row r="44" spans="3:10" x14ac:dyDescent="0.2">
      <c r="D44" s="334"/>
      <c r="E44" s="328" t="str">
        <f>'Present and Proposed Rates'!E47</f>
        <v>Demand Charge - Contract ($ per kW)</v>
      </c>
      <c r="F44" s="335">
        <f>'Present and Proposed Rates'!H47</f>
        <v>6.42</v>
      </c>
      <c r="G44" s="335">
        <f>'Present and Proposed Rates'!I47</f>
        <v>6.52</v>
      </c>
      <c r="H44" s="336"/>
      <c r="I44" s="337">
        <f t="shared" si="14"/>
        <v>9.9999999999999645E-2</v>
      </c>
      <c r="J44" s="338"/>
    </row>
    <row r="45" spans="3:10" x14ac:dyDescent="0.2">
      <c r="D45" s="334"/>
      <c r="E45" s="328" t="str">
        <f>'Present and Proposed Rates'!E48</f>
        <v>Demand Charge - Excess ($ per kW)</v>
      </c>
      <c r="F45" s="335">
        <f>'Present and Proposed Rates'!H48</f>
        <v>9.31</v>
      </c>
      <c r="G45" s="335">
        <f>'Present and Proposed Rates'!I48</f>
        <v>9.31</v>
      </c>
      <c r="H45" s="336"/>
      <c r="I45" s="337">
        <f t="shared" si="14"/>
        <v>0</v>
      </c>
      <c r="J45" s="338">
        <f t="shared" si="15"/>
        <v>0</v>
      </c>
    </row>
    <row r="46" spans="3:10" x14ac:dyDescent="0.2">
      <c r="C46" s="329" t="str">
        <f>'Present and Proposed Rates'!D49</f>
        <v>VA</v>
      </c>
      <c r="D46" s="334" t="str">
        <f>'Present and Proposed Rates'!C49</f>
        <v>Sch V-A - Large Power Rate</v>
      </c>
    </row>
    <row r="47" spans="3:10" x14ac:dyDescent="0.2">
      <c r="C47" s="328"/>
      <c r="D47" s="328"/>
      <c r="E47" s="328" t="str">
        <f>'Present and Proposed Rates'!E49</f>
        <v>Customer Charge ($ per month)</v>
      </c>
      <c r="F47" s="335">
        <f>'Present and Proposed Rates'!H49</f>
        <v>1272.5899999999999</v>
      </c>
      <c r="G47" s="335">
        <f>'Present and Proposed Rates'!I49</f>
        <v>1272.5899999999999</v>
      </c>
      <c r="H47" s="336"/>
      <c r="I47" s="337">
        <f t="shared" ref="I47:I50" si="16">G47-F47</f>
        <v>0</v>
      </c>
      <c r="J47" s="338">
        <f t="shared" ref="J47:J50" si="17">I47/F47</f>
        <v>0</v>
      </c>
    </row>
    <row r="48" spans="3:10" x14ac:dyDescent="0.2">
      <c r="C48" s="328"/>
      <c r="D48" s="328"/>
      <c r="E48" s="328" t="str">
        <f>'Present and Proposed Rates'!E50</f>
        <v>Energy Charge ($ per kWh)</v>
      </c>
      <c r="F48" s="374">
        <f>'Present and Proposed Rates'!H50</f>
        <v>5.8430000000000003E-2</v>
      </c>
      <c r="G48" s="374">
        <f>'Present and Proposed Rates'!I50</f>
        <v>6.5648999999999999E-2</v>
      </c>
      <c r="H48" s="336"/>
      <c r="I48" s="340">
        <f t="shared" si="16"/>
        <v>7.2189999999999963E-3</v>
      </c>
      <c r="J48" s="338"/>
    </row>
    <row r="49" spans="3:10" x14ac:dyDescent="0.2">
      <c r="D49" s="334"/>
      <c r="E49" s="328" t="str">
        <f>'Present and Proposed Rates'!E51</f>
        <v>Demand Charge - Contract ($ per kW)</v>
      </c>
      <c r="F49" s="335">
        <f>'Present and Proposed Rates'!H51</f>
        <v>6.42</v>
      </c>
      <c r="G49" s="335">
        <f>'Present and Proposed Rates'!I51</f>
        <v>6.52</v>
      </c>
      <c r="H49" s="336"/>
      <c r="I49" s="337">
        <f t="shared" si="16"/>
        <v>9.9999999999999645E-2</v>
      </c>
      <c r="J49" s="338">
        <f t="shared" si="17"/>
        <v>1.5576323987538885E-2</v>
      </c>
    </row>
    <row r="50" spans="3:10" x14ac:dyDescent="0.2">
      <c r="D50" s="334"/>
      <c r="E50" s="328" t="str">
        <f>'Present and Proposed Rates'!E52</f>
        <v>Demand Charge - Excess ($ per kW)</v>
      </c>
      <c r="F50" s="335">
        <f>'Present and Proposed Rates'!H52</f>
        <v>9.31</v>
      </c>
      <c r="G50" s="335">
        <f>'Present and Proposed Rates'!I52</f>
        <v>9.31</v>
      </c>
      <c r="H50" s="336"/>
      <c r="I50" s="340">
        <f t="shared" si="16"/>
        <v>0</v>
      </c>
      <c r="J50" s="338">
        <f t="shared" si="17"/>
        <v>0</v>
      </c>
    </row>
    <row r="51" spans="3:10" x14ac:dyDescent="0.2">
      <c r="C51" s="329" t="str">
        <f>'Present and Proposed Rates'!D29</f>
        <v>S</v>
      </c>
      <c r="D51" s="334" t="str">
        <f>'Present and Proposed Rates'!C29</f>
        <v>Sch VI - Outdoor Lighting - Security Lights</v>
      </c>
      <c r="F51" s="335"/>
      <c r="G51" s="335"/>
      <c r="H51" s="336"/>
      <c r="I51" s="337"/>
      <c r="J51" s="338"/>
    </row>
    <row r="52" spans="3:10" x14ac:dyDescent="0.2">
      <c r="D52" s="334"/>
      <c r="E52" s="328" t="str">
        <f>S!D12</f>
        <v>1) 175-Watt -Approx. Lumens 7,000</v>
      </c>
      <c r="F52" s="335">
        <f>S!K12</f>
        <v>10.19</v>
      </c>
      <c r="G52" s="335">
        <f>S!P12</f>
        <v>10.19</v>
      </c>
      <c r="H52" s="336"/>
      <c r="I52" s="337">
        <f t="shared" ref="I52:I58" si="18">G52-F52</f>
        <v>0</v>
      </c>
      <c r="J52" s="338">
        <f t="shared" ref="J52:J58" si="19">I52/F52</f>
        <v>0</v>
      </c>
    </row>
    <row r="53" spans="3:10" x14ac:dyDescent="0.2">
      <c r="D53" s="334"/>
      <c r="E53" s="328" t="str">
        <f>S!D13</f>
        <v>2) 400-Watt -Approx. Lumens 22,000</v>
      </c>
      <c r="F53" s="335">
        <f>S!K13</f>
        <v>15.43</v>
      </c>
      <c r="G53" s="335">
        <f>S!P13</f>
        <v>15.43</v>
      </c>
      <c r="H53" s="336"/>
      <c r="I53" s="337">
        <f t="shared" si="18"/>
        <v>0</v>
      </c>
      <c r="J53" s="338">
        <f t="shared" si="19"/>
        <v>0</v>
      </c>
    </row>
    <row r="54" spans="3:10" x14ac:dyDescent="0.2">
      <c r="D54" s="334"/>
      <c r="E54" s="328" t="str">
        <f>S!D14</f>
        <v>3) 100-Watt Open Bottom -Approx. Lumens 9,500</v>
      </c>
      <c r="F54" s="335">
        <f>S!K14</f>
        <v>10.210000000000001</v>
      </c>
      <c r="G54" s="335">
        <f>S!P14</f>
        <v>10.210000000000001</v>
      </c>
      <c r="H54" s="336"/>
      <c r="I54" s="337">
        <f t="shared" si="18"/>
        <v>0</v>
      </c>
      <c r="J54" s="338">
        <f t="shared" si="19"/>
        <v>0</v>
      </c>
    </row>
    <row r="55" spans="3:10" x14ac:dyDescent="0.2">
      <c r="D55" s="334"/>
      <c r="E55" s="328" t="str">
        <f>S!D15</f>
        <v>4) 100-Watt Colonial Post -Approx. Lumens 9.500</v>
      </c>
      <c r="F55" s="335">
        <f>S!K15</f>
        <v>11.43</v>
      </c>
      <c r="G55" s="335">
        <f>S!P15</f>
        <v>11.43</v>
      </c>
      <c r="H55" s="336"/>
      <c r="I55" s="337">
        <f t="shared" si="18"/>
        <v>0</v>
      </c>
      <c r="J55" s="338">
        <f t="shared" si="19"/>
        <v>0</v>
      </c>
    </row>
    <row r="56" spans="3:10" x14ac:dyDescent="0.2">
      <c r="D56" s="334"/>
      <c r="E56" s="328" t="str">
        <f>S!D16</f>
        <v>5) 100-Watt Directional Flood -Approx. Lumens 9,500</v>
      </c>
      <c r="F56" s="335">
        <f>S!K16</f>
        <v>12.27</v>
      </c>
      <c r="G56" s="335">
        <f>S!P16</f>
        <v>12.27</v>
      </c>
      <c r="H56" s="336"/>
      <c r="I56" s="337">
        <f t="shared" si="18"/>
        <v>0</v>
      </c>
      <c r="J56" s="338">
        <f t="shared" si="19"/>
        <v>0</v>
      </c>
    </row>
    <row r="57" spans="3:10" x14ac:dyDescent="0.2">
      <c r="D57" s="334"/>
      <c r="E57" s="328" t="str">
        <f>S!D18</f>
        <v>6) 400-Watt Directional Flood -Approx. Lumens 50,000</v>
      </c>
      <c r="F57" s="335">
        <f>S!K18</f>
        <v>19.72</v>
      </c>
      <c r="G57" s="335">
        <f>S!P18</f>
        <v>19.72</v>
      </c>
      <c r="H57" s="336"/>
      <c r="I57" s="337">
        <f t="shared" si="18"/>
        <v>0</v>
      </c>
      <c r="J57" s="338">
        <f t="shared" si="19"/>
        <v>0</v>
      </c>
    </row>
    <row r="58" spans="3:10" x14ac:dyDescent="0.2">
      <c r="D58" s="328"/>
      <c r="E58" s="328" t="str">
        <f>S!D19</f>
        <v>7) 400-Watt Cobra Head -Approx. Lumens 50,000</v>
      </c>
      <c r="F58" s="335">
        <f>S!K19</f>
        <v>19.72</v>
      </c>
      <c r="G58" s="335">
        <f>S!P19</f>
        <v>19.72</v>
      </c>
      <c r="H58" s="336"/>
      <c r="I58" s="337">
        <f t="shared" si="18"/>
        <v>0</v>
      </c>
      <c r="J58" s="338">
        <f t="shared" si="19"/>
        <v>0</v>
      </c>
    </row>
    <row r="59" spans="3:10" x14ac:dyDescent="0.2">
      <c r="D59" s="328"/>
      <c r="E59" s="328" t="str">
        <f>S!D20</f>
        <v>8) LED Open Bottom -Approx. Lumens 6,200</v>
      </c>
      <c r="F59" s="335">
        <f>S!K20</f>
        <v>9.5500000000000007</v>
      </c>
      <c r="G59" s="335">
        <f>S!P20</f>
        <v>9.5500000000000007</v>
      </c>
      <c r="H59" s="336"/>
      <c r="I59" s="337">
        <f t="shared" ref="I59:I61" si="20">G59-F59</f>
        <v>0</v>
      </c>
      <c r="J59" s="338">
        <f t="shared" ref="J59:J61" si="21">I59/F59</f>
        <v>0</v>
      </c>
    </row>
    <row r="60" spans="3:10" x14ac:dyDescent="0.2">
      <c r="D60" s="328"/>
      <c r="E60" s="328" t="str">
        <f>S!D21</f>
        <v>9) LED Cobra Head -Approx. Lumens 13,650</v>
      </c>
      <c r="F60" s="335">
        <f>S!K21</f>
        <v>16.39</v>
      </c>
      <c r="G60" s="335">
        <f>S!P21</f>
        <v>16.39</v>
      </c>
      <c r="H60" s="336"/>
      <c r="I60" s="337">
        <f t="shared" si="20"/>
        <v>0</v>
      </c>
      <c r="J60" s="338">
        <f t="shared" si="21"/>
        <v>0</v>
      </c>
    </row>
    <row r="61" spans="3:10" x14ac:dyDescent="0.2">
      <c r="D61" s="328"/>
      <c r="E61" s="328" t="str">
        <f>S!D22</f>
        <v>10) LED Directional ~Lumens 18,800</v>
      </c>
      <c r="F61" s="335">
        <f>S!K22</f>
        <v>20.2</v>
      </c>
      <c r="G61" s="335">
        <f>S!P22</f>
        <v>20.2</v>
      </c>
      <c r="H61" s="336"/>
      <c r="I61" s="337">
        <f t="shared" si="20"/>
        <v>0</v>
      </c>
      <c r="J61" s="338">
        <f t="shared" si="21"/>
        <v>0</v>
      </c>
    </row>
    <row r="62" spans="3:10" x14ac:dyDescent="0.2">
      <c r="F62" s="335"/>
      <c r="G62" s="335"/>
    </row>
    <row r="63" spans="3:10" ht="41.45" customHeight="1" x14ac:dyDescent="0.2">
      <c r="C63" s="439" t="s">
        <v>251</v>
      </c>
      <c r="D63" s="439"/>
      <c r="E63" s="439"/>
      <c r="F63" s="439"/>
      <c r="G63" s="439"/>
    </row>
    <row r="64" spans="3:10" x14ac:dyDescent="0.2">
      <c r="D64" s="328"/>
      <c r="F64" s="440" t="s">
        <v>58</v>
      </c>
      <c r="G64" s="440"/>
    </row>
    <row r="65" spans="3:11" x14ac:dyDescent="0.2">
      <c r="C65" s="341" t="s">
        <v>53</v>
      </c>
      <c r="D65" s="342"/>
      <c r="E65" s="343"/>
      <c r="F65" s="344" t="s">
        <v>252</v>
      </c>
      <c r="G65" s="344" t="s">
        <v>253</v>
      </c>
    </row>
    <row r="66" spans="3:11" x14ac:dyDescent="0.2">
      <c r="C66" s="345" t="str">
        <f>List!C6</f>
        <v>R</v>
      </c>
      <c r="D66" s="346" t="str">
        <f>List!B6</f>
        <v>Sch I - Residential, Schools &amp; Churches</v>
      </c>
      <c r="F66" s="369">
        <f>'Present and Proposed Rates'!O8</f>
        <v>1495931.247239992</v>
      </c>
      <c r="G66" s="355">
        <f>'Present and Proposed Rates'!P8</f>
        <v>4.3215777248536508E-2</v>
      </c>
      <c r="K66" s="347"/>
    </row>
    <row r="67" spans="3:11" x14ac:dyDescent="0.2">
      <c r="C67" s="345" t="str">
        <f>List!C7</f>
        <v>TOD</v>
      </c>
      <c r="D67" s="346" t="str">
        <f>List!B7</f>
        <v>Sch I - Res TOD</v>
      </c>
      <c r="F67" s="369">
        <f>'Present and Proposed Rates'!O10</f>
        <v>271.82686999999987</v>
      </c>
      <c r="G67" s="355">
        <f>'Present and Proposed Rates'!P10</f>
        <v>3.6858230668731333E-2</v>
      </c>
      <c r="K67" s="347"/>
    </row>
    <row r="68" spans="3:11" x14ac:dyDescent="0.2">
      <c r="C68" s="345" t="str">
        <f>List!C8</f>
        <v>C1</v>
      </c>
      <c r="D68" s="346" t="str">
        <f>List!B8</f>
        <v>Sch II - Small Commercial  Small Power</v>
      </c>
      <c r="F68" s="369">
        <f>'Present and Proposed Rates'!O13</f>
        <v>126013.92092000018</v>
      </c>
      <c r="G68" s="355">
        <f>'Present and Proposed Rates'!P13</f>
        <v>6.6141794779423418E-2</v>
      </c>
      <c r="K68" s="347"/>
    </row>
    <row r="69" spans="3:11" x14ac:dyDescent="0.2">
      <c r="C69" s="345" t="str">
        <f>List!C9</f>
        <v>C2</v>
      </c>
      <c r="D69" s="346" t="str">
        <f>List!B9</f>
        <v>Sch II - Small Commercial  Small Power</v>
      </c>
      <c r="F69" s="369">
        <f>'Present and Proposed Rates'!O16</f>
        <v>0</v>
      </c>
      <c r="G69" s="355">
        <f>'Present and Proposed Rates'!P16</f>
        <v>0</v>
      </c>
      <c r="K69" s="347"/>
    </row>
    <row r="70" spans="3:11" x14ac:dyDescent="0.2">
      <c r="C70" s="345" t="str">
        <f>List!C10</f>
        <v>IB</v>
      </c>
      <c r="D70" s="346" t="str">
        <f>List!B10</f>
        <v>Sch VII - Inclining Block Rate</v>
      </c>
      <c r="F70" s="369">
        <f>'Present and Proposed Rates'!O20</f>
        <v>17237.128649999984</v>
      </c>
      <c r="G70" s="355">
        <f>'Present and Proposed Rates'!P20</f>
        <v>0.17102865101121362</v>
      </c>
      <c r="K70" s="347"/>
    </row>
    <row r="71" spans="3:11" x14ac:dyDescent="0.2">
      <c r="C71" s="345" t="str">
        <f>List!C11</f>
        <v>E1</v>
      </c>
      <c r="D71" s="346" t="str">
        <f>List!B11</f>
        <v>Sch III - All 3Phase Schools &amp; Churches</v>
      </c>
      <c r="F71" s="369">
        <f>'Present and Proposed Rates'!O24</f>
        <v>0</v>
      </c>
      <c r="G71" s="355">
        <f>'Present and Proposed Rates'!P24</f>
        <v>0</v>
      </c>
      <c r="K71" s="347"/>
    </row>
    <row r="72" spans="3:11" x14ac:dyDescent="0.2">
      <c r="C72" s="345" t="str">
        <f>List!C12</f>
        <v>L1</v>
      </c>
      <c r="D72" s="346" t="str">
        <f>List!B12</f>
        <v>Sch IV-A - Large Power 50-2500 kW</v>
      </c>
      <c r="F72" s="369">
        <f>'Present and Proposed Rates'!O26</f>
        <v>608984.22999999672</v>
      </c>
      <c r="G72" s="355">
        <f>'Present and Proposed Rates'!P26</f>
        <v>8.2269598813049585E-2</v>
      </c>
      <c r="K72" s="347"/>
    </row>
    <row r="73" spans="3:11" x14ac:dyDescent="0.2">
      <c r="C73" s="345" t="str">
        <f>List!C13</f>
        <v>S</v>
      </c>
      <c r="D73" s="346" t="str">
        <f>List!B13</f>
        <v>Sch VI - Outdoor Lighting - Security Lights</v>
      </c>
      <c r="F73" s="369">
        <f>'Present and Proposed Rates'!O29</f>
        <v>0</v>
      </c>
      <c r="G73" s="355">
        <f>'Present and Proposed Rates'!P29</f>
        <v>0</v>
      </c>
      <c r="K73" s="347"/>
    </row>
    <row r="74" spans="3:11" x14ac:dyDescent="0.2">
      <c r="C74" s="348" t="s">
        <v>83</v>
      </c>
      <c r="D74" s="349"/>
      <c r="E74" s="349"/>
      <c r="F74" s="370">
        <f>'Present and Proposed Rates'!O36</f>
        <v>2248438.353679989</v>
      </c>
      <c r="G74" s="356">
        <f>'Present and Proposed Rates'!P36</f>
        <v>3.9208484070669479E-2</v>
      </c>
      <c r="K74" s="347"/>
    </row>
    <row r="75" spans="3:11" x14ac:dyDescent="0.2">
      <c r="C75" s="345"/>
      <c r="D75" s="328"/>
      <c r="F75" s="350"/>
      <c r="G75" s="351"/>
    </row>
    <row r="76" spans="3:11" x14ac:dyDescent="0.2">
      <c r="D76" s="328"/>
    </row>
    <row r="77" spans="3:11" ht="40.15" customHeight="1" x14ac:dyDescent="0.2">
      <c r="C77" s="439" t="s">
        <v>254</v>
      </c>
      <c r="D77" s="439"/>
      <c r="E77" s="439"/>
      <c r="F77" s="439"/>
      <c r="G77" s="439"/>
    </row>
    <row r="78" spans="3:11" x14ac:dyDescent="0.2">
      <c r="D78" s="328"/>
      <c r="E78" s="352" t="s">
        <v>255</v>
      </c>
      <c r="F78" s="440" t="s">
        <v>58</v>
      </c>
      <c r="G78" s="440"/>
    </row>
    <row r="79" spans="3:11" x14ac:dyDescent="0.2">
      <c r="C79" s="341" t="s">
        <v>53</v>
      </c>
      <c r="D79" s="343"/>
      <c r="E79" s="353" t="s">
        <v>256</v>
      </c>
      <c r="F79" s="344" t="s">
        <v>252</v>
      </c>
      <c r="G79" s="344" t="s">
        <v>253</v>
      </c>
    </row>
    <row r="80" spans="3:11" x14ac:dyDescent="0.2">
      <c r="C80" s="329" t="str">
        <f t="shared" ref="C80:D87" si="22">C66</f>
        <v>R</v>
      </c>
      <c r="D80" s="354" t="str">
        <f t="shared" si="22"/>
        <v>Sch I - Residential, Schools &amp; Churches</v>
      </c>
      <c r="E80" s="361">
        <f>'R'!D17</f>
        <v>994.66784188984786</v>
      </c>
      <c r="F80" s="366">
        <f>'Present and Proposed Rates'!Q8</f>
        <v>5.5299178135119256</v>
      </c>
      <c r="G80" s="355">
        <f t="shared" ref="G80:G87" si="23">G66</f>
        <v>4.3215777248536508E-2</v>
      </c>
    </row>
    <row r="81" spans="3:7" x14ac:dyDescent="0.2">
      <c r="C81" s="329" t="str">
        <f t="shared" si="22"/>
        <v>TOD</v>
      </c>
      <c r="D81" s="354" t="str">
        <f t="shared" si="22"/>
        <v>Sch I - Res TOD</v>
      </c>
      <c r="E81" s="361">
        <f>TOD!D19</f>
        <v>486.18627450980392</v>
      </c>
      <c r="F81" s="366">
        <f>'Present and Proposed Rates'!Q10</f>
        <v>2.6649693137254888</v>
      </c>
      <c r="G81" s="355">
        <f t="shared" si="23"/>
        <v>3.6858230668731333E-2</v>
      </c>
    </row>
    <row r="82" spans="3:7" x14ac:dyDescent="0.2">
      <c r="C82" s="329" t="str">
        <f t="shared" si="22"/>
        <v>C1</v>
      </c>
      <c r="D82" s="354" t="str">
        <f t="shared" si="22"/>
        <v>Sch II - Small Commercial  Small Power</v>
      </c>
      <c r="E82" s="361">
        <f>'C1'!D19</f>
        <v>946.27941080623089</v>
      </c>
      <c r="F82" s="366">
        <f>'Present and Proposed Rates'!Q13</f>
        <v>8.2648337981242328</v>
      </c>
      <c r="G82" s="355">
        <f t="shared" si="23"/>
        <v>6.6141794779423418E-2</v>
      </c>
    </row>
    <row r="83" spans="3:7" x14ac:dyDescent="0.2">
      <c r="C83" s="329" t="str">
        <f t="shared" si="22"/>
        <v>C2</v>
      </c>
      <c r="D83" s="354" t="str">
        <f t="shared" si="22"/>
        <v>Sch II - Small Commercial  Small Power</v>
      </c>
      <c r="E83" s="361">
        <f>'C2'!D19</f>
        <v>4748.7591418820084</v>
      </c>
      <c r="F83" s="366">
        <f>'Present and Proposed Rates'!Q16</f>
        <v>0</v>
      </c>
      <c r="G83" s="355">
        <f t="shared" si="23"/>
        <v>0</v>
      </c>
    </row>
    <row r="84" spans="3:7" x14ac:dyDescent="0.2">
      <c r="C84" s="329" t="str">
        <f t="shared" si="22"/>
        <v>IB</v>
      </c>
      <c r="D84" s="354" t="str">
        <f t="shared" si="22"/>
        <v>Sch VII - Inclining Block Rate</v>
      </c>
      <c r="E84" s="361">
        <f>IB!D20</f>
        <v>282.41619748809006</v>
      </c>
      <c r="F84" s="366">
        <f>'Present and Proposed Rates'!Q20</f>
        <v>7.3883963351907349</v>
      </c>
      <c r="G84" s="355">
        <f t="shared" si="23"/>
        <v>0.17102865101121362</v>
      </c>
    </row>
    <row r="85" spans="3:7" x14ac:dyDescent="0.2">
      <c r="C85" s="329" t="str">
        <f t="shared" si="22"/>
        <v>E1</v>
      </c>
      <c r="D85" s="354" t="str">
        <f t="shared" si="22"/>
        <v>Sch III - All 3Phase Schools &amp; Churches</v>
      </c>
      <c r="E85" s="362">
        <f>'E1'!D16</f>
        <v>21859.386524822694</v>
      </c>
      <c r="F85" s="367">
        <f>'Present and Proposed Rates'!Q24</f>
        <v>0</v>
      </c>
      <c r="G85" s="355">
        <f t="shared" si="23"/>
        <v>0</v>
      </c>
    </row>
    <row r="86" spans="3:7" x14ac:dyDescent="0.2">
      <c r="C86" s="329" t="str">
        <f t="shared" si="22"/>
        <v>L1</v>
      </c>
      <c r="D86" s="354" t="str">
        <f t="shared" si="22"/>
        <v>Sch IV-A - Large Power 50-2500 kW</v>
      </c>
      <c r="E86" s="363">
        <f>'L1'!D18</f>
        <v>105040.92527173914</v>
      </c>
      <c r="F86" s="368">
        <f>'Present and Proposed Rates'!Q26</f>
        <v>801.29503947367994</v>
      </c>
      <c r="G86" s="355">
        <f t="shared" si="23"/>
        <v>8.2269598813049585E-2</v>
      </c>
    </row>
    <row r="87" spans="3:7" x14ac:dyDescent="0.2">
      <c r="C87" s="329" t="str">
        <f t="shared" si="22"/>
        <v>S</v>
      </c>
      <c r="D87" s="354" t="str">
        <f t="shared" si="22"/>
        <v>Sch VI - Outdoor Lighting - Security Lights</v>
      </c>
      <c r="E87" s="362" t="s">
        <v>257</v>
      </c>
      <c r="F87" s="366">
        <f>'Present and Proposed Rates'!Q29</f>
        <v>0</v>
      </c>
      <c r="G87" s="355">
        <f t="shared" si="23"/>
        <v>0</v>
      </c>
    </row>
    <row r="88" spans="3:7" x14ac:dyDescent="0.2">
      <c r="C88" s="348" t="str">
        <f t="shared" ref="C88" si="24">C74</f>
        <v>Total</v>
      </c>
      <c r="D88" s="349"/>
      <c r="E88" s="364" t="s">
        <v>257</v>
      </c>
      <c r="F88" s="365" t="s">
        <v>257</v>
      </c>
      <c r="G88" s="356">
        <f t="shared" ref="G88" si="25">G74</f>
        <v>3.9208484070669479E-2</v>
      </c>
    </row>
    <row r="89" spans="3:7" x14ac:dyDescent="0.2">
      <c r="D89" s="354"/>
    </row>
    <row r="90" spans="3:7" x14ac:dyDescent="0.2">
      <c r="D90" s="354"/>
    </row>
  </sheetData>
  <mergeCells count="4">
    <mergeCell ref="C63:G63"/>
    <mergeCell ref="F64:G64"/>
    <mergeCell ref="C77:G77"/>
    <mergeCell ref="F78:G78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W106"/>
  <sheetViews>
    <sheetView view="pageBreakPreview" topLeftCell="A4" zoomScale="85" zoomScaleNormal="85" zoomScaleSheetLayoutView="85" workbookViewId="0">
      <selection activeCell="Y26" sqref="Y26"/>
    </sheetView>
  </sheetViews>
  <sheetFormatPr defaultColWidth="9.140625" defaultRowHeight="15.75" x14ac:dyDescent="0.25"/>
  <cols>
    <col min="1" max="1" width="4.7109375" style="2" customWidth="1"/>
    <col min="2" max="2" width="15" style="2" bestFit="1" customWidth="1"/>
    <col min="3" max="3" width="22.28515625" style="2" customWidth="1"/>
    <col min="4" max="4" width="14.5703125" style="2" bestFit="1" customWidth="1"/>
    <col min="5" max="5" width="17" style="2" customWidth="1"/>
    <col min="6" max="6" width="2.7109375" style="2" customWidth="1"/>
    <col min="7" max="7" width="18" style="2" bestFit="1" customWidth="1"/>
    <col min="8" max="8" width="10" style="2" customWidth="1"/>
    <col min="9" max="10" width="4.7109375" style="2" customWidth="1"/>
    <col min="11" max="11" width="19.85546875" style="2" customWidth="1"/>
    <col min="12" max="12" width="14.5703125" style="2" customWidth="1"/>
    <col min="13" max="13" width="20.85546875" style="2" hidden="1" customWidth="1"/>
    <col min="14" max="14" width="2.7109375" style="2" hidden="1" customWidth="1"/>
    <col min="15" max="15" width="15.5703125" style="2" hidden="1" customWidth="1"/>
    <col min="16" max="16" width="10.28515625" style="2" hidden="1" customWidth="1"/>
    <col min="17" max="17" width="5" style="2" hidden="1" customWidth="1"/>
    <col min="18" max="18" width="9.140625" style="2" hidden="1" customWidth="1"/>
    <col min="19" max="19" width="22.7109375" style="2" hidden="1" customWidth="1"/>
    <col min="20" max="20" width="14.42578125" style="2" hidden="1" customWidth="1"/>
    <col min="21" max="21" width="12.7109375" style="2" hidden="1" customWidth="1"/>
    <col min="22" max="22" width="2.85546875" style="2" hidden="1" customWidth="1"/>
    <col min="23" max="23" width="17.7109375" style="2" hidden="1" customWidth="1"/>
    <col min="24" max="16384" width="9.140625" style="2"/>
  </cols>
  <sheetData>
    <row r="1" spans="1:23" x14ac:dyDescent="0.25">
      <c r="A1" s="1" t="s">
        <v>65</v>
      </c>
      <c r="I1" s="1"/>
      <c r="Q1" s="1"/>
    </row>
    <row r="2" spans="1:23" x14ac:dyDescent="0.25">
      <c r="A2" s="2" t="s">
        <v>72</v>
      </c>
    </row>
    <row r="3" spans="1:23" ht="16.5" thickBot="1" x14ac:dyDescent="0.3">
      <c r="A3" s="2" t="s">
        <v>82</v>
      </c>
    </row>
    <row r="4" spans="1:23" x14ac:dyDescent="0.25">
      <c r="D4" s="421" t="s">
        <v>30</v>
      </c>
      <c r="E4" s="422"/>
      <c r="F4" s="422"/>
      <c r="G4" s="423"/>
      <c r="L4" s="421" t="s">
        <v>47</v>
      </c>
      <c r="M4" s="422"/>
      <c r="N4" s="422"/>
      <c r="O4" s="423"/>
      <c r="T4" s="421" t="s">
        <v>51</v>
      </c>
      <c r="U4" s="422"/>
      <c r="V4" s="422"/>
      <c r="W4" s="423"/>
    </row>
    <row r="5" spans="1:23" ht="16.5" thickBot="1" x14ac:dyDescent="0.3">
      <c r="A5" s="3"/>
      <c r="B5" s="3"/>
      <c r="C5" s="3"/>
      <c r="D5" s="424"/>
      <c r="E5" s="425"/>
      <c r="F5" s="425"/>
      <c r="G5" s="426"/>
      <c r="I5" s="3"/>
      <c r="J5" s="3"/>
      <c r="K5" s="3"/>
      <c r="L5" s="424"/>
      <c r="M5" s="425"/>
      <c r="N5" s="425"/>
      <c r="O5" s="426"/>
      <c r="Q5" s="3"/>
      <c r="R5" s="3"/>
      <c r="S5" s="3"/>
      <c r="T5" s="424"/>
      <c r="U5" s="425"/>
      <c r="V5" s="425"/>
      <c r="W5" s="426"/>
    </row>
    <row r="6" spans="1:23" x14ac:dyDescent="0.25">
      <c r="A6" s="4"/>
      <c r="B6" s="4"/>
      <c r="C6" s="4"/>
      <c r="D6" s="4" t="s">
        <v>1</v>
      </c>
      <c r="E6" s="4"/>
      <c r="F6" s="4"/>
      <c r="G6" s="4" t="s">
        <v>2</v>
      </c>
      <c r="I6" s="4"/>
      <c r="J6" s="4"/>
      <c r="K6" s="4"/>
      <c r="L6" s="4" t="s">
        <v>1</v>
      </c>
      <c r="M6" s="4"/>
      <c r="N6" s="4"/>
      <c r="O6" s="4" t="s">
        <v>2</v>
      </c>
      <c r="Q6" s="4"/>
      <c r="R6" s="4"/>
      <c r="S6" s="4"/>
      <c r="T6" s="4" t="s">
        <v>1</v>
      </c>
      <c r="U6" s="4"/>
      <c r="V6" s="4"/>
      <c r="W6" s="4" t="s">
        <v>2</v>
      </c>
    </row>
    <row r="7" spans="1:23" ht="16.5" thickBot="1" x14ac:dyDescent="0.3">
      <c r="A7" s="5"/>
      <c r="B7" s="5"/>
      <c r="C7" s="5"/>
      <c r="D7" s="5" t="s">
        <v>4</v>
      </c>
      <c r="E7" s="425" t="s">
        <v>5</v>
      </c>
      <c r="F7" s="425"/>
      <c r="G7" s="5" t="s">
        <v>6</v>
      </c>
      <c r="I7" s="5"/>
      <c r="J7" s="5"/>
      <c r="K7" s="5"/>
      <c r="L7" s="5" t="s">
        <v>4</v>
      </c>
      <c r="M7" s="425" t="s">
        <v>5</v>
      </c>
      <c r="N7" s="425"/>
      <c r="O7" s="5" t="s">
        <v>6</v>
      </c>
      <c r="Q7" s="5"/>
      <c r="R7" s="5"/>
      <c r="S7" s="5"/>
      <c r="T7" s="5" t="s">
        <v>4</v>
      </c>
      <c r="U7" s="425" t="s">
        <v>5</v>
      </c>
      <c r="V7" s="425"/>
      <c r="W7" s="5" t="s">
        <v>6</v>
      </c>
    </row>
    <row r="10" spans="1:23" x14ac:dyDescent="0.25">
      <c r="A10" s="1" t="s">
        <v>34</v>
      </c>
      <c r="I10" s="1" t="s">
        <v>34</v>
      </c>
      <c r="Q10" s="1" t="s">
        <v>10</v>
      </c>
    </row>
    <row r="11" spans="1:23" ht="31.5" x14ac:dyDescent="0.25">
      <c r="D11" s="6" t="s">
        <v>9</v>
      </c>
      <c r="E11" s="6" t="s">
        <v>12</v>
      </c>
      <c r="L11" s="6" t="s">
        <v>9</v>
      </c>
      <c r="M11" s="6" t="s">
        <v>12</v>
      </c>
      <c r="T11" s="6" t="s">
        <v>9</v>
      </c>
      <c r="U11" s="6" t="s">
        <v>12</v>
      </c>
    </row>
    <row r="12" spans="1:23" x14ac:dyDescent="0.25">
      <c r="B12" s="2" t="s">
        <v>40</v>
      </c>
      <c r="D12" s="8">
        <f>D52+D70+D88+D106</f>
        <v>211</v>
      </c>
      <c r="E12" s="9">
        <v>5</v>
      </c>
      <c r="G12" s="11">
        <f>D12*E12</f>
        <v>1055</v>
      </c>
      <c r="J12" s="2" t="s">
        <v>40</v>
      </c>
      <c r="L12" s="8">
        <f>D12</f>
        <v>211</v>
      </c>
      <c r="M12" s="9">
        <v>28.119042541556922</v>
      </c>
      <c r="O12" s="11">
        <f>L12*M12</f>
        <v>5933.1179762685106</v>
      </c>
      <c r="R12" s="2" t="s">
        <v>9</v>
      </c>
      <c r="T12" s="8">
        <f>L12</f>
        <v>211</v>
      </c>
      <c r="U12" s="9">
        <f>M12</f>
        <v>28.119042541556922</v>
      </c>
      <c r="W12" s="11">
        <f>T12*U12</f>
        <v>5933.1179762685106</v>
      </c>
    </row>
    <row r="13" spans="1:23" x14ac:dyDescent="0.25">
      <c r="D13" s="8"/>
      <c r="G13" s="11"/>
      <c r="L13" s="8"/>
      <c r="O13" s="11"/>
      <c r="W13" s="11"/>
    </row>
    <row r="14" spans="1:23" x14ac:dyDescent="0.25">
      <c r="A14" s="1" t="s">
        <v>7</v>
      </c>
      <c r="D14" s="8"/>
      <c r="G14" s="11"/>
      <c r="I14" s="1" t="s">
        <v>7</v>
      </c>
      <c r="L14" s="8"/>
      <c r="O14" s="11"/>
    </row>
    <row r="15" spans="1:23" x14ac:dyDescent="0.25">
      <c r="D15" s="13" t="s">
        <v>8</v>
      </c>
      <c r="E15" s="12" t="s">
        <v>11</v>
      </c>
      <c r="G15" s="11"/>
      <c r="L15" s="13" t="s">
        <v>8</v>
      </c>
      <c r="M15" s="12" t="s">
        <v>11</v>
      </c>
      <c r="O15" s="11"/>
      <c r="Q15" s="1" t="s">
        <v>7</v>
      </c>
      <c r="T15" s="8"/>
      <c r="W15" s="11"/>
    </row>
    <row r="16" spans="1:23" x14ac:dyDescent="0.25">
      <c r="G16" s="11"/>
      <c r="H16" s="15"/>
      <c r="O16" s="11"/>
      <c r="P16" s="15"/>
      <c r="T16" s="13" t="s">
        <v>8</v>
      </c>
      <c r="U16" s="12" t="s">
        <v>11</v>
      </c>
      <c r="W16" s="11"/>
    </row>
    <row r="17" spans="1:23" x14ac:dyDescent="0.25">
      <c r="C17" s="2" t="s">
        <v>73</v>
      </c>
      <c r="D17" s="8">
        <f>L52+L70</f>
        <v>152656</v>
      </c>
      <c r="E17" s="18">
        <v>0.12958</v>
      </c>
      <c r="G17" s="11">
        <f>D17*E17</f>
        <v>19781.164479999999</v>
      </c>
      <c r="H17" s="15"/>
      <c r="K17" s="2" t="s">
        <v>48</v>
      </c>
      <c r="L17" s="8">
        <f>D21</f>
        <v>287187</v>
      </c>
      <c r="M17" s="53">
        <v>3.0599472934085808E-2</v>
      </c>
      <c r="O17" s="11">
        <f>L17*M17</f>
        <v>8787.770833521301</v>
      </c>
      <c r="P17" s="15"/>
      <c r="R17" s="2" t="s">
        <v>49</v>
      </c>
      <c r="S17" s="16"/>
      <c r="T17" s="8">
        <f>D17</f>
        <v>152656</v>
      </c>
      <c r="U17" s="53">
        <v>0.19430837118280289</v>
      </c>
      <c r="W17" s="39">
        <f>T17*U17</f>
        <v>29662.338711281958</v>
      </c>
    </row>
    <row r="18" spans="1:23" x14ac:dyDescent="0.25">
      <c r="C18" s="2" t="s">
        <v>74</v>
      </c>
      <c r="D18" s="8">
        <f>K52+K70</f>
        <v>98960</v>
      </c>
      <c r="E18" s="18">
        <v>8.4940000000000002E-2</v>
      </c>
      <c r="G18" s="36">
        <f>D18*E18</f>
        <v>8405.6623999999993</v>
      </c>
      <c r="K18" s="2" t="s">
        <v>31</v>
      </c>
      <c r="L18" s="8">
        <f>L17</f>
        <v>287187</v>
      </c>
      <c r="M18" s="81">
        <v>4.3642882987992938E-2</v>
      </c>
      <c r="O18" s="36">
        <f>L18*M18</f>
        <v>12533.668636672728</v>
      </c>
      <c r="R18" s="7" t="s">
        <v>50</v>
      </c>
      <c r="S18" s="12"/>
      <c r="T18" s="17">
        <f>D18</f>
        <v>98960</v>
      </c>
      <c r="U18" s="75">
        <f>M17+M21</f>
        <v>5.0224803372726182E-2</v>
      </c>
      <c r="V18" s="37"/>
      <c r="W18" s="37">
        <f>T18*U18</f>
        <v>4970.2465417649828</v>
      </c>
    </row>
    <row r="19" spans="1:23" x14ac:dyDescent="0.25">
      <c r="C19" s="2" t="s">
        <v>75</v>
      </c>
      <c r="D19" s="8">
        <f>L88+L106</f>
        <v>24841</v>
      </c>
      <c r="E19" s="18">
        <v>0.12009</v>
      </c>
      <c r="G19" s="36">
        <f>D19*E19</f>
        <v>2983.15569</v>
      </c>
      <c r="L19" s="8"/>
      <c r="M19" s="81"/>
      <c r="O19" s="36"/>
      <c r="S19" s="16"/>
      <c r="T19" s="8"/>
      <c r="U19" s="80"/>
      <c r="V19" s="36"/>
      <c r="W19" s="36"/>
    </row>
    <row r="20" spans="1:23" x14ac:dyDescent="0.25">
      <c r="C20" s="7" t="s">
        <v>76</v>
      </c>
      <c r="D20" s="17">
        <f>K88+K106</f>
        <v>10730</v>
      </c>
      <c r="E20" s="28">
        <v>7.5139999999999998E-2</v>
      </c>
      <c r="F20" s="7"/>
      <c r="G20" s="37">
        <f>D20*E20</f>
        <v>806.25220000000002</v>
      </c>
      <c r="L20" s="8"/>
      <c r="M20" s="81"/>
      <c r="O20" s="36"/>
      <c r="S20" s="16"/>
      <c r="T20" s="8"/>
      <c r="U20" s="80"/>
      <c r="V20" s="36"/>
      <c r="W20" s="36"/>
    </row>
    <row r="21" spans="1:23" x14ac:dyDescent="0.25">
      <c r="B21" s="2" t="s">
        <v>21</v>
      </c>
      <c r="C21" s="16"/>
      <c r="D21" s="8">
        <f>SUM(D17:D20)</f>
        <v>287187</v>
      </c>
      <c r="E21" s="18"/>
      <c r="G21" s="11">
        <f>SUM(G17:G20)</f>
        <v>31976.234769999999</v>
      </c>
      <c r="H21" s="15"/>
      <c r="K21" s="7" t="s">
        <v>27</v>
      </c>
      <c r="L21" s="17">
        <f>L17</f>
        <v>287187</v>
      </c>
      <c r="M21" s="75">
        <v>1.9625330438640377E-2</v>
      </c>
      <c r="N21" s="7"/>
      <c r="O21" s="37">
        <f>L21*M21</f>
        <v>5636.1397726818141</v>
      </c>
      <c r="P21" s="15"/>
      <c r="S21" s="16"/>
      <c r="T21" s="8"/>
      <c r="U21" s="80"/>
      <c r="V21" s="36"/>
      <c r="W21" s="36">
        <f>SUM(W17:W18)</f>
        <v>34632.585253046942</v>
      </c>
    </row>
    <row r="22" spans="1:23" x14ac:dyDescent="0.25">
      <c r="D22" s="8"/>
      <c r="E22" s="18"/>
      <c r="G22" s="11"/>
      <c r="J22" s="2" t="s">
        <v>21</v>
      </c>
      <c r="K22" s="16"/>
      <c r="L22" s="8"/>
      <c r="M22" s="54">
        <f>SUM(M17:M21)</f>
        <v>9.3867686360719127E-2</v>
      </c>
      <c r="O22" s="11">
        <f>SUM(O17:O21)</f>
        <v>26957.579242875843</v>
      </c>
    </row>
    <row r="23" spans="1:23" x14ac:dyDescent="0.25">
      <c r="A23" s="1"/>
      <c r="D23" s="8"/>
      <c r="E23" s="9"/>
      <c r="G23" s="11"/>
      <c r="L23" s="8"/>
      <c r="M23" s="18"/>
      <c r="O23" s="11"/>
    </row>
    <row r="24" spans="1:23" x14ac:dyDescent="0.25">
      <c r="D24" s="8"/>
      <c r="E24" s="18"/>
      <c r="G24" s="11"/>
      <c r="I24" s="1" t="s">
        <v>18</v>
      </c>
      <c r="L24" s="8">
        <v>0</v>
      </c>
      <c r="M24" s="9">
        <v>20</v>
      </c>
      <c r="O24" s="11">
        <f>L24*M24</f>
        <v>0</v>
      </c>
      <c r="Q24" s="1" t="s">
        <v>18</v>
      </c>
      <c r="T24" s="8">
        <f>S70</f>
        <v>0</v>
      </c>
      <c r="U24" s="9">
        <v>20</v>
      </c>
      <c r="W24" s="11">
        <f>T24*U24</f>
        <v>0</v>
      </c>
    </row>
    <row r="25" spans="1:23" x14ac:dyDescent="0.25">
      <c r="D25" s="8"/>
      <c r="G25" s="11"/>
      <c r="L25" s="8"/>
      <c r="M25" s="18"/>
      <c r="O25" s="11"/>
      <c r="T25" s="8"/>
      <c r="W25" s="11"/>
    </row>
    <row r="26" spans="1:23" ht="16.5" thickBot="1" x14ac:dyDescent="0.3">
      <c r="A26" s="69" t="s">
        <v>79</v>
      </c>
      <c r="E26" s="18"/>
      <c r="G26" s="24">
        <f>G21+G12</f>
        <v>33031.234769999995</v>
      </c>
      <c r="L26" s="8"/>
      <c r="O26" s="11"/>
      <c r="T26" s="8"/>
      <c r="W26" s="11"/>
    </row>
    <row r="27" spans="1:23" ht="17.25" thickTop="1" thickBot="1" x14ac:dyDescent="0.3">
      <c r="A27" s="69"/>
      <c r="B27" s="1"/>
      <c r="G27" s="11"/>
      <c r="I27" s="1" t="s">
        <v>35</v>
      </c>
      <c r="O27" s="24">
        <f>O22+O12+O24</f>
        <v>32890.697219144356</v>
      </c>
      <c r="Q27" s="1" t="s">
        <v>35</v>
      </c>
      <c r="W27" s="24">
        <f>W12+W21+W24</f>
        <v>40565.703229315455</v>
      </c>
    </row>
    <row r="28" spans="1:23" ht="16.5" thickTop="1" x14ac:dyDescent="0.25">
      <c r="A28" s="69" t="s">
        <v>19</v>
      </c>
      <c r="B28" s="10"/>
      <c r="G28" s="11">
        <f>G52+E52+E70+G70+E88+G88+E106+G106</f>
        <v>33198.890000000007</v>
      </c>
      <c r="H28" s="21"/>
      <c r="I28" s="1"/>
      <c r="J28" s="1"/>
      <c r="O28" s="11"/>
      <c r="P28" s="21"/>
    </row>
    <row r="29" spans="1:23" x14ac:dyDescent="0.25">
      <c r="A29" s="95"/>
      <c r="B29" s="10"/>
      <c r="G29" s="10"/>
      <c r="H29" s="21"/>
      <c r="I29" s="1" t="s">
        <v>13</v>
      </c>
      <c r="J29" s="10"/>
      <c r="O29" s="22">
        <f>O27-G26</f>
        <v>-140.53755085563898</v>
      </c>
      <c r="P29" s="21"/>
      <c r="Q29" s="1" t="s">
        <v>13</v>
      </c>
      <c r="T29" s="8"/>
      <c r="U29" s="18"/>
      <c r="W29" s="11">
        <f>W27-G26</f>
        <v>7534.4684593154598</v>
      </c>
    </row>
    <row r="30" spans="1:23" x14ac:dyDescent="0.25">
      <c r="A30" s="69" t="s">
        <v>13</v>
      </c>
      <c r="B30" s="10"/>
      <c r="G30" s="22">
        <f>G26-G28</f>
        <v>-167.65523000001122</v>
      </c>
      <c r="I30" s="10"/>
      <c r="J30" s="10"/>
      <c r="O30" s="11"/>
      <c r="T30" s="8"/>
      <c r="W30" s="10"/>
    </row>
    <row r="31" spans="1:23" x14ac:dyDescent="0.25">
      <c r="A31" s="95"/>
      <c r="B31" s="10"/>
      <c r="G31" s="11"/>
      <c r="I31" s="1" t="s">
        <v>26</v>
      </c>
      <c r="J31" s="10"/>
      <c r="O31" s="23">
        <f>O29/G26</f>
        <v>-4.2546865666456893E-3</v>
      </c>
      <c r="Q31" s="1" t="s">
        <v>22</v>
      </c>
      <c r="T31" s="8"/>
      <c r="W31" s="23">
        <f>W29/G26</f>
        <v>0.22810132626826596</v>
      </c>
    </row>
    <row r="32" spans="1:23" x14ac:dyDescent="0.25">
      <c r="A32" s="69" t="s">
        <v>26</v>
      </c>
      <c r="B32" s="10"/>
      <c r="G32" s="23">
        <f>G30/G28</f>
        <v>-5.0500251665043976E-3</v>
      </c>
    </row>
    <row r="35" spans="1:16" x14ac:dyDescent="0.25">
      <c r="A35" s="11"/>
      <c r="B35" s="11"/>
      <c r="I35" s="11"/>
      <c r="J35" s="11"/>
    </row>
    <row r="36" spans="1:16" x14ac:dyDescent="0.25">
      <c r="A36" s="10"/>
      <c r="B36" s="10"/>
      <c r="I36" s="10"/>
      <c r="J36" s="10"/>
      <c r="O36" s="11"/>
    </row>
    <row r="37" spans="1:16" x14ac:dyDescent="0.25">
      <c r="A37" s="22"/>
      <c r="B37" s="44" t="s">
        <v>70</v>
      </c>
      <c r="G37" s="27"/>
      <c r="I37" s="22"/>
      <c r="J37" s="22"/>
    </row>
    <row r="38" spans="1:16" x14ac:dyDescent="0.25">
      <c r="A38" s="22"/>
      <c r="B38" s="44"/>
      <c r="G38" s="27"/>
      <c r="I38" s="22"/>
      <c r="J38" s="22"/>
    </row>
    <row r="39" spans="1:16" x14ac:dyDescent="0.25">
      <c r="A39" s="11"/>
      <c r="B39" s="41" t="s">
        <v>25</v>
      </c>
      <c r="C39" s="41" t="s">
        <v>8</v>
      </c>
      <c r="D39" s="41" t="s">
        <v>24</v>
      </c>
      <c r="E39" s="41" t="s">
        <v>45</v>
      </c>
      <c r="F39" s="41"/>
      <c r="G39" s="41" t="s">
        <v>46</v>
      </c>
      <c r="K39" s="41" t="s">
        <v>39</v>
      </c>
      <c r="L39" s="41" t="s">
        <v>38</v>
      </c>
      <c r="O39" s="11"/>
    </row>
    <row r="40" spans="1:16" x14ac:dyDescent="0.25">
      <c r="A40" s="23"/>
      <c r="B40" s="90">
        <v>40544</v>
      </c>
      <c r="C40" s="19">
        <v>28458</v>
      </c>
      <c r="D40" s="40">
        <v>11</v>
      </c>
      <c r="E40" s="9">
        <v>3182.82</v>
      </c>
      <c r="F40" s="9"/>
      <c r="G40" s="33">
        <v>55</v>
      </c>
      <c r="H40" s="20"/>
      <c r="I40" s="36"/>
      <c r="K40" s="36"/>
      <c r="M40" s="71"/>
      <c r="O40" s="71"/>
      <c r="P40" s="20"/>
    </row>
    <row r="41" spans="1:16" x14ac:dyDescent="0.25">
      <c r="B41" s="90">
        <v>40575</v>
      </c>
      <c r="C41" s="19">
        <v>23431</v>
      </c>
      <c r="D41" s="40">
        <v>10</v>
      </c>
      <c r="E41" s="9">
        <v>2616.89</v>
      </c>
      <c r="F41" s="9"/>
      <c r="G41" s="33">
        <v>55</v>
      </c>
      <c r="I41" s="36"/>
      <c r="K41" s="36"/>
      <c r="M41" s="71"/>
      <c r="N41" s="71"/>
      <c r="O41" s="71"/>
    </row>
    <row r="42" spans="1:16" x14ac:dyDescent="0.25">
      <c r="B42" s="90">
        <v>40603</v>
      </c>
      <c r="C42" s="19">
        <v>17779</v>
      </c>
      <c r="D42" s="40">
        <v>11</v>
      </c>
      <c r="E42" s="9">
        <v>1992.38</v>
      </c>
      <c r="F42" s="9"/>
      <c r="G42" s="33">
        <v>55</v>
      </c>
      <c r="I42" s="36"/>
      <c r="K42" s="36"/>
      <c r="M42" s="71"/>
      <c r="O42" s="71"/>
    </row>
    <row r="43" spans="1:16" x14ac:dyDescent="0.25">
      <c r="B43" s="90">
        <v>40634</v>
      </c>
      <c r="C43" s="19">
        <v>15819</v>
      </c>
      <c r="D43" s="40">
        <v>12</v>
      </c>
      <c r="E43" s="9">
        <v>1781.83</v>
      </c>
      <c r="F43" s="9"/>
      <c r="G43" s="33">
        <v>55</v>
      </c>
      <c r="I43" s="36"/>
      <c r="K43" s="36"/>
      <c r="M43" s="71"/>
      <c r="O43" s="71"/>
    </row>
    <row r="44" spans="1:16" x14ac:dyDescent="0.25">
      <c r="B44" s="90">
        <v>40664</v>
      </c>
      <c r="C44" s="19">
        <v>14984</v>
      </c>
      <c r="D44" s="67">
        <v>12</v>
      </c>
      <c r="E44" s="77">
        <v>1693.66</v>
      </c>
      <c r="F44" s="77"/>
      <c r="G44" s="92">
        <v>55</v>
      </c>
      <c r="I44" s="48"/>
      <c r="K44" s="48"/>
      <c r="M44" s="71"/>
      <c r="O44" s="71"/>
    </row>
    <row r="45" spans="1:16" x14ac:dyDescent="0.25">
      <c r="B45" s="90">
        <v>40695</v>
      </c>
      <c r="C45" s="19">
        <v>15169</v>
      </c>
      <c r="D45" s="67">
        <v>12</v>
      </c>
      <c r="E45" s="77">
        <v>1704.98</v>
      </c>
      <c r="F45" s="77"/>
      <c r="G45" s="92">
        <v>60</v>
      </c>
      <c r="I45" s="48"/>
      <c r="K45" s="48"/>
      <c r="M45" s="71"/>
      <c r="O45" s="71"/>
    </row>
    <row r="46" spans="1:16" x14ac:dyDescent="0.25">
      <c r="B46" s="90">
        <v>40725</v>
      </c>
      <c r="C46" s="19">
        <v>16866</v>
      </c>
      <c r="D46" s="68">
        <v>12</v>
      </c>
      <c r="E46" s="77">
        <v>1908.21</v>
      </c>
      <c r="F46" s="77"/>
      <c r="G46" s="77">
        <v>60</v>
      </c>
      <c r="I46" s="48"/>
      <c r="K46" s="48"/>
      <c r="M46" s="71"/>
      <c r="O46" s="71"/>
    </row>
    <row r="47" spans="1:16" ht="15" customHeight="1" x14ac:dyDescent="0.25">
      <c r="B47" s="90">
        <v>40756</v>
      </c>
      <c r="C47" s="19">
        <v>12521</v>
      </c>
      <c r="D47" s="68">
        <v>12</v>
      </c>
      <c r="E47" s="77">
        <v>1429.38</v>
      </c>
      <c r="F47" s="77"/>
      <c r="G47" s="77">
        <v>60</v>
      </c>
      <c r="I47" s="48"/>
      <c r="K47" s="48"/>
      <c r="M47" s="71"/>
      <c r="O47" s="71"/>
    </row>
    <row r="48" spans="1:16" x14ac:dyDescent="0.25">
      <c r="B48" s="90">
        <v>40422</v>
      </c>
      <c r="C48" s="19">
        <v>15269</v>
      </c>
      <c r="D48" s="68">
        <v>10</v>
      </c>
      <c r="E48" s="77">
        <v>1710.4</v>
      </c>
      <c r="F48" s="77"/>
      <c r="G48" s="77">
        <v>50</v>
      </c>
      <c r="I48" s="48"/>
      <c r="K48" s="48"/>
      <c r="M48" s="71"/>
      <c r="O48" s="71"/>
    </row>
    <row r="49" spans="2:15" x14ac:dyDescent="0.25">
      <c r="B49" s="90">
        <v>40452</v>
      </c>
      <c r="C49" s="19">
        <v>16067</v>
      </c>
      <c r="D49" s="42">
        <v>10</v>
      </c>
      <c r="E49" s="9">
        <v>1786.66</v>
      </c>
      <c r="F49" s="9"/>
      <c r="G49" s="9">
        <v>50</v>
      </c>
      <c r="I49" s="36"/>
      <c r="K49" s="36"/>
      <c r="M49" s="71"/>
      <c r="O49" s="71"/>
    </row>
    <row r="50" spans="2:15" x14ac:dyDescent="0.25">
      <c r="B50" s="90">
        <v>40483</v>
      </c>
      <c r="C50" s="19">
        <v>19134</v>
      </c>
      <c r="D50" s="42">
        <v>11</v>
      </c>
      <c r="E50" s="9">
        <v>2107.79</v>
      </c>
      <c r="F50" s="9"/>
      <c r="G50" s="9">
        <v>50</v>
      </c>
      <c r="I50" s="36"/>
      <c r="M50" s="71"/>
      <c r="O50" s="71"/>
    </row>
    <row r="51" spans="2:15" x14ac:dyDescent="0.25">
      <c r="B51" s="90">
        <v>40513</v>
      </c>
      <c r="C51" s="61">
        <v>25773</v>
      </c>
      <c r="D51" s="32">
        <v>11</v>
      </c>
      <c r="E51" s="93">
        <v>2834.79</v>
      </c>
      <c r="F51" s="93"/>
      <c r="G51" s="93">
        <v>55</v>
      </c>
      <c r="I51" s="36"/>
      <c r="K51" s="37"/>
      <c r="L51" s="7"/>
      <c r="M51" s="71"/>
      <c r="O51" s="71"/>
    </row>
    <row r="52" spans="2:15" x14ac:dyDescent="0.25">
      <c r="C52" s="19">
        <f>SUM(C40:C51)</f>
        <v>221270</v>
      </c>
      <c r="D52" s="19">
        <f>SUM(D40:D51)</f>
        <v>134</v>
      </c>
      <c r="E52" s="9">
        <f>SUM(E40:E51)</f>
        <v>24749.790000000005</v>
      </c>
      <c r="F52" s="9"/>
      <c r="G52" s="9">
        <f>SUM(G40:G51)</f>
        <v>660</v>
      </c>
      <c r="I52" s="19"/>
      <c r="K52" s="19">
        <v>89238</v>
      </c>
      <c r="L52" s="19">
        <v>132032</v>
      </c>
      <c r="M52" s="71"/>
      <c r="O52" s="20"/>
    </row>
    <row r="53" spans="2:15" x14ac:dyDescent="0.25">
      <c r="E53" s="20"/>
    </row>
    <row r="54" spans="2:15" x14ac:dyDescent="0.25">
      <c r="I54" s="19"/>
    </row>
    <row r="55" spans="2:15" x14ac:dyDescent="0.25">
      <c r="B55" s="44" t="s">
        <v>71</v>
      </c>
      <c r="G55" s="27"/>
      <c r="I55" s="22"/>
      <c r="J55" s="22"/>
      <c r="M55" s="34"/>
    </row>
    <row r="56" spans="2:15" x14ac:dyDescent="0.25">
      <c r="B56" s="44"/>
      <c r="G56" s="27"/>
      <c r="I56" s="22"/>
      <c r="J56" s="22"/>
      <c r="M56" s="34"/>
    </row>
    <row r="57" spans="2:15" x14ac:dyDescent="0.25">
      <c r="B57" s="41" t="s">
        <v>25</v>
      </c>
      <c r="C57" s="41" t="s">
        <v>8</v>
      </c>
      <c r="D57" s="41" t="s">
        <v>24</v>
      </c>
      <c r="E57" s="41" t="s">
        <v>45</v>
      </c>
      <c r="F57" s="41"/>
      <c r="G57" s="41" t="s">
        <v>46</v>
      </c>
      <c r="K57" s="41" t="s">
        <v>39</v>
      </c>
      <c r="L57" s="41" t="s">
        <v>38</v>
      </c>
      <c r="M57" s="34"/>
    </row>
    <row r="58" spans="2:15" x14ac:dyDescent="0.25">
      <c r="B58" s="90">
        <v>40544</v>
      </c>
      <c r="C58" s="19">
        <v>2479</v>
      </c>
      <c r="D58" s="40">
        <v>2</v>
      </c>
      <c r="E58" s="9">
        <v>287.79000000000002</v>
      </c>
      <c r="F58" s="9"/>
      <c r="G58" s="33">
        <v>10</v>
      </c>
      <c r="H58" s="20"/>
      <c r="I58" s="36"/>
      <c r="K58" s="36"/>
      <c r="M58" s="34"/>
    </row>
    <row r="59" spans="2:15" x14ac:dyDescent="0.25">
      <c r="B59" s="90">
        <v>40575</v>
      </c>
      <c r="C59" s="19">
        <v>2531</v>
      </c>
      <c r="D59" s="40">
        <v>2</v>
      </c>
      <c r="E59" s="9">
        <v>292.75</v>
      </c>
      <c r="F59" s="9"/>
      <c r="G59" s="33">
        <v>10</v>
      </c>
      <c r="I59" s="36"/>
      <c r="K59" s="36"/>
      <c r="M59" s="34"/>
    </row>
    <row r="60" spans="2:15" x14ac:dyDescent="0.25">
      <c r="B60" s="90">
        <v>40603</v>
      </c>
      <c r="C60" s="19">
        <v>2166</v>
      </c>
      <c r="D60" s="40">
        <v>2</v>
      </c>
      <c r="E60" s="9">
        <v>252.24</v>
      </c>
      <c r="F60" s="9"/>
      <c r="G60" s="33">
        <v>10</v>
      </c>
      <c r="I60" s="36"/>
      <c r="K60" s="36"/>
      <c r="M60" s="34"/>
    </row>
    <row r="61" spans="2:15" x14ac:dyDescent="0.25">
      <c r="B61" s="90">
        <v>40634</v>
      </c>
      <c r="C61" s="19">
        <v>2323</v>
      </c>
      <c r="D61" s="40">
        <v>2</v>
      </c>
      <c r="E61" s="9">
        <v>269.67</v>
      </c>
      <c r="F61" s="9"/>
      <c r="G61" s="33">
        <v>10</v>
      </c>
      <c r="I61" s="36"/>
      <c r="K61" s="36"/>
      <c r="M61" s="34"/>
    </row>
    <row r="62" spans="2:15" x14ac:dyDescent="0.25">
      <c r="B62" s="90">
        <v>40664</v>
      </c>
      <c r="C62" s="19">
        <v>2455</v>
      </c>
      <c r="D62" s="67">
        <v>2</v>
      </c>
      <c r="E62" s="77">
        <v>284.06</v>
      </c>
      <c r="F62" s="77"/>
      <c r="G62" s="92">
        <v>10</v>
      </c>
      <c r="I62" s="48"/>
      <c r="K62" s="48"/>
      <c r="M62" s="34"/>
    </row>
    <row r="63" spans="2:15" x14ac:dyDescent="0.25">
      <c r="B63" s="90">
        <v>40695</v>
      </c>
      <c r="C63" s="19">
        <v>2587</v>
      </c>
      <c r="D63" s="67">
        <v>2</v>
      </c>
      <c r="E63" s="77">
        <v>296.17</v>
      </c>
      <c r="F63" s="77"/>
      <c r="G63" s="92">
        <v>10</v>
      </c>
      <c r="I63" s="48"/>
      <c r="K63" s="48"/>
      <c r="M63" s="34"/>
    </row>
    <row r="64" spans="2:15" x14ac:dyDescent="0.25">
      <c r="B64" s="90">
        <v>40725</v>
      </c>
      <c r="C64" s="19">
        <v>2733</v>
      </c>
      <c r="D64" s="68">
        <v>2</v>
      </c>
      <c r="E64" s="77">
        <v>312.94</v>
      </c>
      <c r="F64" s="77"/>
      <c r="G64" s="77">
        <v>10</v>
      </c>
      <c r="I64" s="48"/>
      <c r="K64" s="48"/>
      <c r="M64" s="34"/>
    </row>
    <row r="65" spans="2:13" x14ac:dyDescent="0.25">
      <c r="B65" s="90">
        <v>40756</v>
      </c>
      <c r="C65" s="19">
        <v>2881</v>
      </c>
      <c r="D65" s="68">
        <v>2</v>
      </c>
      <c r="E65" s="77">
        <v>329.12</v>
      </c>
      <c r="F65" s="77"/>
      <c r="G65" s="77">
        <v>10</v>
      </c>
      <c r="I65" s="48"/>
      <c r="K65" s="48"/>
      <c r="M65" s="34"/>
    </row>
    <row r="66" spans="2:13" x14ac:dyDescent="0.25">
      <c r="B66" s="90">
        <v>40422</v>
      </c>
      <c r="C66" s="19">
        <v>3131</v>
      </c>
      <c r="D66" s="68">
        <v>2</v>
      </c>
      <c r="E66" s="77">
        <v>358.4</v>
      </c>
      <c r="F66" s="77"/>
      <c r="G66" s="77">
        <v>10</v>
      </c>
      <c r="I66" s="48"/>
      <c r="K66" s="48"/>
    </row>
    <row r="67" spans="2:13" x14ac:dyDescent="0.25">
      <c r="B67" s="90">
        <v>40452</v>
      </c>
      <c r="C67" s="19">
        <v>2597</v>
      </c>
      <c r="D67" s="42">
        <v>2</v>
      </c>
      <c r="E67" s="9">
        <v>298.31</v>
      </c>
      <c r="F67" s="9"/>
      <c r="G67" s="77">
        <v>10</v>
      </c>
      <c r="I67" s="36"/>
      <c r="K67" s="36"/>
    </row>
    <row r="68" spans="2:13" x14ac:dyDescent="0.25">
      <c r="B68" s="90">
        <v>40483</v>
      </c>
      <c r="C68" s="19">
        <v>2121</v>
      </c>
      <c r="D68" s="42">
        <v>2</v>
      </c>
      <c r="E68" s="9">
        <v>245.24</v>
      </c>
      <c r="F68" s="9"/>
      <c r="G68" s="77">
        <v>10</v>
      </c>
      <c r="I68" s="36"/>
    </row>
    <row r="69" spans="2:13" x14ac:dyDescent="0.25">
      <c r="B69" s="90">
        <v>40513</v>
      </c>
      <c r="C69" s="61">
        <v>2342</v>
      </c>
      <c r="D69" s="32">
        <v>2</v>
      </c>
      <c r="E69" s="93">
        <v>271.57</v>
      </c>
      <c r="F69" s="93"/>
      <c r="G69" s="94">
        <v>10</v>
      </c>
      <c r="I69" s="36"/>
      <c r="K69" s="37"/>
      <c r="L69" s="7"/>
    </row>
    <row r="70" spans="2:13" x14ac:dyDescent="0.25">
      <c r="C70" s="19">
        <f>SUM(C58:C69)</f>
        <v>30346</v>
      </c>
      <c r="D70" s="19">
        <f>SUM(D58:D69)</f>
        <v>24</v>
      </c>
      <c r="E70" s="9">
        <f>SUM(E58:E69)</f>
        <v>3498.2600000000007</v>
      </c>
      <c r="F70" s="9"/>
      <c r="G70" s="9">
        <f>SUM(G58:G69)</f>
        <v>120</v>
      </c>
      <c r="I70" s="19"/>
      <c r="K70" s="19">
        <v>9722</v>
      </c>
      <c r="L70" s="19">
        <v>20624</v>
      </c>
    </row>
    <row r="73" spans="2:13" x14ac:dyDescent="0.25">
      <c r="B73" s="44" t="s">
        <v>77</v>
      </c>
      <c r="G73" s="27"/>
      <c r="I73" s="22"/>
      <c r="J73" s="22"/>
    </row>
    <row r="74" spans="2:13" x14ac:dyDescent="0.25">
      <c r="B74" s="44"/>
      <c r="G74" s="27"/>
      <c r="I74" s="22"/>
      <c r="J74" s="22"/>
    </row>
    <row r="75" spans="2:13" x14ac:dyDescent="0.25">
      <c r="B75" s="41" t="s">
        <v>25</v>
      </c>
      <c r="C75" s="41" t="s">
        <v>8</v>
      </c>
      <c r="D75" s="41" t="s">
        <v>24</v>
      </c>
      <c r="E75" s="41" t="s">
        <v>45</v>
      </c>
      <c r="F75" s="41"/>
      <c r="G75" s="41" t="s">
        <v>46</v>
      </c>
      <c r="K75" s="41" t="s">
        <v>39</v>
      </c>
      <c r="L75" s="41" t="s">
        <v>38</v>
      </c>
    </row>
    <row r="76" spans="2:13" x14ac:dyDescent="0.25">
      <c r="B76" s="90">
        <v>40544</v>
      </c>
      <c r="C76" s="19">
        <v>1480</v>
      </c>
      <c r="D76" s="40">
        <v>2</v>
      </c>
      <c r="E76" s="9">
        <v>166.42</v>
      </c>
      <c r="F76" s="9"/>
      <c r="G76" s="33">
        <v>10</v>
      </c>
      <c r="H76" s="20"/>
      <c r="I76" s="36"/>
      <c r="K76" s="36"/>
    </row>
    <row r="77" spans="2:13" x14ac:dyDescent="0.25">
      <c r="B77" s="90">
        <v>40575</v>
      </c>
      <c r="C77" s="19">
        <v>1586</v>
      </c>
      <c r="D77" s="40">
        <v>2</v>
      </c>
      <c r="E77" s="9">
        <v>176.7</v>
      </c>
      <c r="F77" s="9"/>
      <c r="G77" s="33">
        <v>10</v>
      </c>
      <c r="I77" s="36"/>
      <c r="K77" s="36"/>
    </row>
    <row r="78" spans="2:13" x14ac:dyDescent="0.25">
      <c r="B78" s="90">
        <v>40603</v>
      </c>
      <c r="C78" s="19">
        <v>1155</v>
      </c>
      <c r="D78" s="40">
        <v>2</v>
      </c>
      <c r="E78" s="9">
        <v>130.33000000000001</v>
      </c>
      <c r="F78" s="9"/>
      <c r="G78" s="33">
        <v>10</v>
      </c>
      <c r="I78" s="36"/>
      <c r="K78" s="36"/>
    </row>
    <row r="79" spans="2:13" x14ac:dyDescent="0.25">
      <c r="B79" s="90">
        <v>40634</v>
      </c>
      <c r="C79" s="19">
        <v>1341</v>
      </c>
      <c r="D79" s="40">
        <v>2</v>
      </c>
      <c r="E79" s="9">
        <v>151.03</v>
      </c>
      <c r="F79" s="9"/>
      <c r="G79" s="33">
        <v>10</v>
      </c>
      <c r="I79" s="36"/>
      <c r="K79" s="36"/>
    </row>
    <row r="80" spans="2:13" x14ac:dyDescent="0.25">
      <c r="B80" s="90">
        <v>40664</v>
      </c>
      <c r="C80" s="19">
        <v>1014</v>
      </c>
      <c r="D80" s="67">
        <v>2</v>
      </c>
      <c r="E80" s="77">
        <v>114.24</v>
      </c>
      <c r="F80" s="77"/>
      <c r="G80" s="92">
        <v>10</v>
      </c>
      <c r="I80" s="48"/>
      <c r="K80" s="48"/>
    </row>
    <row r="81" spans="2:12" x14ac:dyDescent="0.25">
      <c r="B81" s="90">
        <v>40695</v>
      </c>
      <c r="C81" s="19">
        <v>1148</v>
      </c>
      <c r="D81" s="67">
        <v>2</v>
      </c>
      <c r="E81" s="77">
        <v>129.30000000000001</v>
      </c>
      <c r="F81" s="77"/>
      <c r="G81" s="92">
        <v>10</v>
      </c>
      <c r="I81" s="48"/>
      <c r="K81" s="48"/>
    </row>
    <row r="82" spans="2:12" x14ac:dyDescent="0.25">
      <c r="B82" s="90">
        <v>40725</v>
      </c>
      <c r="C82" s="19">
        <v>1170</v>
      </c>
      <c r="D82" s="68">
        <v>2</v>
      </c>
      <c r="E82" s="77">
        <v>130.76</v>
      </c>
      <c r="F82" s="77"/>
      <c r="G82" s="77">
        <v>10</v>
      </c>
      <c r="I82" s="48"/>
      <c r="K82" s="48"/>
    </row>
    <row r="83" spans="2:12" x14ac:dyDescent="0.25">
      <c r="B83" s="90">
        <v>40756</v>
      </c>
      <c r="C83" s="19">
        <v>1141</v>
      </c>
      <c r="D83" s="68">
        <v>2</v>
      </c>
      <c r="E83" s="77">
        <v>128.22</v>
      </c>
      <c r="F83" s="77"/>
      <c r="G83" s="77">
        <v>10</v>
      </c>
      <c r="I83" s="48"/>
      <c r="K83" s="48"/>
    </row>
    <row r="84" spans="2:12" x14ac:dyDescent="0.25">
      <c r="B84" s="90">
        <v>40422</v>
      </c>
      <c r="C84" s="19">
        <v>893</v>
      </c>
      <c r="D84" s="68">
        <v>1</v>
      </c>
      <c r="E84" s="77">
        <v>100.74</v>
      </c>
      <c r="F84" s="77"/>
      <c r="G84" s="77">
        <v>5</v>
      </c>
      <c r="I84" s="48"/>
      <c r="K84" s="48"/>
    </row>
    <row r="85" spans="2:12" x14ac:dyDescent="0.25">
      <c r="B85" s="90">
        <v>40452</v>
      </c>
      <c r="C85" s="19">
        <v>617</v>
      </c>
      <c r="D85" s="42">
        <v>1</v>
      </c>
      <c r="E85" s="9">
        <v>67.53</v>
      </c>
      <c r="F85" s="9"/>
      <c r="G85" s="9">
        <v>5</v>
      </c>
      <c r="I85" s="36"/>
      <c r="K85" s="36"/>
    </row>
    <row r="86" spans="2:12" x14ac:dyDescent="0.25">
      <c r="B86" s="90">
        <v>40483</v>
      </c>
      <c r="C86" s="19">
        <v>1031</v>
      </c>
      <c r="D86" s="42">
        <v>2</v>
      </c>
      <c r="E86" s="9">
        <v>113.57</v>
      </c>
      <c r="F86" s="9"/>
      <c r="G86" s="9">
        <v>10</v>
      </c>
      <c r="I86" s="36"/>
    </row>
    <row r="87" spans="2:12" x14ac:dyDescent="0.25">
      <c r="B87" s="90">
        <v>40513</v>
      </c>
      <c r="C87" s="61">
        <v>1294</v>
      </c>
      <c r="D87" s="32">
        <v>2</v>
      </c>
      <c r="E87" s="93">
        <v>139.63</v>
      </c>
      <c r="F87" s="93"/>
      <c r="G87" s="93">
        <v>10</v>
      </c>
      <c r="I87" s="36"/>
      <c r="K87" s="37"/>
      <c r="L87" s="7"/>
    </row>
    <row r="88" spans="2:12" x14ac:dyDescent="0.25">
      <c r="C88" s="19">
        <f>SUM(C76:C87)</f>
        <v>13870</v>
      </c>
      <c r="D88" s="19">
        <f>SUM(D76:D87)</f>
        <v>22</v>
      </c>
      <c r="E88" s="9">
        <f>SUM(E76:E87)</f>
        <v>1548.4699999999998</v>
      </c>
      <c r="F88" s="9"/>
      <c r="G88" s="9">
        <f>SUM(G76:G87)</f>
        <v>110</v>
      </c>
      <c r="I88" s="19"/>
      <c r="K88" s="19">
        <v>3681</v>
      </c>
      <c r="L88" s="19">
        <v>10189</v>
      </c>
    </row>
    <row r="89" spans="2:12" x14ac:dyDescent="0.25">
      <c r="E89" s="20"/>
    </row>
    <row r="90" spans="2:12" x14ac:dyDescent="0.25">
      <c r="I90" s="19"/>
    </row>
    <row r="91" spans="2:12" x14ac:dyDescent="0.25">
      <c r="B91" s="44" t="s">
        <v>78</v>
      </c>
      <c r="G91" s="27"/>
      <c r="I91" s="22"/>
      <c r="J91" s="22"/>
    </row>
    <row r="92" spans="2:12" x14ac:dyDescent="0.25">
      <c r="B92" s="44"/>
      <c r="G92" s="27"/>
      <c r="I92" s="22"/>
      <c r="J92" s="22"/>
    </row>
    <row r="93" spans="2:12" x14ac:dyDescent="0.25">
      <c r="B93" s="41" t="s">
        <v>25</v>
      </c>
      <c r="C93" s="41" t="s">
        <v>8</v>
      </c>
      <c r="D93" s="41" t="s">
        <v>24</v>
      </c>
      <c r="E93" s="41" t="s">
        <v>45</v>
      </c>
      <c r="F93" s="41"/>
      <c r="G93" s="41" t="s">
        <v>46</v>
      </c>
      <c r="K93" s="41" t="s">
        <v>39</v>
      </c>
      <c r="L93" s="41" t="s">
        <v>38</v>
      </c>
    </row>
    <row r="94" spans="2:12" x14ac:dyDescent="0.25">
      <c r="B94" s="90">
        <v>40544</v>
      </c>
      <c r="C94" s="19">
        <v>1621</v>
      </c>
      <c r="D94" s="40">
        <v>2</v>
      </c>
      <c r="E94" s="9">
        <v>178.26</v>
      </c>
      <c r="F94" s="9"/>
      <c r="G94" s="33">
        <v>10</v>
      </c>
      <c r="H94" s="20"/>
      <c r="I94" s="36"/>
      <c r="K94" s="36"/>
    </row>
    <row r="95" spans="2:12" x14ac:dyDescent="0.25">
      <c r="B95" s="90">
        <v>40575</v>
      </c>
      <c r="C95" s="19">
        <v>1343</v>
      </c>
      <c r="D95" s="40">
        <v>3</v>
      </c>
      <c r="E95" s="9">
        <v>144.69999999999999</v>
      </c>
      <c r="F95" s="9"/>
      <c r="G95" s="33">
        <v>10</v>
      </c>
      <c r="I95" s="36"/>
      <c r="K95" s="36"/>
    </row>
    <row r="96" spans="2:12" x14ac:dyDescent="0.25">
      <c r="B96" s="90">
        <v>40603</v>
      </c>
      <c r="C96" s="19">
        <v>2125</v>
      </c>
      <c r="D96" s="40">
        <v>3</v>
      </c>
      <c r="E96" s="9">
        <v>230.34</v>
      </c>
      <c r="F96" s="9"/>
      <c r="G96" s="33">
        <v>15</v>
      </c>
      <c r="I96" s="36"/>
      <c r="K96" s="36"/>
    </row>
    <row r="97" spans="2:12" x14ac:dyDescent="0.25">
      <c r="B97" s="90">
        <v>40634</v>
      </c>
      <c r="C97" s="19">
        <v>2277</v>
      </c>
      <c r="D97" s="40">
        <v>3</v>
      </c>
      <c r="E97" s="9">
        <v>246.07</v>
      </c>
      <c r="F97" s="9"/>
      <c r="G97" s="33">
        <v>15</v>
      </c>
      <c r="I97" s="36"/>
      <c r="K97" s="36"/>
    </row>
    <row r="98" spans="2:12" x14ac:dyDescent="0.25">
      <c r="B98" s="90">
        <v>40664</v>
      </c>
      <c r="C98" s="19">
        <v>2172</v>
      </c>
      <c r="D98" s="67">
        <v>3</v>
      </c>
      <c r="E98" s="77">
        <v>236.14</v>
      </c>
      <c r="F98" s="77"/>
      <c r="G98" s="92">
        <v>15</v>
      </c>
      <c r="I98" s="48"/>
      <c r="K98" s="48"/>
    </row>
    <row r="99" spans="2:12" x14ac:dyDescent="0.25">
      <c r="B99" s="90">
        <v>40695</v>
      </c>
      <c r="C99" s="19">
        <v>2336</v>
      </c>
      <c r="D99" s="67">
        <v>3</v>
      </c>
      <c r="E99" s="77">
        <v>254.53</v>
      </c>
      <c r="F99" s="77"/>
      <c r="G99" s="92">
        <v>15</v>
      </c>
      <c r="I99" s="48"/>
      <c r="K99" s="48"/>
    </row>
    <row r="100" spans="2:12" x14ac:dyDescent="0.25">
      <c r="B100" s="90">
        <v>40725</v>
      </c>
      <c r="C100" s="19">
        <v>2260</v>
      </c>
      <c r="D100" s="68">
        <v>3</v>
      </c>
      <c r="E100" s="77">
        <v>247.72</v>
      </c>
      <c r="F100" s="77"/>
      <c r="G100" s="77">
        <v>15</v>
      </c>
      <c r="I100" s="48"/>
      <c r="K100" s="48"/>
    </row>
    <row r="101" spans="2:12" x14ac:dyDescent="0.25">
      <c r="B101" s="90">
        <v>40756</v>
      </c>
      <c r="C101" s="19">
        <v>2366</v>
      </c>
      <c r="D101" s="68">
        <v>3</v>
      </c>
      <c r="E101" s="77">
        <v>260.93</v>
      </c>
      <c r="F101" s="77"/>
      <c r="G101" s="77">
        <v>15</v>
      </c>
      <c r="I101" s="48"/>
      <c r="K101" s="48"/>
    </row>
    <row r="102" spans="2:12" x14ac:dyDescent="0.25">
      <c r="B102" s="90">
        <v>40422</v>
      </c>
      <c r="C102" s="19">
        <v>1408</v>
      </c>
      <c r="D102" s="68">
        <v>2</v>
      </c>
      <c r="E102" s="77">
        <v>154.77000000000001</v>
      </c>
      <c r="F102" s="77"/>
      <c r="G102" s="77">
        <v>10</v>
      </c>
      <c r="I102" s="48"/>
      <c r="K102" s="48"/>
    </row>
    <row r="103" spans="2:12" x14ac:dyDescent="0.25">
      <c r="B103" s="90">
        <v>40452</v>
      </c>
      <c r="C103" s="19">
        <v>1124</v>
      </c>
      <c r="D103" s="42">
        <v>2</v>
      </c>
      <c r="E103" s="9">
        <v>121.64</v>
      </c>
      <c r="F103" s="9"/>
      <c r="G103" s="77">
        <v>10</v>
      </c>
      <c r="I103" s="36"/>
      <c r="K103" s="36"/>
    </row>
    <row r="104" spans="2:12" x14ac:dyDescent="0.25">
      <c r="B104" s="90">
        <v>40483</v>
      </c>
      <c r="C104" s="19">
        <v>1294</v>
      </c>
      <c r="D104" s="42">
        <v>2</v>
      </c>
      <c r="E104" s="9">
        <v>139.58000000000001</v>
      </c>
      <c r="F104" s="9"/>
      <c r="G104" s="77">
        <v>10</v>
      </c>
      <c r="I104" s="36"/>
    </row>
    <row r="105" spans="2:12" x14ac:dyDescent="0.25">
      <c r="B105" s="90">
        <v>40513</v>
      </c>
      <c r="C105" s="61">
        <v>1375</v>
      </c>
      <c r="D105" s="32">
        <v>2</v>
      </c>
      <c r="E105" s="93">
        <v>147.69</v>
      </c>
      <c r="F105" s="93"/>
      <c r="G105" s="94">
        <v>10</v>
      </c>
      <c r="I105" s="36"/>
      <c r="K105" s="37"/>
      <c r="L105" s="7"/>
    </row>
    <row r="106" spans="2:12" x14ac:dyDescent="0.25">
      <c r="C106" s="19">
        <f>SUM(C94:C105)</f>
        <v>21701</v>
      </c>
      <c r="D106" s="19">
        <f>SUM(D94:D105)</f>
        <v>31</v>
      </c>
      <c r="E106" s="9">
        <f>SUM(E94:E105)</f>
        <v>2362.37</v>
      </c>
      <c r="F106" s="9"/>
      <c r="G106" s="9">
        <f>SUM(G94:G105)</f>
        <v>150</v>
      </c>
      <c r="I106" s="19"/>
      <c r="K106" s="19">
        <v>7049</v>
      </c>
      <c r="L106" s="19">
        <v>14652</v>
      </c>
    </row>
  </sheetData>
  <mergeCells count="6">
    <mergeCell ref="D4:G5"/>
    <mergeCell ref="E7:F7"/>
    <mergeCell ref="T4:W5"/>
    <mergeCell ref="U7:V7"/>
    <mergeCell ref="L4:O5"/>
    <mergeCell ref="M7:N7"/>
  </mergeCells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02"/>
  <sheetViews>
    <sheetView tabSelected="1" view="pageBreakPreview" topLeftCell="A27" zoomScale="75" zoomScaleNormal="63" zoomScaleSheetLayoutView="75" workbookViewId="0">
      <selection activeCell="C63" sqref="C63:G63"/>
    </sheetView>
  </sheetViews>
  <sheetFormatPr defaultColWidth="9.140625" defaultRowHeight="15.75" x14ac:dyDescent="0.25"/>
  <cols>
    <col min="1" max="1" width="5" style="320" customWidth="1"/>
    <col min="2" max="2" width="3.5703125" style="111" customWidth="1"/>
    <col min="3" max="3" width="42.140625" style="99" customWidth="1"/>
    <col min="4" max="4" width="8.28515625" style="111" customWidth="1"/>
    <col min="5" max="5" width="36.28515625" style="99" bestFit="1" customWidth="1"/>
    <col min="6" max="6" width="1.5703125" style="99" customWidth="1"/>
    <col min="7" max="7" width="14.140625" style="99" customWidth="1"/>
    <col min="8" max="8" width="14.7109375" style="99" customWidth="1"/>
    <col min="9" max="9" width="15" style="99" customWidth="1"/>
    <col min="10" max="10" width="12" style="99" customWidth="1"/>
    <col min="11" max="11" width="1.5703125" style="99" customWidth="1"/>
    <col min="12" max="13" width="18.28515625" style="99" customWidth="1"/>
    <col min="14" max="14" width="16.140625" style="99" bestFit="1" customWidth="1"/>
    <col min="15" max="15" width="16.140625" style="99" customWidth="1"/>
    <col min="16" max="16" width="10.28515625" style="99" bestFit="1" customWidth="1"/>
    <col min="17" max="17" width="11.7109375" style="99" customWidth="1"/>
    <col min="18" max="18" width="3" style="99" customWidth="1"/>
    <col min="19" max="19" width="49.85546875" style="99" customWidth="1"/>
    <col min="20" max="20" width="14.7109375" style="99" customWidth="1"/>
    <col min="21" max="21" width="5.28515625" style="99" customWidth="1"/>
    <col min="22" max="22" width="9.140625" style="99" customWidth="1"/>
    <col min="23" max="23" width="9" style="99" customWidth="1"/>
    <col min="24" max="24" width="3.42578125" style="99" customWidth="1"/>
    <col min="25" max="25" width="14.140625" style="99" customWidth="1"/>
    <col min="26" max="26" width="14.7109375" style="99" bestFit="1" customWidth="1"/>
    <col min="27" max="27" width="5.140625" style="99" customWidth="1"/>
    <col min="28" max="28" width="19" style="99" bestFit="1" customWidth="1"/>
    <col min="29" max="29" width="16.7109375" style="99" bestFit="1" customWidth="1"/>
    <col min="30" max="45" width="13.7109375" style="99" customWidth="1"/>
    <col min="46" max="16384" width="9.140625" style="99"/>
  </cols>
  <sheetData>
    <row r="1" spans="1:34" ht="18.75" x14ac:dyDescent="0.3">
      <c r="A1" s="318" t="s">
        <v>127</v>
      </c>
      <c r="D1" s="103"/>
      <c r="G1" s="102"/>
      <c r="H1" s="102"/>
      <c r="I1" s="248"/>
      <c r="J1" s="102"/>
      <c r="N1" s="102"/>
      <c r="T1" s="247"/>
    </row>
    <row r="2" spans="1:34" ht="18.75" x14ac:dyDescent="0.3">
      <c r="A2" s="319" t="s">
        <v>52</v>
      </c>
      <c r="I2" s="419"/>
      <c r="N2" s="108"/>
      <c r="T2" s="145"/>
      <c r="U2" s="196"/>
    </row>
    <row r="3" spans="1:34" x14ac:dyDescent="0.25">
      <c r="T3" s="145"/>
      <c r="U3" s="294"/>
    </row>
    <row r="4" spans="1:34" x14ac:dyDescent="0.25">
      <c r="A4" s="322" t="s">
        <v>109</v>
      </c>
      <c r="B4" s="427" t="s">
        <v>53</v>
      </c>
      <c r="C4" s="428"/>
      <c r="D4" s="428"/>
      <c r="E4" s="429"/>
      <c r="G4" s="427" t="s">
        <v>54</v>
      </c>
      <c r="H4" s="428"/>
      <c r="I4" s="428"/>
      <c r="J4" s="429"/>
      <c r="L4" s="427" t="s">
        <v>85</v>
      </c>
      <c r="M4" s="428"/>
      <c r="N4" s="428"/>
      <c r="O4" s="428"/>
      <c r="P4" s="428"/>
      <c r="Q4" s="429"/>
    </row>
    <row r="5" spans="1:34" x14ac:dyDescent="0.25">
      <c r="A5" s="320">
        <v>1</v>
      </c>
      <c r="B5" s="307"/>
      <c r="F5" s="110"/>
      <c r="K5" s="110"/>
      <c r="Y5" s="390"/>
      <c r="Z5" s="391" t="s">
        <v>282</v>
      </c>
      <c r="AA5" s="391"/>
      <c r="AB5" s="391"/>
      <c r="AC5" s="391"/>
      <c r="AD5" s="392"/>
    </row>
    <row r="6" spans="1:34" s="102" customFormat="1" x14ac:dyDescent="0.25">
      <c r="A6" s="320">
        <f>A5+1</f>
        <v>2</v>
      </c>
      <c r="B6" s="103"/>
      <c r="D6" s="103"/>
      <c r="E6" s="103" t="s">
        <v>55</v>
      </c>
      <c r="F6" s="110"/>
      <c r="G6" s="101" t="s">
        <v>100</v>
      </c>
      <c r="H6" s="101" t="s">
        <v>56</v>
      </c>
      <c r="I6" s="101" t="s">
        <v>57</v>
      </c>
      <c r="J6" s="101" t="s">
        <v>105</v>
      </c>
      <c r="K6" s="110"/>
      <c r="L6" s="101" t="s">
        <v>101</v>
      </c>
      <c r="M6" s="101" t="s">
        <v>86</v>
      </c>
      <c r="N6" s="101" t="s">
        <v>57</v>
      </c>
      <c r="O6" s="101" t="s">
        <v>58</v>
      </c>
      <c r="P6" s="101" t="s">
        <v>58</v>
      </c>
      <c r="Q6" s="101" t="s">
        <v>58</v>
      </c>
      <c r="R6" s="103"/>
      <c r="S6" s="99"/>
      <c r="T6" s="99"/>
      <c r="U6" s="99"/>
      <c r="V6" s="99"/>
      <c r="W6" s="99"/>
      <c r="X6" s="99"/>
      <c r="Y6" s="380"/>
      <c r="AD6" s="393"/>
    </row>
    <row r="7" spans="1:34" s="102" customFormat="1" x14ac:dyDescent="0.25">
      <c r="A7" s="320">
        <f t="shared" ref="A7:A52" si="0">A6+1</f>
        <v>3</v>
      </c>
      <c r="B7" s="191"/>
      <c r="C7" s="104" t="s">
        <v>59</v>
      </c>
      <c r="D7" s="191" t="s">
        <v>60</v>
      </c>
      <c r="E7" s="191" t="s">
        <v>61</v>
      </c>
      <c r="F7" s="110"/>
      <c r="G7" s="105" t="s">
        <v>5</v>
      </c>
      <c r="H7" s="105" t="s">
        <v>5</v>
      </c>
      <c r="I7" s="105" t="s">
        <v>5</v>
      </c>
      <c r="J7" s="105" t="s">
        <v>106</v>
      </c>
      <c r="K7" s="110"/>
      <c r="L7" s="105" t="s">
        <v>41</v>
      </c>
      <c r="M7" s="105" t="s">
        <v>41</v>
      </c>
      <c r="N7" s="105" t="s">
        <v>41</v>
      </c>
      <c r="O7" s="105" t="s">
        <v>62</v>
      </c>
      <c r="P7" s="105" t="s">
        <v>63</v>
      </c>
      <c r="Q7" s="105" t="s">
        <v>89</v>
      </c>
      <c r="R7" s="103"/>
      <c r="S7" s="99"/>
      <c r="T7" s="290" t="s">
        <v>280</v>
      </c>
      <c r="U7" s="99"/>
      <c r="V7" s="378" t="s">
        <v>281</v>
      </c>
      <c r="W7" s="379"/>
      <c r="X7" s="99"/>
      <c r="Y7" s="380"/>
      <c r="Z7" s="99"/>
      <c r="AB7" s="102" t="s">
        <v>245</v>
      </c>
      <c r="AC7" s="102" t="s">
        <v>246</v>
      </c>
      <c r="AD7" s="393"/>
    </row>
    <row r="8" spans="1:34" x14ac:dyDescent="0.25">
      <c r="A8" s="320">
        <f t="shared" si="0"/>
        <v>4</v>
      </c>
      <c r="B8" s="111">
        <v>1</v>
      </c>
      <c r="C8" s="2" t="str">
        <f>List!B6</f>
        <v>Sch I - Residential, Schools &amp; Churches</v>
      </c>
      <c r="D8" s="121" t="str">
        <f>List!C6</f>
        <v>R</v>
      </c>
      <c r="E8" s="99" t="s">
        <v>216</v>
      </c>
      <c r="F8" s="110"/>
      <c r="G8" s="26">
        <v>17.62</v>
      </c>
      <c r="H8" s="192">
        <f>G8</f>
        <v>17.62</v>
      </c>
      <c r="I8" s="193">
        <v>25</v>
      </c>
      <c r="J8" s="193">
        <f t="shared" ref="J8:J35" si="1">I8-H8</f>
        <v>7.379999999999999</v>
      </c>
      <c r="K8" s="110"/>
      <c r="L8" s="86">
        <f>'R'!G24</f>
        <v>34526442.473750003</v>
      </c>
      <c r="M8" s="86">
        <f>'R'!K24</f>
        <v>34615396.10029</v>
      </c>
      <c r="N8" s="86">
        <f>'R'!T24</f>
        <v>36111327.347529992</v>
      </c>
      <c r="O8" s="136">
        <f>'R'!T26</f>
        <v>1495931.247239992</v>
      </c>
      <c r="P8" s="357">
        <f>'R'!T28</f>
        <v>4.3215777248536508E-2</v>
      </c>
      <c r="Q8" s="77">
        <f>'R'!T30</f>
        <v>5.5299178135119256</v>
      </c>
      <c r="S8" s="195"/>
      <c r="T8" s="323"/>
      <c r="V8" s="380" t="s">
        <v>244</v>
      </c>
      <c r="W8" s="381">
        <v>26.43</v>
      </c>
      <c r="X8" s="388"/>
      <c r="Y8" s="394" t="s">
        <v>128</v>
      </c>
      <c r="Z8" s="108">
        <f>O8</f>
        <v>1495931.247239992</v>
      </c>
      <c r="AA8" s="395"/>
      <c r="AB8" s="396">
        <v>1497562.83</v>
      </c>
      <c r="AC8" s="397">
        <f>Z8-AB8</f>
        <v>-1631.582760008052</v>
      </c>
      <c r="AD8" s="398"/>
      <c r="AE8" s="195"/>
      <c r="AF8" s="195"/>
      <c r="AG8" s="195"/>
      <c r="AH8" s="195"/>
    </row>
    <row r="9" spans="1:34" x14ac:dyDescent="0.25">
      <c r="A9" s="320">
        <f t="shared" si="0"/>
        <v>5</v>
      </c>
      <c r="C9" s="106"/>
      <c r="D9" s="122"/>
      <c r="E9" s="99" t="s">
        <v>217</v>
      </c>
      <c r="F9" s="110"/>
      <c r="G9" s="109">
        <v>8.5150000000000003E-2</v>
      </c>
      <c r="H9" s="194">
        <v>9.6939999999999998E-2</v>
      </c>
      <c r="I9" s="194">
        <f>ROUND(H9*T9,5)</f>
        <v>9.5079999999999998E-2</v>
      </c>
      <c r="J9" s="194">
        <f t="shared" si="1"/>
        <v>-1.8600000000000005E-3</v>
      </c>
      <c r="K9" s="110"/>
      <c r="L9" s="86"/>
      <c r="M9" s="86"/>
      <c r="N9" s="86"/>
      <c r="O9" s="86"/>
      <c r="P9" s="358"/>
      <c r="Q9" s="120"/>
      <c r="S9" s="196"/>
      <c r="T9" s="324">
        <v>0.98085999999999995</v>
      </c>
      <c r="V9" s="380" t="s">
        <v>207</v>
      </c>
      <c r="W9" s="382">
        <f>W8-H8</f>
        <v>8.8099999999999987</v>
      </c>
      <c r="X9" s="34"/>
      <c r="Y9" s="394" t="s">
        <v>141</v>
      </c>
      <c r="Z9" s="108">
        <f>O10</f>
        <v>271.82686999999987</v>
      </c>
      <c r="AA9" s="395"/>
      <c r="AB9" s="396">
        <v>271.61</v>
      </c>
      <c r="AC9" s="397">
        <f>AB9-Z9</f>
        <v>-0.21686999999985801</v>
      </c>
      <c r="AD9" s="398"/>
      <c r="AE9" s="196"/>
      <c r="AF9" s="196"/>
      <c r="AG9" s="196"/>
      <c r="AH9" s="196"/>
    </row>
    <row r="10" spans="1:34" x14ac:dyDescent="0.25">
      <c r="A10" s="320">
        <f t="shared" si="0"/>
        <v>6</v>
      </c>
      <c r="B10" s="307">
        <v>2</v>
      </c>
      <c r="C10" s="308" t="str">
        <f>List!B7</f>
        <v>Sch I - Res TOD</v>
      </c>
      <c r="D10" s="309" t="str">
        <f>List!C7</f>
        <v>TOD</v>
      </c>
      <c r="E10" s="293" t="s">
        <v>216</v>
      </c>
      <c r="F10" s="310"/>
      <c r="G10" s="311">
        <v>20.73</v>
      </c>
      <c r="H10" s="311">
        <f t="shared" ref="H10:I30" si="2">G10</f>
        <v>20.73</v>
      </c>
      <c r="I10" s="411">
        <f>I8</f>
        <v>25</v>
      </c>
      <c r="J10" s="312">
        <f t="shared" si="1"/>
        <v>4.2699999999999996</v>
      </c>
      <c r="K10" s="310"/>
      <c r="L10" s="313">
        <f>TOD!G26</f>
        <v>7374.9299699999992</v>
      </c>
      <c r="M10" s="313">
        <f>TOD!J26</f>
        <v>7374.9299700000001</v>
      </c>
      <c r="N10" s="313">
        <f>TOD!S26</f>
        <v>7646.75684</v>
      </c>
      <c r="O10" s="313">
        <f>TOD!S28</f>
        <v>271.82686999999987</v>
      </c>
      <c r="P10" s="359">
        <f>TOD!S30</f>
        <v>3.6858230668731333E-2</v>
      </c>
      <c r="Q10" s="314">
        <f>TOD!S32</f>
        <v>2.6649693137254888</v>
      </c>
      <c r="T10" s="324">
        <v>0.93559008563422097</v>
      </c>
      <c r="V10" s="380"/>
      <c r="W10" s="383"/>
      <c r="Y10" s="394" t="s">
        <v>129</v>
      </c>
      <c r="Z10" s="108">
        <f>O13</f>
        <v>126013.92092000018</v>
      </c>
      <c r="AA10" s="399"/>
      <c r="AB10" s="396">
        <v>125943.76</v>
      </c>
      <c r="AC10" s="397">
        <f t="shared" ref="AC10:AC17" si="3">Z10-AB10</f>
        <v>70.160920000183978</v>
      </c>
      <c r="AD10" s="400"/>
    </row>
    <row r="11" spans="1:34" x14ac:dyDescent="0.25">
      <c r="A11" s="320">
        <f t="shared" si="0"/>
        <v>7</v>
      </c>
      <c r="C11" s="106"/>
      <c r="D11" s="122"/>
      <c r="E11" s="99" t="s">
        <v>219</v>
      </c>
      <c r="F11" s="110"/>
      <c r="G11" s="109">
        <v>0.10115</v>
      </c>
      <c r="H11" s="109">
        <v>0.11294</v>
      </c>
      <c r="I11" s="194">
        <f>ROUND(H11*T10,5)</f>
        <v>0.10567</v>
      </c>
      <c r="J11" s="109">
        <f t="shared" si="1"/>
        <v>-7.2699999999999987E-3</v>
      </c>
      <c r="K11" s="110"/>
      <c r="L11" s="86"/>
      <c r="M11" s="86"/>
      <c r="N11" s="86"/>
      <c r="O11" s="86"/>
      <c r="P11" s="358"/>
      <c r="Q11" s="120"/>
      <c r="S11" s="196"/>
      <c r="V11" s="384">
        <v>0.25</v>
      </c>
      <c r="W11" s="385">
        <f>H8+V11*W9</f>
        <v>19.822500000000002</v>
      </c>
      <c r="X11" s="389"/>
      <c r="Y11" s="394" t="s">
        <v>130</v>
      </c>
      <c r="Z11" s="108">
        <f>O16</f>
        <v>0</v>
      </c>
      <c r="AB11" s="401">
        <v>0</v>
      </c>
      <c r="AC11" s="397">
        <f t="shared" si="3"/>
        <v>0</v>
      </c>
      <c r="AD11" s="383"/>
    </row>
    <row r="12" spans="1:34" x14ac:dyDescent="0.25">
      <c r="A12" s="320">
        <f t="shared" si="0"/>
        <v>8</v>
      </c>
      <c r="C12" s="106"/>
      <c r="D12" s="122"/>
      <c r="E12" s="99" t="s">
        <v>220</v>
      </c>
      <c r="F12" s="110"/>
      <c r="G12" s="109">
        <v>5.7959999999999998E-2</v>
      </c>
      <c r="H12" s="109">
        <v>6.9750000000000006E-2</v>
      </c>
      <c r="I12" s="194">
        <f t="shared" ref="I12:I26" si="4">H12</f>
        <v>6.9750000000000006E-2</v>
      </c>
      <c r="J12" s="109">
        <f t="shared" si="1"/>
        <v>0</v>
      </c>
      <c r="K12" s="110"/>
      <c r="L12" s="86"/>
      <c r="M12" s="86"/>
      <c r="N12" s="86"/>
      <c r="O12" s="86"/>
      <c r="P12" s="358"/>
      <c r="Q12" s="120"/>
      <c r="S12" s="196"/>
      <c r="V12" s="384">
        <v>0.33</v>
      </c>
      <c r="W12" s="385">
        <f>H8+V12*W9</f>
        <v>20.5273</v>
      </c>
      <c r="X12" s="389"/>
      <c r="Y12" s="394" t="s">
        <v>133</v>
      </c>
      <c r="Z12" s="108">
        <f>O20</f>
        <v>17237.128649999984</v>
      </c>
      <c r="AB12" s="401">
        <v>17237.57</v>
      </c>
      <c r="AC12" s="397">
        <f t="shared" si="3"/>
        <v>-0.44135000001551816</v>
      </c>
      <c r="AD12" s="383"/>
    </row>
    <row r="13" spans="1:34" x14ac:dyDescent="0.25">
      <c r="A13" s="320">
        <f t="shared" si="0"/>
        <v>9</v>
      </c>
      <c r="B13" s="307">
        <v>3</v>
      </c>
      <c r="C13" s="308" t="str">
        <f>List!B8</f>
        <v>Sch II - Small Commercial  Small Power</v>
      </c>
      <c r="D13" s="315" t="str">
        <f>List!C8</f>
        <v>C1</v>
      </c>
      <c r="E13" s="293" t="s">
        <v>216</v>
      </c>
      <c r="F13" s="310"/>
      <c r="G13" s="311">
        <v>19.690000000000001</v>
      </c>
      <c r="H13" s="311">
        <f t="shared" si="2"/>
        <v>19.690000000000001</v>
      </c>
      <c r="I13" s="411">
        <f>H13+J8</f>
        <v>27.07</v>
      </c>
      <c r="J13" s="312">
        <f t="shared" si="1"/>
        <v>7.379999999999999</v>
      </c>
      <c r="K13" s="310"/>
      <c r="L13" s="313">
        <f>'C1'!G26</f>
        <v>1907993.1593500001</v>
      </c>
      <c r="M13" s="313">
        <f>'C1'!K26</f>
        <v>1905208.67086</v>
      </c>
      <c r="N13" s="313">
        <f>'C1'!T26</f>
        <v>2031222.5917800001</v>
      </c>
      <c r="O13" s="313">
        <f>'C1'!T28</f>
        <v>126013.92092000018</v>
      </c>
      <c r="P13" s="359">
        <f>'C1'!T30</f>
        <v>6.6141794779423418E-2</v>
      </c>
      <c r="Q13" s="314">
        <f>'C1'!T32</f>
        <v>8.2648337981242328</v>
      </c>
      <c r="T13" s="324">
        <v>1.0096415733908346</v>
      </c>
      <c r="V13" s="384">
        <v>0.5</v>
      </c>
      <c r="W13" s="385">
        <f>H8+V13*W9</f>
        <v>22.024999999999999</v>
      </c>
      <c r="X13" s="389"/>
      <c r="Y13" s="394" t="s">
        <v>131</v>
      </c>
      <c r="Z13" s="108">
        <f>O24</f>
        <v>0</v>
      </c>
      <c r="AB13" s="401">
        <v>0</v>
      </c>
      <c r="AC13" s="397">
        <f t="shared" si="3"/>
        <v>0</v>
      </c>
      <c r="AD13" s="383"/>
    </row>
    <row r="14" spans="1:34" x14ac:dyDescent="0.25">
      <c r="A14" s="320">
        <f t="shared" si="0"/>
        <v>10</v>
      </c>
      <c r="C14" s="106"/>
      <c r="D14" s="122"/>
      <c r="E14" s="99" t="s">
        <v>221</v>
      </c>
      <c r="F14" s="110"/>
      <c r="G14" s="109">
        <v>8.5330000000000003E-2</v>
      </c>
      <c r="H14" s="109">
        <v>9.7119999999999998E-2</v>
      </c>
      <c r="I14" s="194">
        <f>ROUND(H14*T13,5)</f>
        <v>9.8059999999999994E-2</v>
      </c>
      <c r="J14" s="109">
        <f t="shared" si="1"/>
        <v>9.3999999999999639E-4</v>
      </c>
      <c r="K14" s="110"/>
      <c r="L14" s="86"/>
      <c r="M14" s="86"/>
      <c r="N14" s="86"/>
      <c r="O14" s="86"/>
      <c r="P14" s="358"/>
      <c r="Q14" s="120"/>
      <c r="S14" s="196"/>
      <c r="V14" s="386">
        <f>(W14-H8)/W9</f>
        <v>0.83768444948921683</v>
      </c>
      <c r="W14" s="387">
        <v>25</v>
      </c>
      <c r="X14" s="388"/>
      <c r="Y14" s="394" t="s">
        <v>132</v>
      </c>
      <c r="Z14" s="108">
        <f>O26</f>
        <v>608984.22999999672</v>
      </c>
      <c r="AB14" s="401">
        <v>608984.23</v>
      </c>
      <c r="AC14" s="397">
        <f t="shared" si="3"/>
        <v>-3.2596290111541748E-9</v>
      </c>
      <c r="AD14" s="383"/>
    </row>
    <row r="15" spans="1:34" x14ac:dyDescent="0.25">
      <c r="A15" s="320">
        <f t="shared" si="0"/>
        <v>11</v>
      </c>
      <c r="C15" s="106"/>
      <c r="D15" s="122"/>
      <c r="E15" s="99" t="s">
        <v>222</v>
      </c>
      <c r="F15" s="110"/>
      <c r="G15" s="109">
        <v>8.1780000000000005E-2</v>
      </c>
      <c r="H15" s="109">
        <v>9.357E-2</v>
      </c>
      <c r="I15" s="194">
        <f>ROUND(H15*T13,5)</f>
        <v>9.4469999999999998E-2</v>
      </c>
      <c r="J15" s="109">
        <f t="shared" si="1"/>
        <v>8.9999999999999802E-4</v>
      </c>
      <c r="K15" s="110"/>
      <c r="L15" s="86"/>
      <c r="M15" s="86"/>
      <c r="N15" s="86"/>
      <c r="O15" s="136"/>
      <c r="P15" s="357"/>
      <c r="Q15" s="120"/>
      <c r="S15" s="196"/>
      <c r="Y15" s="394" t="s">
        <v>140</v>
      </c>
      <c r="Z15" s="108">
        <f>O29</f>
        <v>0</v>
      </c>
      <c r="AB15" s="401">
        <v>0</v>
      </c>
      <c r="AC15" s="397">
        <f t="shared" si="3"/>
        <v>0</v>
      </c>
      <c r="AD15" s="383"/>
    </row>
    <row r="16" spans="1:34" x14ac:dyDescent="0.25">
      <c r="A16" s="320">
        <f t="shared" si="0"/>
        <v>12</v>
      </c>
      <c r="B16" s="307">
        <v>4</v>
      </c>
      <c r="C16" s="308" t="str">
        <f>List!B9</f>
        <v>Sch II - Small Commercial  Small Power</v>
      </c>
      <c r="D16" s="315" t="str">
        <f>List!C9</f>
        <v>C2</v>
      </c>
      <c r="E16" s="293" t="s">
        <v>216</v>
      </c>
      <c r="F16" s="310"/>
      <c r="G16" s="311">
        <v>26.17</v>
      </c>
      <c r="H16" s="311">
        <f t="shared" si="2"/>
        <v>26.17</v>
      </c>
      <c r="I16" s="411">
        <v>33</v>
      </c>
      <c r="J16" s="411">
        <f t="shared" si="1"/>
        <v>6.8299999999999983</v>
      </c>
      <c r="K16" s="310"/>
      <c r="L16" s="313">
        <f>'C2'!G30</f>
        <v>1354230.8737099997</v>
      </c>
      <c r="M16" s="313">
        <f>'C2'!K30</f>
        <v>1372403.5351100001</v>
      </c>
      <c r="N16" s="313">
        <f>'C2'!T30</f>
        <v>1372403.5351100001</v>
      </c>
      <c r="O16" s="317">
        <f>'C2'!T32</f>
        <v>0</v>
      </c>
      <c r="P16" s="360">
        <f>'C2'!T34</f>
        <v>0</v>
      </c>
      <c r="Q16" s="314">
        <f>'C2'!T36</f>
        <v>0</v>
      </c>
      <c r="T16" s="324">
        <v>0.9857002786638539</v>
      </c>
      <c r="Y16" s="394" t="s">
        <v>234</v>
      </c>
      <c r="Z16" s="108">
        <f>O30</f>
        <v>0</v>
      </c>
      <c r="AB16" s="401">
        <v>0</v>
      </c>
      <c r="AC16" s="397">
        <f t="shared" si="3"/>
        <v>0</v>
      </c>
      <c r="AD16" s="383"/>
    </row>
    <row r="17" spans="1:30" x14ac:dyDescent="0.25">
      <c r="A17" s="320">
        <f t="shared" si="0"/>
        <v>13</v>
      </c>
      <c r="C17" s="106"/>
      <c r="D17" s="122"/>
      <c r="E17" s="99" t="s">
        <v>221</v>
      </c>
      <c r="F17" s="110"/>
      <c r="G17" s="109">
        <v>9.1130000000000003E-2</v>
      </c>
      <c r="H17" s="109">
        <v>0.10292</v>
      </c>
      <c r="I17" s="194">
        <f>H17*T16</f>
        <v>0.10144827268008384</v>
      </c>
      <c r="J17" s="194">
        <f t="shared" si="1"/>
        <v>-1.4717273199161551E-3</v>
      </c>
      <c r="K17" s="110"/>
      <c r="L17" s="86"/>
      <c r="M17" s="86"/>
      <c r="N17" s="86"/>
      <c r="O17" s="86"/>
      <c r="P17" s="358"/>
      <c r="Q17" s="120"/>
      <c r="S17" s="196"/>
      <c r="Y17" s="394" t="s">
        <v>237</v>
      </c>
      <c r="Z17" s="108">
        <f>O33</f>
        <v>0</v>
      </c>
      <c r="AB17" s="401">
        <v>0</v>
      </c>
      <c r="AC17" s="397">
        <f t="shared" si="3"/>
        <v>0</v>
      </c>
      <c r="AD17" s="383"/>
    </row>
    <row r="18" spans="1:30" x14ac:dyDescent="0.25">
      <c r="A18" s="320">
        <f t="shared" si="0"/>
        <v>14</v>
      </c>
      <c r="C18" s="106"/>
      <c r="D18" s="122"/>
      <c r="E18" s="99" t="s">
        <v>222</v>
      </c>
      <c r="F18" s="110"/>
      <c r="G18" s="109">
        <v>8.7389999999999995E-2</v>
      </c>
      <c r="H18" s="109">
        <v>9.9180000000000004E-2</v>
      </c>
      <c r="I18" s="194">
        <f>H18*T16</f>
        <v>9.7761753637881033E-2</v>
      </c>
      <c r="J18" s="194">
        <f t="shared" si="1"/>
        <v>-1.4182463621189717E-3</v>
      </c>
      <c r="K18" s="110"/>
      <c r="L18" s="86"/>
      <c r="M18" s="86"/>
      <c r="N18" s="86"/>
      <c r="O18" s="86"/>
      <c r="P18" s="358"/>
      <c r="Q18" s="120"/>
      <c r="S18" s="196"/>
      <c r="Y18" s="380"/>
      <c r="Z18" s="325">
        <f>O36</f>
        <v>2248438.353679989</v>
      </c>
      <c r="AA18" s="325">
        <f t="shared" ref="AA18:AC18" si="5">P36</f>
        <v>3.9208484070669479E-2</v>
      </c>
      <c r="AB18" s="325">
        <f t="shared" si="5"/>
        <v>0</v>
      </c>
      <c r="AC18" s="325">
        <f t="shared" si="5"/>
        <v>0</v>
      </c>
      <c r="AD18" s="383"/>
    </row>
    <row r="19" spans="1:30" x14ac:dyDescent="0.25">
      <c r="A19" s="320">
        <f t="shared" si="0"/>
        <v>15</v>
      </c>
      <c r="C19" s="106"/>
      <c r="D19" s="122"/>
      <c r="E19" s="99" t="s">
        <v>218</v>
      </c>
      <c r="F19" s="110"/>
      <c r="G19" s="26">
        <v>4.37</v>
      </c>
      <c r="H19" s="26">
        <f t="shared" si="2"/>
        <v>4.37</v>
      </c>
      <c r="I19" s="193">
        <f t="shared" si="4"/>
        <v>4.37</v>
      </c>
      <c r="J19" s="193">
        <f t="shared" si="1"/>
        <v>0</v>
      </c>
      <c r="K19" s="110"/>
      <c r="L19" s="86"/>
      <c r="M19" s="86"/>
      <c r="N19" s="86"/>
      <c r="O19" s="86"/>
      <c r="P19" s="358"/>
      <c r="Q19" s="120"/>
      <c r="Y19" s="402"/>
      <c r="Z19" s="377"/>
      <c r="AA19" s="377"/>
      <c r="AB19" s="377"/>
      <c r="AC19" s="377"/>
      <c r="AD19" s="403"/>
    </row>
    <row r="20" spans="1:30" x14ac:dyDescent="0.25">
      <c r="A20" s="320">
        <f t="shared" si="0"/>
        <v>16</v>
      </c>
      <c r="B20" s="307">
        <v>5</v>
      </c>
      <c r="C20" s="308" t="str">
        <f>List!B10</f>
        <v>Sch VII - Inclining Block Rate</v>
      </c>
      <c r="D20" s="309" t="str">
        <f>List!C10</f>
        <v>IB</v>
      </c>
      <c r="E20" s="293" t="s">
        <v>216</v>
      </c>
      <c r="F20" s="310"/>
      <c r="G20" s="312">
        <v>10.26</v>
      </c>
      <c r="H20" s="312">
        <f t="shared" si="2"/>
        <v>10.26</v>
      </c>
      <c r="I20" s="411">
        <f>H20+(J8)</f>
        <v>17.64</v>
      </c>
      <c r="J20" s="312">
        <f t="shared" si="1"/>
        <v>7.3800000000000008</v>
      </c>
      <c r="K20" s="310"/>
      <c r="L20" s="313">
        <f>IB!G27</f>
        <v>100449.43758000001</v>
      </c>
      <c r="M20" s="313">
        <f>IB!K27</f>
        <v>100785.03542</v>
      </c>
      <c r="N20" s="313">
        <f>IB!T27</f>
        <v>118022.16406999998</v>
      </c>
      <c r="O20" s="313">
        <f>IB!T29</f>
        <v>17237.128649999984</v>
      </c>
      <c r="P20" s="359">
        <f>IB!T31</f>
        <v>0.17102865101121362</v>
      </c>
      <c r="Q20" s="314">
        <f>IB!T33</f>
        <v>7.3883963351907349</v>
      </c>
      <c r="T20" s="324">
        <v>1.0003200000000001</v>
      </c>
    </row>
    <row r="21" spans="1:30" x14ac:dyDescent="0.25">
      <c r="A21" s="320">
        <f t="shared" si="0"/>
        <v>17</v>
      </c>
      <c r="C21" s="106"/>
      <c r="D21" s="122"/>
      <c r="E21" s="99" t="s">
        <v>223</v>
      </c>
      <c r="F21" s="110"/>
      <c r="G21" s="109">
        <v>8.7419999999999998E-2</v>
      </c>
      <c r="H21" s="109">
        <v>9.9210000000000007E-2</v>
      </c>
      <c r="I21" s="194">
        <f>ROUND(H21*T20,5)</f>
        <v>9.9239999999999995E-2</v>
      </c>
      <c r="J21" s="109">
        <f t="shared" si="1"/>
        <v>2.9999999999988369E-5</v>
      </c>
      <c r="K21" s="110"/>
      <c r="L21" s="86"/>
      <c r="M21" s="86"/>
      <c r="N21" s="86"/>
      <c r="O21" s="86"/>
      <c r="P21" s="358"/>
      <c r="Q21" s="120"/>
      <c r="S21" s="196"/>
    </row>
    <row r="22" spans="1:30" x14ac:dyDescent="0.25">
      <c r="A22" s="320">
        <f t="shared" si="0"/>
        <v>18</v>
      </c>
      <c r="C22" s="106"/>
      <c r="D22" s="122"/>
      <c r="E22" s="99" t="s">
        <v>224</v>
      </c>
      <c r="F22" s="110"/>
      <c r="G22" s="109">
        <v>9.2600000000000002E-2</v>
      </c>
      <c r="H22" s="109">
        <v>0.10439</v>
      </c>
      <c r="I22" s="194">
        <f>ROUND(H22*T20,5)</f>
        <v>0.10442</v>
      </c>
      <c r="J22" s="109">
        <f t="shared" si="1"/>
        <v>3.0000000000002247E-5</v>
      </c>
      <c r="K22" s="110"/>
      <c r="L22" s="86"/>
      <c r="M22" s="86"/>
      <c r="N22" s="86"/>
      <c r="O22" s="86"/>
      <c r="P22" s="358"/>
      <c r="Q22" s="120"/>
      <c r="S22" s="196"/>
    </row>
    <row r="23" spans="1:30" x14ac:dyDescent="0.25">
      <c r="A23" s="320">
        <f t="shared" si="0"/>
        <v>19</v>
      </c>
      <c r="C23" s="106"/>
      <c r="D23" s="122"/>
      <c r="E23" s="99" t="s">
        <v>225</v>
      </c>
      <c r="F23" s="110"/>
      <c r="G23" s="109">
        <v>9.7790000000000002E-2</v>
      </c>
      <c r="H23" s="109">
        <v>0.10958</v>
      </c>
      <c r="I23" s="194">
        <f>ROUND(H23*T20,5)</f>
        <v>0.10962</v>
      </c>
      <c r="J23" s="109">
        <f t="shared" si="1"/>
        <v>3.999999999999837E-5</v>
      </c>
      <c r="K23" s="110"/>
      <c r="L23" s="86"/>
      <c r="M23" s="86"/>
      <c r="N23" s="86"/>
      <c r="O23" s="86"/>
      <c r="P23" s="358"/>
      <c r="Q23" s="120"/>
      <c r="S23" s="196"/>
    </row>
    <row r="24" spans="1:30" x14ac:dyDescent="0.25">
      <c r="A24" s="320">
        <f t="shared" si="0"/>
        <v>20</v>
      </c>
      <c r="B24" s="307">
        <v>6</v>
      </c>
      <c r="C24" s="308" t="str">
        <f>List!B11</f>
        <v>Sch III - All 3Phase Schools &amp; Churches</v>
      </c>
      <c r="D24" s="309" t="str">
        <f>List!C11</f>
        <v>E1</v>
      </c>
      <c r="E24" s="293" t="s">
        <v>216</v>
      </c>
      <c r="F24" s="310"/>
      <c r="G24" s="312">
        <v>46.64</v>
      </c>
      <c r="H24" s="312">
        <f t="shared" si="2"/>
        <v>46.64</v>
      </c>
      <c r="I24" s="411">
        <f t="shared" si="4"/>
        <v>46.64</v>
      </c>
      <c r="J24" s="312">
        <f t="shared" si="1"/>
        <v>0</v>
      </c>
      <c r="K24" s="310"/>
      <c r="L24" s="313">
        <f>'E1'!G23</f>
        <v>1272025.19594</v>
      </c>
      <c r="M24" s="313">
        <f>'E1'!J23</f>
        <v>1272025.19594</v>
      </c>
      <c r="N24" s="313">
        <f>'E1'!S23</f>
        <v>1272025.19594</v>
      </c>
      <c r="O24" s="313">
        <f>'E1'!S25</f>
        <v>0</v>
      </c>
      <c r="P24" s="359">
        <f>'E1'!S27</f>
        <v>0</v>
      </c>
      <c r="Q24" s="314">
        <f>'E1'!S29</f>
        <v>0</v>
      </c>
      <c r="T24" s="99">
        <v>0</v>
      </c>
    </row>
    <row r="25" spans="1:30" x14ac:dyDescent="0.25">
      <c r="A25" s="320">
        <f t="shared" si="0"/>
        <v>21</v>
      </c>
      <c r="C25" s="106"/>
      <c r="D25" s="122"/>
      <c r="E25" s="99" t="s">
        <v>217</v>
      </c>
      <c r="F25" s="110"/>
      <c r="G25" s="109">
        <v>7.8509999999999996E-2</v>
      </c>
      <c r="H25" s="109">
        <v>9.0300000000000005E-2</v>
      </c>
      <c r="I25" s="194">
        <f t="shared" si="4"/>
        <v>9.0300000000000005E-2</v>
      </c>
      <c r="J25" s="109">
        <f t="shared" si="1"/>
        <v>0</v>
      </c>
      <c r="K25" s="110"/>
      <c r="L25" s="86"/>
      <c r="M25" s="86"/>
      <c r="N25" s="86"/>
      <c r="O25" s="86"/>
      <c r="P25" s="358"/>
      <c r="Q25" s="120"/>
      <c r="S25" s="196"/>
    </row>
    <row r="26" spans="1:30" x14ac:dyDescent="0.25">
      <c r="A26" s="320">
        <f t="shared" si="0"/>
        <v>22</v>
      </c>
      <c r="B26" s="307">
        <v>7</v>
      </c>
      <c r="C26" s="308" t="str">
        <f>List!B12</f>
        <v>Sch IV-A - Large Power 50-2500 kW</v>
      </c>
      <c r="D26" s="309" t="str">
        <f>List!C12</f>
        <v>L1</v>
      </c>
      <c r="E26" s="293" t="s">
        <v>216</v>
      </c>
      <c r="F26" s="310"/>
      <c r="G26" s="312">
        <v>67.37</v>
      </c>
      <c r="H26" s="312">
        <f t="shared" si="2"/>
        <v>67.37</v>
      </c>
      <c r="I26" s="411">
        <f t="shared" si="4"/>
        <v>67.37</v>
      </c>
      <c r="J26" s="312">
        <f t="shared" si="1"/>
        <v>0</v>
      </c>
      <c r="K26" s="310"/>
      <c r="L26" s="313">
        <f>'L1'!G29</f>
        <v>7402299.7411700003</v>
      </c>
      <c r="M26" s="313">
        <f>'L1'!K29</f>
        <v>7402299.7411700003</v>
      </c>
      <c r="N26" s="313">
        <f>'L1'!T29</f>
        <v>8011283.971169997</v>
      </c>
      <c r="O26" s="313">
        <f>'L1'!T31</f>
        <v>608984.22999999672</v>
      </c>
      <c r="P26" s="359">
        <f>'L1'!T33</f>
        <v>8.2269598813049585E-2</v>
      </c>
      <c r="Q26" s="314">
        <f>'L1'!T35</f>
        <v>801.29503947367994</v>
      </c>
      <c r="T26" s="324">
        <v>1.5233618320974329</v>
      </c>
    </row>
    <row r="27" spans="1:30" x14ac:dyDescent="0.25">
      <c r="A27" s="320">
        <f t="shared" si="0"/>
        <v>23</v>
      </c>
      <c r="C27" s="106"/>
      <c r="D27" s="122"/>
      <c r="E27" s="99" t="s">
        <v>217</v>
      </c>
      <c r="F27" s="110"/>
      <c r="G27" s="109">
        <v>5.8770000000000003E-2</v>
      </c>
      <c r="H27" s="109">
        <v>7.0559999999999998E-2</v>
      </c>
      <c r="I27" s="194">
        <f>H27</f>
        <v>7.0559999999999998E-2</v>
      </c>
      <c r="J27" s="109">
        <f t="shared" si="1"/>
        <v>0</v>
      </c>
      <c r="K27" s="110"/>
      <c r="L27" s="86"/>
      <c r="M27" s="86"/>
      <c r="N27" s="86"/>
      <c r="O27" s="86"/>
      <c r="P27" s="358"/>
      <c r="Q27" s="120"/>
      <c r="S27" s="196"/>
    </row>
    <row r="28" spans="1:30" x14ac:dyDescent="0.25">
      <c r="A28" s="320">
        <f t="shared" si="0"/>
        <v>24</v>
      </c>
      <c r="C28" s="106"/>
      <c r="D28" s="122"/>
      <c r="E28" s="99" t="s">
        <v>218</v>
      </c>
      <c r="F28" s="110"/>
      <c r="G28" s="26">
        <v>4.37</v>
      </c>
      <c r="H28" s="26">
        <f t="shared" si="2"/>
        <v>4.37</v>
      </c>
      <c r="I28" s="193">
        <f>H28*T26</f>
        <v>6.6570912062657817</v>
      </c>
      <c r="J28" s="107">
        <f t="shared" si="1"/>
        <v>2.2870912062657816</v>
      </c>
      <c r="K28" s="110"/>
      <c r="L28" s="86"/>
      <c r="M28" s="86"/>
      <c r="N28" s="86"/>
      <c r="O28" s="86"/>
      <c r="P28" s="358"/>
      <c r="Q28" s="120"/>
    </row>
    <row r="29" spans="1:30" ht="19.149999999999999" customHeight="1" x14ac:dyDescent="0.25">
      <c r="A29" s="320">
        <f t="shared" si="0"/>
        <v>25</v>
      </c>
      <c r="B29" s="307">
        <v>8</v>
      </c>
      <c r="C29" s="308" t="str">
        <f>List!B13</f>
        <v>Sch VI - Outdoor Lighting - Security Lights</v>
      </c>
      <c r="D29" s="309" t="str">
        <f>List!C13</f>
        <v>S</v>
      </c>
      <c r="E29" s="293" t="s">
        <v>208</v>
      </c>
      <c r="F29" s="310"/>
      <c r="G29" s="311"/>
      <c r="H29" s="311">
        <f t="shared" si="2"/>
        <v>0</v>
      </c>
      <c r="I29" s="312"/>
      <c r="J29" s="312"/>
      <c r="K29" s="310"/>
      <c r="L29" s="313">
        <f>S!I30</f>
        <v>1683639.8399999999</v>
      </c>
      <c r="M29" s="313">
        <f>S!L30</f>
        <v>1683787.2434499997</v>
      </c>
      <c r="N29" s="313">
        <f>S!R30</f>
        <v>1683787.2434499997</v>
      </c>
      <c r="O29" s="313">
        <f>S!R32</f>
        <v>0</v>
      </c>
      <c r="P29" s="359">
        <f>S!R34</f>
        <v>0</v>
      </c>
      <c r="Q29" s="314">
        <f>S!R36</f>
        <v>0</v>
      </c>
      <c r="T29" s="99">
        <v>0</v>
      </c>
    </row>
    <row r="30" spans="1:30" x14ac:dyDescent="0.25">
      <c r="A30" s="320">
        <f t="shared" si="0"/>
        <v>26</v>
      </c>
      <c r="B30" s="307">
        <v>9</v>
      </c>
      <c r="C30" s="293" t="s">
        <v>226</v>
      </c>
      <c r="D30" s="307" t="s">
        <v>234</v>
      </c>
      <c r="E30" s="293" t="s">
        <v>216</v>
      </c>
      <c r="F30" s="310"/>
      <c r="G30" s="311">
        <v>5726.7</v>
      </c>
      <c r="H30" s="311">
        <f t="shared" si="2"/>
        <v>5726.7</v>
      </c>
      <c r="I30" s="413">
        <f t="shared" si="2"/>
        <v>5726.7</v>
      </c>
      <c r="J30" s="312">
        <f t="shared" si="1"/>
        <v>0</v>
      </c>
      <c r="K30" s="310"/>
      <c r="L30" s="313">
        <v>4804107.1202200009</v>
      </c>
      <c r="M30" s="313">
        <v>4804107.1202200009</v>
      </c>
      <c r="N30" s="313">
        <v>0</v>
      </c>
      <c r="O30" s="313">
        <v>0</v>
      </c>
      <c r="P30" s="359">
        <v>0</v>
      </c>
      <c r="Q30" s="316">
        <v>0</v>
      </c>
      <c r="T30" s="99">
        <v>0</v>
      </c>
    </row>
    <row r="31" spans="1:30" x14ac:dyDescent="0.25">
      <c r="A31" s="320">
        <f t="shared" si="0"/>
        <v>27</v>
      </c>
      <c r="C31" s="2"/>
      <c r="D31" s="122"/>
      <c r="E31" s="99" t="s">
        <v>217</v>
      </c>
      <c r="F31" s="110"/>
      <c r="G31" s="415">
        <v>3.9780000000000003E-2</v>
      </c>
      <c r="H31" s="303">
        <v>5.1569999999999998E-2</v>
      </c>
      <c r="I31" s="415">
        <v>5.1569999999999998E-2</v>
      </c>
      <c r="J31" s="109">
        <f t="shared" si="1"/>
        <v>0</v>
      </c>
      <c r="K31" s="110"/>
      <c r="L31" s="86"/>
      <c r="M31" s="86"/>
      <c r="O31" s="86"/>
      <c r="P31" s="358"/>
      <c r="Q31" s="149"/>
    </row>
    <row r="32" spans="1:30" x14ac:dyDescent="0.25">
      <c r="A32" s="320">
        <f t="shared" si="0"/>
        <v>28</v>
      </c>
      <c r="C32" s="106"/>
      <c r="D32" s="122"/>
      <c r="E32" s="99" t="s">
        <v>218</v>
      </c>
      <c r="F32" s="110"/>
      <c r="G32" s="26">
        <v>7.3</v>
      </c>
      <c r="H32" s="26">
        <v>7.3</v>
      </c>
      <c r="I32" s="26">
        <v>7.3</v>
      </c>
      <c r="J32" s="415">
        <f t="shared" si="1"/>
        <v>0</v>
      </c>
      <c r="K32" s="110"/>
      <c r="L32" s="86"/>
      <c r="M32" s="86"/>
      <c r="N32" s="86"/>
      <c r="O32" s="86"/>
      <c r="P32" s="358"/>
      <c r="Q32" s="120"/>
    </row>
    <row r="33" spans="1:30" x14ac:dyDescent="0.25">
      <c r="A33" s="320">
        <f t="shared" si="0"/>
        <v>29</v>
      </c>
      <c r="B33" s="307">
        <v>10</v>
      </c>
      <c r="C33" s="293" t="s">
        <v>443</v>
      </c>
      <c r="D33" s="307" t="s">
        <v>237</v>
      </c>
      <c r="E33" s="293" t="s">
        <v>216</v>
      </c>
      <c r="F33" s="310"/>
      <c r="G33" s="413">
        <v>3025.05</v>
      </c>
      <c r="H33" s="311">
        <f t="shared" ref="H33:I35" si="6">G33</f>
        <v>3025.05</v>
      </c>
      <c r="I33" s="413">
        <f t="shared" si="6"/>
        <v>3025.05</v>
      </c>
      <c r="J33" s="413">
        <f t="shared" si="1"/>
        <v>0</v>
      </c>
      <c r="K33" s="310"/>
      <c r="L33" s="317">
        <v>4182322.3414600003</v>
      </c>
      <c r="M33" s="317">
        <v>4182322.3414600003</v>
      </c>
      <c r="N33" s="317">
        <v>0</v>
      </c>
      <c r="O33" s="313">
        <v>0</v>
      </c>
      <c r="P33" s="360">
        <v>0</v>
      </c>
      <c r="Q33" s="316">
        <v>0</v>
      </c>
      <c r="R33" s="119"/>
      <c r="S33" s="108"/>
      <c r="T33" s="99">
        <v>0</v>
      </c>
    </row>
    <row r="34" spans="1:30" x14ac:dyDescent="0.25">
      <c r="A34" s="320">
        <f t="shared" si="0"/>
        <v>30</v>
      </c>
      <c r="C34" s="106"/>
      <c r="D34" s="122"/>
      <c r="E34" s="99" t="s">
        <v>217</v>
      </c>
      <c r="F34" s="110"/>
      <c r="G34" s="415">
        <v>4.2883999999999999E-2</v>
      </c>
      <c r="H34" s="303">
        <v>5.4674E-2</v>
      </c>
      <c r="I34" s="415">
        <f t="shared" si="6"/>
        <v>5.4674E-2</v>
      </c>
      <c r="J34" s="107">
        <f t="shared" si="1"/>
        <v>0</v>
      </c>
      <c r="K34" s="110"/>
      <c r="L34" s="86"/>
      <c r="M34" s="86"/>
      <c r="N34" s="86"/>
      <c r="O34" s="86"/>
      <c r="P34" s="358"/>
    </row>
    <row r="35" spans="1:30" x14ac:dyDescent="0.25">
      <c r="A35" s="320">
        <f t="shared" si="0"/>
        <v>31</v>
      </c>
      <c r="C35" s="106"/>
      <c r="D35" s="122"/>
      <c r="E35" s="99" t="s">
        <v>218</v>
      </c>
      <c r="F35" s="110"/>
      <c r="G35" s="414">
        <v>7.49</v>
      </c>
      <c r="H35" s="414">
        <f t="shared" si="6"/>
        <v>7.49</v>
      </c>
      <c r="I35" s="414">
        <f t="shared" si="6"/>
        <v>7.49</v>
      </c>
      <c r="J35" s="107">
        <f t="shared" si="1"/>
        <v>0</v>
      </c>
      <c r="K35" s="110"/>
      <c r="L35" s="86"/>
      <c r="M35" s="86"/>
      <c r="N35" s="86"/>
      <c r="O35" s="86"/>
      <c r="P35" s="358"/>
      <c r="Q35" s="47"/>
    </row>
    <row r="36" spans="1:30" s="116" customFormat="1" ht="31.5" customHeight="1" thickBot="1" x14ac:dyDescent="0.3">
      <c r="A36" s="321">
        <f>A35+1</f>
        <v>32</v>
      </c>
      <c r="B36" s="123"/>
      <c r="C36" s="113" t="s">
        <v>64</v>
      </c>
      <c r="D36" s="123"/>
      <c r="E36" s="113"/>
      <c r="F36" s="110"/>
      <c r="G36" s="113"/>
      <c r="H36" s="113"/>
      <c r="I36" s="113"/>
      <c r="J36" s="113"/>
      <c r="K36" s="110"/>
      <c r="L36" s="114">
        <f>SUM(L8:L35)</f>
        <v>57240885.113150001</v>
      </c>
      <c r="M36" s="114">
        <f>SUM(M8:M35)</f>
        <v>57345709.913890004</v>
      </c>
      <c r="N36" s="114">
        <f>SUM(N8:N35)</f>
        <v>50607718.805889994</v>
      </c>
      <c r="O36" s="114">
        <f>SUM(O8:O35)</f>
        <v>2248438.353679989</v>
      </c>
      <c r="P36" s="115">
        <f>O36/M36</f>
        <v>3.9208484070669479E-2</v>
      </c>
      <c r="Q36" s="115"/>
      <c r="T36" s="108"/>
      <c r="U36" s="143"/>
      <c r="V36" s="119"/>
      <c r="Y36" s="99"/>
      <c r="Z36" s="99"/>
      <c r="AA36" s="99"/>
      <c r="AB36" s="99"/>
      <c r="AC36" s="99"/>
      <c r="AD36" s="99"/>
    </row>
    <row r="37" spans="1:30" s="116" customFormat="1" ht="15.75" customHeight="1" thickTop="1" x14ac:dyDescent="0.25">
      <c r="A37" s="320">
        <f t="shared" si="0"/>
        <v>33</v>
      </c>
      <c r="B37" s="146"/>
      <c r="D37" s="146"/>
      <c r="L37" s="147"/>
      <c r="M37" s="147"/>
      <c r="N37" s="147"/>
      <c r="O37" s="147"/>
      <c r="P37" s="148"/>
      <c r="Q37" s="148"/>
      <c r="T37"/>
      <c r="U37"/>
      <c r="V37"/>
      <c r="W37"/>
      <c r="X37"/>
    </row>
    <row r="38" spans="1:30" x14ac:dyDescent="0.25">
      <c r="A38" s="320">
        <f t="shared" si="0"/>
        <v>34</v>
      </c>
      <c r="H38" s="416"/>
      <c r="L38" s="108"/>
      <c r="M38" s="108"/>
      <c r="N38" s="286" t="s">
        <v>214</v>
      </c>
      <c r="O38" s="47">
        <v>2250000</v>
      </c>
      <c r="T38" s="274"/>
      <c r="U38" s="290"/>
      <c r="V38" s="290"/>
      <c r="W38" s="290"/>
      <c r="X38" s="290"/>
      <c r="Y38" s="116"/>
      <c r="Z38" s="116"/>
      <c r="AA38" s="116"/>
      <c r="AB38" s="116"/>
      <c r="AC38" s="116"/>
      <c r="AD38" s="116"/>
    </row>
    <row r="39" spans="1:30" x14ac:dyDescent="0.25">
      <c r="A39" s="320">
        <f t="shared" si="0"/>
        <v>35</v>
      </c>
      <c r="G39" s="415"/>
      <c r="H39" s="415"/>
      <c r="I39" s="415"/>
      <c r="J39" s="415"/>
      <c r="L39" s="108"/>
      <c r="M39" s="108"/>
      <c r="N39" s="145" t="s">
        <v>243</v>
      </c>
      <c r="O39" s="108">
        <f>O36-O38</f>
        <v>-1561.6463200110011</v>
      </c>
      <c r="P39" s="25">
        <f>O39/O38</f>
        <v>-6.9406503111600051E-4</v>
      </c>
      <c r="T39" s="274"/>
      <c r="U39" s="290"/>
      <c r="V39" s="290"/>
      <c r="W39" s="290"/>
      <c r="X39" s="290"/>
    </row>
    <row r="40" spans="1:30" x14ac:dyDescent="0.25">
      <c r="A40" s="320">
        <f t="shared" si="0"/>
        <v>36</v>
      </c>
      <c r="C40" s="404" t="s">
        <v>283</v>
      </c>
      <c r="E40" s="111"/>
      <c r="F40" s="111"/>
      <c r="G40" s="111"/>
      <c r="H40" s="417"/>
      <c r="J40" s="111"/>
      <c r="K40" s="111"/>
      <c r="L40" s="111"/>
      <c r="M40" s="111"/>
      <c r="U40" s="288"/>
      <c r="V40" s="291"/>
    </row>
    <row r="41" spans="1:30" x14ac:dyDescent="0.25">
      <c r="A41" s="320">
        <f t="shared" si="0"/>
        <v>37</v>
      </c>
      <c r="B41" s="99"/>
      <c r="G41" s="111"/>
      <c r="H41" s="111"/>
      <c r="N41" s="31"/>
      <c r="O41" s="108"/>
      <c r="P41" s="112"/>
      <c r="U41" s="288"/>
      <c r="V41" s="289"/>
      <c r="W41" s="288"/>
      <c r="X41" s="288"/>
    </row>
    <row r="42" spans="1:30" x14ac:dyDescent="0.25">
      <c r="A42" s="320">
        <f t="shared" si="0"/>
        <v>38</v>
      </c>
      <c r="C42" s="308" t="s">
        <v>258</v>
      </c>
      <c r="D42" s="309" t="s">
        <v>277</v>
      </c>
      <c r="E42" s="293" t="s">
        <v>216</v>
      </c>
      <c r="F42" s="110"/>
      <c r="G42" s="311">
        <v>103.65</v>
      </c>
      <c r="H42" s="311">
        <v>103.65</v>
      </c>
      <c r="I42" s="311">
        <f>H42</f>
        <v>103.65</v>
      </c>
      <c r="J42" s="311">
        <f>I42-H42</f>
        <v>0</v>
      </c>
      <c r="M42" s="145"/>
      <c r="N42" s="14"/>
      <c r="U42" s="145"/>
      <c r="V42" s="145"/>
      <c r="W42" s="145"/>
      <c r="X42" s="145"/>
    </row>
    <row r="43" spans="1:30" x14ac:dyDescent="0.25">
      <c r="A43" s="320">
        <f t="shared" si="0"/>
        <v>39</v>
      </c>
      <c r="C43" s="106"/>
      <c r="D43" s="122"/>
      <c r="E43" s="99" t="s">
        <v>217</v>
      </c>
      <c r="F43" s="110"/>
      <c r="G43" s="81">
        <v>4.8759999999999998E-2</v>
      </c>
      <c r="H43" s="81">
        <v>6.055E-2</v>
      </c>
      <c r="I43" s="81">
        <f>0.062649+0.003</f>
        <v>6.5648999999999999E-2</v>
      </c>
      <c r="J43" s="81">
        <f t="shared" ref="J43:J52" si="7">I43-H43</f>
        <v>5.0989999999999994E-3</v>
      </c>
      <c r="N43" s="108"/>
      <c r="T43" s="274"/>
      <c r="U43" s="290"/>
      <c r="V43" s="290"/>
      <c r="W43" s="290"/>
      <c r="X43" s="290"/>
    </row>
    <row r="44" spans="1:30" x14ac:dyDescent="0.25">
      <c r="A44" s="320">
        <f t="shared" si="0"/>
        <v>40</v>
      </c>
      <c r="C44" s="106"/>
      <c r="D44" s="122"/>
      <c r="E44" s="99" t="s">
        <v>218</v>
      </c>
      <c r="F44" s="110"/>
      <c r="G44" s="26">
        <v>6.79</v>
      </c>
      <c r="H44" s="26">
        <v>6.79</v>
      </c>
      <c r="I44" s="26">
        <v>6.52</v>
      </c>
      <c r="J44" s="26">
        <f t="shared" si="7"/>
        <v>-0.27000000000000046</v>
      </c>
      <c r="M44" s="145"/>
      <c r="N44" s="14"/>
      <c r="U44" s="141"/>
      <c r="V44" s="141"/>
      <c r="W44" s="141"/>
      <c r="X44" s="141"/>
    </row>
    <row r="45" spans="1:30" x14ac:dyDescent="0.25">
      <c r="A45" s="320">
        <f t="shared" si="0"/>
        <v>41</v>
      </c>
      <c r="C45" s="293" t="s">
        <v>259</v>
      </c>
      <c r="D45" s="307" t="s">
        <v>278</v>
      </c>
      <c r="E45" s="293" t="s">
        <v>216</v>
      </c>
      <c r="F45" s="110"/>
      <c r="G45" s="311">
        <v>636.89</v>
      </c>
      <c r="H45" s="311">
        <v>636.89</v>
      </c>
      <c r="I45" s="311">
        <f>H45</f>
        <v>636.89</v>
      </c>
      <c r="J45" s="311">
        <f t="shared" si="7"/>
        <v>0</v>
      </c>
      <c r="M45" s="145"/>
      <c r="N45" s="14"/>
      <c r="U45" s="141"/>
      <c r="V45" s="141"/>
      <c r="W45" s="141"/>
      <c r="X45" s="141"/>
    </row>
    <row r="46" spans="1:30" x14ac:dyDescent="0.25">
      <c r="A46" s="320">
        <f t="shared" si="0"/>
        <v>42</v>
      </c>
      <c r="E46" s="99" t="s">
        <v>217</v>
      </c>
      <c r="F46" s="110"/>
      <c r="G46" s="80">
        <v>5.4219999999999997E-2</v>
      </c>
      <c r="H46" s="80">
        <v>6.6009999999999999E-2</v>
      </c>
      <c r="I46" s="80">
        <f>I43</f>
        <v>6.5648999999999999E-2</v>
      </c>
      <c r="J46" s="80">
        <f t="shared" si="7"/>
        <v>-3.6100000000000021E-4</v>
      </c>
      <c r="N46" s="108"/>
    </row>
    <row r="47" spans="1:30" x14ac:dyDescent="0.25">
      <c r="A47" s="320">
        <f t="shared" si="0"/>
        <v>43</v>
      </c>
      <c r="E47" s="99" t="s">
        <v>260</v>
      </c>
      <c r="F47" s="110"/>
      <c r="G47" s="26">
        <v>6.42</v>
      </c>
      <c r="H47" s="26">
        <v>6.42</v>
      </c>
      <c r="I47" s="26">
        <v>6.52</v>
      </c>
      <c r="J47" s="26">
        <f t="shared" si="7"/>
        <v>9.9999999999999645E-2</v>
      </c>
    </row>
    <row r="48" spans="1:30" x14ac:dyDescent="0.25">
      <c r="A48" s="320">
        <f t="shared" si="0"/>
        <v>44</v>
      </c>
      <c r="E48" s="99" t="s">
        <v>261</v>
      </c>
      <c r="F48" s="110"/>
      <c r="G48" s="26">
        <v>9.31</v>
      </c>
      <c r="H48" s="26">
        <v>9.31</v>
      </c>
      <c r="I48" s="26">
        <f t="shared" ref="I48" si="8">H48</f>
        <v>9.31</v>
      </c>
      <c r="J48" s="26">
        <f t="shared" si="7"/>
        <v>0</v>
      </c>
    </row>
    <row r="49" spans="1:10" x14ac:dyDescent="0.25">
      <c r="A49" s="320">
        <f t="shared" si="0"/>
        <v>45</v>
      </c>
      <c r="C49" s="293" t="s">
        <v>262</v>
      </c>
      <c r="D49" s="307" t="s">
        <v>279</v>
      </c>
      <c r="E49" s="293" t="s">
        <v>216</v>
      </c>
      <c r="F49" s="110"/>
      <c r="G49" s="311">
        <v>1272.5899999999999</v>
      </c>
      <c r="H49" s="311">
        <v>1272.5899999999999</v>
      </c>
      <c r="I49" s="311">
        <f>H49</f>
        <v>1272.5899999999999</v>
      </c>
      <c r="J49" s="311">
        <f t="shared" si="7"/>
        <v>0</v>
      </c>
    </row>
    <row r="50" spans="1:10" x14ac:dyDescent="0.25">
      <c r="A50" s="320">
        <f t="shared" si="0"/>
        <v>46</v>
      </c>
      <c r="E50" s="99" t="s">
        <v>217</v>
      </c>
      <c r="F50" s="110"/>
      <c r="G50" s="81">
        <v>4.6640000000000001E-2</v>
      </c>
      <c r="H50" s="81">
        <v>5.8430000000000003E-2</v>
      </c>
      <c r="I50" s="81">
        <f>I43</f>
        <v>6.5648999999999999E-2</v>
      </c>
      <c r="J50" s="81">
        <f t="shared" si="7"/>
        <v>7.2189999999999963E-3</v>
      </c>
    </row>
    <row r="51" spans="1:10" x14ac:dyDescent="0.25">
      <c r="A51" s="320">
        <f t="shared" si="0"/>
        <v>47</v>
      </c>
      <c r="E51" s="99" t="s">
        <v>260</v>
      </c>
      <c r="F51" s="110"/>
      <c r="G51" s="26">
        <v>6.42</v>
      </c>
      <c r="H51" s="26">
        <v>6.42</v>
      </c>
      <c r="I51" s="26">
        <v>6.52</v>
      </c>
      <c r="J51" s="26">
        <f t="shared" si="7"/>
        <v>9.9999999999999645E-2</v>
      </c>
    </row>
    <row r="52" spans="1:10" x14ac:dyDescent="0.25">
      <c r="A52" s="320">
        <f t="shared" si="0"/>
        <v>48</v>
      </c>
      <c r="E52" s="99" t="s">
        <v>261</v>
      </c>
      <c r="F52" s="110"/>
      <c r="G52" s="26">
        <v>9.31</v>
      </c>
      <c r="H52" s="26">
        <v>9.31</v>
      </c>
      <c r="I52" s="26">
        <f t="shared" ref="I52" si="9">H52</f>
        <v>9.31</v>
      </c>
      <c r="J52" s="26">
        <f t="shared" si="7"/>
        <v>0</v>
      </c>
    </row>
    <row r="55" spans="1:10" x14ac:dyDescent="0.25">
      <c r="I55" s="99" t="s">
        <v>247</v>
      </c>
    </row>
    <row r="56" spans="1:10" x14ac:dyDescent="0.25">
      <c r="I56" s="111">
        <v>1.179E-2</v>
      </c>
    </row>
    <row r="57" spans="1:10" x14ac:dyDescent="0.25">
      <c r="H57" s="408">
        <f>H9-G9</f>
        <v>1.1789999999999995E-2</v>
      </c>
    </row>
    <row r="58" spans="1:10" x14ac:dyDescent="0.25">
      <c r="H58" s="408">
        <f t="shared" ref="H58:H102" si="10">H10-G10</f>
        <v>0</v>
      </c>
    </row>
    <row r="59" spans="1:10" x14ac:dyDescent="0.25">
      <c r="H59" s="408">
        <f t="shared" si="10"/>
        <v>1.1789999999999995E-2</v>
      </c>
    </row>
    <row r="60" spans="1:10" x14ac:dyDescent="0.25">
      <c r="G60" s="111"/>
      <c r="H60" s="408">
        <f t="shared" si="10"/>
        <v>1.1790000000000009E-2</v>
      </c>
    </row>
    <row r="61" spans="1:10" x14ac:dyDescent="0.25">
      <c r="G61" s="111"/>
      <c r="H61" s="408">
        <f t="shared" si="10"/>
        <v>0</v>
      </c>
    </row>
    <row r="62" spans="1:10" x14ac:dyDescent="0.25">
      <c r="D62" s="99"/>
      <c r="G62" s="108"/>
      <c r="H62" s="408">
        <f t="shared" si="10"/>
        <v>1.1789999999999995E-2</v>
      </c>
    </row>
    <row r="63" spans="1:10" x14ac:dyDescent="0.25">
      <c r="D63" s="99"/>
      <c r="H63" s="408">
        <f t="shared" si="10"/>
        <v>1.1789999999999995E-2</v>
      </c>
    </row>
    <row r="64" spans="1:10" x14ac:dyDescent="0.25">
      <c r="D64" s="99"/>
      <c r="H64" s="408">
        <f t="shared" si="10"/>
        <v>0</v>
      </c>
    </row>
    <row r="65" spans="4:8" x14ac:dyDescent="0.25">
      <c r="D65" s="99"/>
      <c r="H65" s="408">
        <f t="shared" si="10"/>
        <v>1.1789999999999995E-2</v>
      </c>
    </row>
    <row r="66" spans="4:8" x14ac:dyDescent="0.25">
      <c r="D66" s="99"/>
      <c r="H66" s="408">
        <f t="shared" si="10"/>
        <v>1.1790000000000009E-2</v>
      </c>
    </row>
    <row r="67" spans="4:8" x14ac:dyDescent="0.25">
      <c r="D67" s="99"/>
      <c r="H67" s="408">
        <f t="shared" si="10"/>
        <v>0</v>
      </c>
    </row>
    <row r="68" spans="4:8" x14ac:dyDescent="0.25">
      <c r="H68" s="408">
        <f t="shared" si="10"/>
        <v>0</v>
      </c>
    </row>
    <row r="69" spans="4:8" x14ac:dyDescent="0.25">
      <c r="H69" s="408">
        <f t="shared" si="10"/>
        <v>1.1790000000000009E-2</v>
      </c>
    </row>
    <row r="70" spans="4:8" x14ac:dyDescent="0.25">
      <c r="H70" s="408">
        <f t="shared" si="10"/>
        <v>1.1789999999999995E-2</v>
      </c>
    </row>
    <row r="71" spans="4:8" x14ac:dyDescent="0.25">
      <c r="H71" s="408">
        <f t="shared" si="10"/>
        <v>1.1789999999999995E-2</v>
      </c>
    </row>
    <row r="72" spans="4:8" x14ac:dyDescent="0.25">
      <c r="H72" s="408">
        <f t="shared" si="10"/>
        <v>0</v>
      </c>
    </row>
    <row r="73" spans="4:8" x14ac:dyDescent="0.25">
      <c r="H73" s="408">
        <f t="shared" si="10"/>
        <v>1.1790000000000009E-2</v>
      </c>
    </row>
    <row r="74" spans="4:8" x14ac:dyDescent="0.25">
      <c r="H74" s="408">
        <f t="shared" si="10"/>
        <v>0</v>
      </c>
    </row>
    <row r="75" spans="4:8" x14ac:dyDescent="0.25">
      <c r="H75" s="408">
        <f t="shared" si="10"/>
        <v>1.1789999999999995E-2</v>
      </c>
    </row>
    <row r="76" spans="4:8" x14ac:dyDescent="0.25">
      <c r="H76" s="408">
        <f t="shared" si="10"/>
        <v>0</v>
      </c>
    </row>
    <row r="77" spans="4:8" x14ac:dyDescent="0.25">
      <c r="H77" s="408">
        <f t="shared" si="10"/>
        <v>0</v>
      </c>
    </row>
    <row r="78" spans="4:8" x14ac:dyDescent="0.25">
      <c r="H78" s="408">
        <f t="shared" si="10"/>
        <v>0</v>
      </c>
    </row>
    <row r="79" spans="4:8" x14ac:dyDescent="0.25">
      <c r="H79" s="408">
        <f t="shared" si="10"/>
        <v>1.1789999999999995E-2</v>
      </c>
    </row>
    <row r="80" spans="4:8" x14ac:dyDescent="0.25">
      <c r="H80" s="408">
        <f t="shared" si="10"/>
        <v>0</v>
      </c>
    </row>
    <row r="81" spans="8:8" x14ac:dyDescent="0.25">
      <c r="H81" s="408">
        <f t="shared" si="10"/>
        <v>0</v>
      </c>
    </row>
    <row r="82" spans="8:8" x14ac:dyDescent="0.25">
      <c r="H82" s="408">
        <f t="shared" si="10"/>
        <v>1.1790000000000002E-2</v>
      </c>
    </row>
    <row r="83" spans="8:8" x14ac:dyDescent="0.25">
      <c r="H83" s="408">
        <f t="shared" si="10"/>
        <v>0</v>
      </c>
    </row>
    <row r="84" spans="8:8" x14ac:dyDescent="0.25">
      <c r="H84" s="408">
        <f t="shared" si="10"/>
        <v>0</v>
      </c>
    </row>
    <row r="85" spans="8:8" x14ac:dyDescent="0.25">
      <c r="H85" s="408">
        <f t="shared" si="10"/>
        <v>0</v>
      </c>
    </row>
    <row r="86" spans="8:8" x14ac:dyDescent="0.25">
      <c r="H86" s="408">
        <f t="shared" si="10"/>
        <v>0</v>
      </c>
    </row>
    <row r="87" spans="8:8" x14ac:dyDescent="0.25">
      <c r="H87" s="408">
        <f t="shared" si="10"/>
        <v>0</v>
      </c>
    </row>
    <row r="88" spans="8:8" x14ac:dyDescent="0.25">
      <c r="H88" s="408">
        <f t="shared" si="10"/>
        <v>0</v>
      </c>
    </row>
    <row r="89" spans="8:8" x14ac:dyDescent="0.25">
      <c r="H89" s="408">
        <f t="shared" si="10"/>
        <v>0</v>
      </c>
    </row>
    <row r="90" spans="8:8" x14ac:dyDescent="0.25">
      <c r="H90" s="408">
        <f t="shared" si="10"/>
        <v>0</v>
      </c>
    </row>
    <row r="91" spans="8:8" x14ac:dyDescent="0.25">
      <c r="H91" s="408">
        <f t="shared" si="10"/>
        <v>1.1790000000000002E-2</v>
      </c>
    </row>
    <row r="92" spans="8:8" x14ac:dyDescent="0.25">
      <c r="H92" s="408">
        <f t="shared" si="10"/>
        <v>0</v>
      </c>
    </row>
    <row r="93" spans="8:8" x14ac:dyDescent="0.25">
      <c r="H93" s="408">
        <f t="shared" si="10"/>
        <v>0</v>
      </c>
    </row>
    <row r="94" spans="8:8" x14ac:dyDescent="0.25">
      <c r="H94" s="408">
        <f t="shared" si="10"/>
        <v>1.1790000000000002E-2</v>
      </c>
    </row>
    <row r="95" spans="8:8" x14ac:dyDescent="0.25">
      <c r="H95" s="408">
        <f t="shared" si="10"/>
        <v>0</v>
      </c>
    </row>
    <row r="96" spans="8:8" x14ac:dyDescent="0.25">
      <c r="H96" s="408">
        <f t="shared" si="10"/>
        <v>0</v>
      </c>
    </row>
    <row r="97" spans="8:8" x14ac:dyDescent="0.25">
      <c r="H97" s="408">
        <f t="shared" si="10"/>
        <v>0</v>
      </c>
    </row>
    <row r="98" spans="8:8" x14ac:dyDescent="0.25">
      <c r="H98" s="408">
        <f t="shared" si="10"/>
        <v>1.1790000000000002E-2</v>
      </c>
    </row>
    <row r="99" spans="8:8" x14ac:dyDescent="0.25">
      <c r="H99" s="408">
        <f t="shared" si="10"/>
        <v>0</v>
      </c>
    </row>
    <row r="100" spans="8:8" x14ac:dyDescent="0.25">
      <c r="H100" s="408">
        <f t="shared" si="10"/>
        <v>0</v>
      </c>
    </row>
    <row r="101" spans="8:8" x14ac:dyDescent="0.25">
      <c r="H101" s="408">
        <f t="shared" si="10"/>
        <v>0</v>
      </c>
    </row>
    <row r="102" spans="8:8" x14ac:dyDescent="0.25">
      <c r="H102" s="408">
        <f t="shared" si="10"/>
        <v>0</v>
      </c>
    </row>
  </sheetData>
  <dataConsolidate/>
  <mergeCells count="3">
    <mergeCell ref="L4:Q4"/>
    <mergeCell ref="G4:J4"/>
    <mergeCell ref="B4:E4"/>
  </mergeCells>
  <printOptions horizontalCentered="1"/>
  <pageMargins left="0.5" right="0.5" top="1.5" bottom="0.5" header="0.3" footer="0.3"/>
  <pageSetup scale="53" orientation="landscape" r:id="rId1"/>
  <headerFooter>
    <oddFooter>&amp;RExhibit JW-9
Page &amp;P of &amp;N</oddFooter>
  </headerFooter>
  <ignoredErrors>
    <ignoredError sqref="I9 I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35"/>
  <sheetViews>
    <sheetView tabSelected="1" view="pageBreakPreview" zoomScale="75" zoomScaleNormal="85" zoomScaleSheetLayoutView="75" workbookViewId="0">
      <selection activeCell="C63" sqref="C63:G63"/>
    </sheetView>
  </sheetViews>
  <sheetFormatPr defaultColWidth="9.140625" defaultRowHeight="15.75" x14ac:dyDescent="0.25"/>
  <cols>
    <col min="1" max="1" width="4.7109375" style="2" customWidth="1"/>
    <col min="2" max="2" width="15.42578125" style="2" customWidth="1"/>
    <col min="3" max="3" width="5.28515625" style="2" customWidth="1"/>
    <col min="4" max="4" width="16.140625" style="2" bestFit="1" customWidth="1"/>
    <col min="5" max="5" width="16.28515625" style="2" bestFit="1" customWidth="1"/>
    <col min="6" max="6" width="3.140625" style="2" customWidth="1"/>
    <col min="7" max="7" width="16.42578125" style="2" customWidth="1"/>
    <col min="8" max="8" width="2.7109375" style="2" customWidth="1"/>
    <col min="9" max="9" width="14.140625" style="2" customWidth="1"/>
    <col min="10" max="10" width="16.85546875" style="2" customWidth="1"/>
    <col min="11" max="11" width="17.140625" style="2" customWidth="1"/>
    <col min="12" max="13" width="2.85546875" style="2" customWidth="1"/>
    <col min="14" max="14" width="4.7109375" style="2" customWidth="1"/>
    <col min="15" max="15" width="15.85546875" style="2" customWidth="1"/>
    <col min="16" max="16" width="3" style="2" customWidth="1"/>
    <col min="17" max="17" width="15.7109375" style="2" customWidth="1"/>
    <col min="18" max="18" width="15.140625" style="2" customWidth="1"/>
    <col min="19" max="19" width="2.42578125" style="2" customWidth="1"/>
    <col min="20" max="20" width="17.42578125" style="2" customWidth="1"/>
    <col min="21" max="21" width="12.42578125" style="2" customWidth="1"/>
    <col min="22" max="22" width="14.28515625" style="2" bestFit="1" customWidth="1"/>
    <col min="23" max="16384" width="9.140625" style="2"/>
  </cols>
  <sheetData>
    <row r="1" spans="1:21" x14ac:dyDescent="0.25">
      <c r="A1" s="1" t="str">
        <f>'Present and Proposed Rates'!A1</f>
        <v>Cumberland Valley Electric</v>
      </c>
      <c r="O1" s="1"/>
    </row>
    <row r="2" spans="1:21" x14ac:dyDescent="0.25">
      <c r="A2" s="1" t="str">
        <f>List!B6</f>
        <v>Sch I - Residential, Schools &amp; Churches</v>
      </c>
    </row>
    <row r="3" spans="1:21" ht="16.5" thickBot="1" x14ac:dyDescent="0.3">
      <c r="A3" s="69" t="str">
        <f>List!C6</f>
        <v>R</v>
      </c>
    </row>
    <row r="4" spans="1:21" x14ac:dyDescent="0.25">
      <c r="D4" s="421" t="s">
        <v>30</v>
      </c>
      <c r="E4" s="422"/>
      <c r="F4" s="422"/>
      <c r="G4" s="423"/>
      <c r="H4" s="3"/>
      <c r="I4" s="3"/>
      <c r="J4" s="421" t="s">
        <v>102</v>
      </c>
      <c r="K4" s="423"/>
      <c r="L4" s="124"/>
      <c r="M4" s="3"/>
      <c r="Q4" s="421" t="s">
        <v>87</v>
      </c>
      <c r="R4" s="422"/>
      <c r="S4" s="422"/>
      <c r="T4" s="423"/>
    </row>
    <row r="5" spans="1:21" ht="16.5" thickBot="1" x14ac:dyDescent="0.3">
      <c r="A5" s="44"/>
      <c r="B5" s="59"/>
      <c r="C5" s="3"/>
      <c r="D5" s="424"/>
      <c r="E5" s="425"/>
      <c r="F5" s="425"/>
      <c r="G5" s="426"/>
      <c r="H5" s="3"/>
      <c r="I5" s="3"/>
      <c r="J5" s="424"/>
      <c r="K5" s="426"/>
      <c r="L5" s="124"/>
      <c r="M5" s="3"/>
      <c r="N5" s="44"/>
      <c r="O5" s="59"/>
      <c r="P5" s="3"/>
      <c r="Q5" s="424"/>
      <c r="R5" s="425"/>
      <c r="S5" s="425"/>
      <c r="T5" s="426"/>
    </row>
    <row r="6" spans="1:21" x14ac:dyDescent="0.25">
      <c r="A6" s="4"/>
      <c r="B6" s="4"/>
      <c r="C6" s="4"/>
      <c r="D6" s="4" t="s">
        <v>1</v>
      </c>
      <c r="E6" s="4"/>
      <c r="F6" s="4"/>
      <c r="G6" s="4" t="s">
        <v>2</v>
      </c>
      <c r="H6" s="4"/>
      <c r="I6" s="4"/>
      <c r="J6" s="4"/>
      <c r="K6" s="4" t="s">
        <v>2</v>
      </c>
      <c r="L6" s="125"/>
      <c r="M6" s="4"/>
      <c r="N6" s="4"/>
      <c r="O6" s="4"/>
      <c r="P6" s="4"/>
      <c r="Q6" s="4" t="s">
        <v>1</v>
      </c>
      <c r="R6" s="4"/>
      <c r="S6" s="4"/>
      <c r="T6" s="4" t="s">
        <v>2</v>
      </c>
    </row>
    <row r="7" spans="1:21" ht="16.5" thickBot="1" x14ac:dyDescent="0.3">
      <c r="A7" s="5"/>
      <c r="B7" s="5"/>
      <c r="C7" s="5"/>
      <c r="D7" s="5" t="s">
        <v>4</v>
      </c>
      <c r="E7" s="425" t="s">
        <v>5</v>
      </c>
      <c r="F7" s="425"/>
      <c r="G7" s="5" t="s">
        <v>6</v>
      </c>
      <c r="H7" s="5"/>
      <c r="I7" s="5"/>
      <c r="J7" s="5" t="s">
        <v>5</v>
      </c>
      <c r="K7" s="5" t="s">
        <v>6</v>
      </c>
      <c r="L7" s="126"/>
      <c r="M7" s="5"/>
      <c r="N7" s="5"/>
      <c r="O7" s="5"/>
      <c r="P7" s="5"/>
      <c r="Q7" s="5" t="s">
        <v>4</v>
      </c>
      <c r="R7" s="425" t="s">
        <v>5</v>
      </c>
      <c r="S7" s="425"/>
      <c r="T7" s="5" t="s">
        <v>6</v>
      </c>
      <c r="U7" s="5" t="s">
        <v>58</v>
      </c>
    </row>
    <row r="8" spans="1:21" x14ac:dyDescent="0.25">
      <c r="L8" s="127"/>
    </row>
    <row r="9" spans="1:21" x14ac:dyDescent="0.25">
      <c r="A9" s="102" t="s">
        <v>10</v>
      </c>
      <c r="L9" s="127"/>
      <c r="N9" s="102" t="s">
        <v>10</v>
      </c>
    </row>
    <row r="10" spans="1:21" x14ac:dyDescent="0.25">
      <c r="D10" s="139" t="s">
        <v>91</v>
      </c>
      <c r="E10" s="139" t="s">
        <v>92</v>
      </c>
      <c r="I10" s="6" t="s">
        <v>91</v>
      </c>
      <c r="J10" s="139" t="s">
        <v>92</v>
      </c>
      <c r="L10" s="127"/>
      <c r="Q10" s="6" t="s">
        <v>91</v>
      </c>
      <c r="R10" s="6" t="s">
        <v>92</v>
      </c>
    </row>
    <row r="11" spans="1:21" x14ac:dyDescent="0.25">
      <c r="B11" s="2" t="s">
        <v>143</v>
      </c>
      <c r="D11" s="8">
        <f>'Billing Determ'!C19</f>
        <v>256460</v>
      </c>
      <c r="E11" s="9">
        <f>'Present and Proposed Rates'!G8</f>
        <v>17.62</v>
      </c>
      <c r="G11" s="11">
        <f>D11*E11</f>
        <v>4518825.2</v>
      </c>
      <c r="H11" s="11"/>
      <c r="I11" s="8">
        <f>Q11</f>
        <v>257240</v>
      </c>
      <c r="J11" s="9">
        <f>'Present and Proposed Rates'!H8</f>
        <v>17.62</v>
      </c>
      <c r="K11" s="11">
        <f>J11*I11</f>
        <v>4532568.8</v>
      </c>
      <c r="L11" s="128"/>
      <c r="M11" s="11"/>
      <c r="O11" s="2" t="s">
        <v>98</v>
      </c>
      <c r="Q11" s="8">
        <f>D11+65*12</f>
        <v>257240</v>
      </c>
      <c r="R11" s="9">
        <f>'Present and Proposed Rates'!I8</f>
        <v>25</v>
      </c>
      <c r="T11" s="11">
        <f>Q11*R11</f>
        <v>6431000</v>
      </c>
      <c r="U11" s="287">
        <f>IF(K11=0,0,T11/K11-1)</f>
        <v>0.41884222474460842</v>
      </c>
    </row>
    <row r="12" spans="1:21" x14ac:dyDescent="0.25">
      <c r="B12" s="2" t="s">
        <v>144</v>
      </c>
      <c r="D12" s="8">
        <f>'Billing Determ'!C37</f>
        <v>13276</v>
      </c>
      <c r="E12" s="9">
        <f>E11</f>
        <v>17.62</v>
      </c>
      <c r="G12" s="11">
        <f>D12*E12</f>
        <v>233923.12000000002</v>
      </c>
      <c r="H12" s="11"/>
      <c r="I12" s="8">
        <f>D12</f>
        <v>13276</v>
      </c>
      <c r="J12" s="9">
        <f>J11</f>
        <v>17.62</v>
      </c>
      <c r="K12" s="11">
        <f>J12*I12</f>
        <v>233923.12000000002</v>
      </c>
      <c r="L12" s="128"/>
      <c r="M12" s="11"/>
      <c r="O12" s="2" t="s">
        <v>98</v>
      </c>
      <c r="Q12" s="8">
        <f>D12</f>
        <v>13276</v>
      </c>
      <c r="R12" s="9">
        <f>R11</f>
        <v>25</v>
      </c>
      <c r="T12" s="11">
        <f>Q12*R12</f>
        <v>331900</v>
      </c>
      <c r="U12" s="287">
        <f>IF(K12=0,0,T12/K12-1)</f>
        <v>0.41884222474460819</v>
      </c>
    </row>
    <row r="13" spans="1:21" x14ac:dyDescent="0.25">
      <c r="G13" s="11"/>
      <c r="H13" s="11"/>
      <c r="I13" s="8"/>
      <c r="K13" s="11"/>
      <c r="L13" s="128"/>
      <c r="M13" s="11"/>
      <c r="Q13" s="8"/>
      <c r="T13" s="11"/>
    </row>
    <row r="14" spans="1:21" x14ac:dyDescent="0.25">
      <c r="A14" s="1" t="s">
        <v>7</v>
      </c>
      <c r="D14" s="8"/>
      <c r="G14" s="11"/>
      <c r="H14" s="11"/>
      <c r="I14" s="8"/>
      <c r="K14" s="11"/>
      <c r="L14" s="128"/>
      <c r="M14" s="11"/>
      <c r="N14" s="1" t="s">
        <v>7</v>
      </c>
      <c r="Q14" s="8"/>
      <c r="T14" s="11"/>
    </row>
    <row r="15" spans="1:21" x14ac:dyDescent="0.25">
      <c r="D15" s="117" t="s">
        <v>8</v>
      </c>
      <c r="E15" s="118" t="s">
        <v>11</v>
      </c>
      <c r="G15" s="11"/>
      <c r="H15" s="11"/>
      <c r="I15" s="13" t="s">
        <v>8</v>
      </c>
      <c r="J15" s="118" t="s">
        <v>11</v>
      </c>
      <c r="K15" s="11"/>
      <c r="L15" s="128"/>
      <c r="M15" s="11"/>
      <c r="Q15" s="13" t="s">
        <v>8</v>
      </c>
      <c r="R15" s="12" t="s">
        <v>11</v>
      </c>
      <c r="T15" s="11"/>
      <c r="U15" s="287"/>
    </row>
    <row r="16" spans="1:21" x14ac:dyDescent="0.25">
      <c r="B16" s="2" t="s">
        <v>120</v>
      </c>
      <c r="D16" s="8">
        <f>('Billing Determ'!D19+'Billing Determ'!D37)</f>
        <v>268297725</v>
      </c>
      <c r="E16" s="18">
        <f>'Present and Proposed Rates'!G9</f>
        <v>8.5150000000000003E-2</v>
      </c>
      <c r="G16" s="11">
        <f>D16*E16</f>
        <v>22845551.283750001</v>
      </c>
      <c r="H16" s="11"/>
      <c r="I16" s="8">
        <f>Q16</f>
        <v>269073566</v>
      </c>
      <c r="J16" s="18">
        <f>'Present and Proposed Rates'!H9</f>
        <v>9.6939999999999998E-2</v>
      </c>
      <c r="K16" s="11">
        <f>I16*J16</f>
        <v>26083991.48804</v>
      </c>
      <c r="L16" s="128"/>
      <c r="M16" s="11"/>
      <c r="O16" s="2" t="s">
        <v>120</v>
      </c>
      <c r="Q16" s="8">
        <f>D16+775841</f>
        <v>269073566</v>
      </c>
      <c r="R16" s="18">
        <f>'Present and Proposed Rates'!I9</f>
        <v>9.5079999999999998E-2</v>
      </c>
      <c r="T16" s="11">
        <f>Q16*R16</f>
        <v>25583514.655279998</v>
      </c>
      <c r="U16" s="287">
        <f>IF(K16=0,0,T16/K16-1)</f>
        <v>-1.9187126057355175E-2</v>
      </c>
    </row>
    <row r="17" spans="1:22" x14ac:dyDescent="0.25">
      <c r="A17" s="1"/>
      <c r="B17" s="1"/>
      <c r="C17" s="132" t="s">
        <v>215</v>
      </c>
      <c r="D17" s="260">
        <f>D16/(D11+D12)</f>
        <v>994.66784188984786</v>
      </c>
      <c r="E17" s="18"/>
      <c r="G17" s="11"/>
      <c r="H17" s="11"/>
      <c r="I17" s="11"/>
      <c r="J17" s="11"/>
      <c r="K17" s="11"/>
      <c r="L17" s="128"/>
      <c r="M17" s="11"/>
      <c r="N17" s="1"/>
      <c r="O17" s="1"/>
      <c r="P17" s="16"/>
      <c r="Q17" s="8"/>
      <c r="R17" s="18"/>
      <c r="T17" s="11"/>
    </row>
    <row r="18" spans="1:22" x14ac:dyDescent="0.25">
      <c r="A18" s="1" t="s">
        <v>96</v>
      </c>
      <c r="B18" s="1"/>
      <c r="C18" s="16"/>
      <c r="D18" s="8"/>
      <c r="E18" s="18"/>
      <c r="G18" s="11"/>
      <c r="H18" s="11"/>
      <c r="I18" s="11"/>
      <c r="J18" s="11"/>
      <c r="K18" s="11"/>
      <c r="L18" s="128"/>
      <c r="M18" s="11"/>
      <c r="N18" s="1" t="s">
        <v>96</v>
      </c>
      <c r="O18" s="1"/>
      <c r="P18" s="16"/>
      <c r="Q18" s="8"/>
      <c r="R18" s="18"/>
      <c r="T18" s="11"/>
    </row>
    <row r="19" spans="1:22" x14ac:dyDescent="0.25">
      <c r="A19" s="1"/>
      <c r="B19" s="2" t="s">
        <v>90</v>
      </c>
      <c r="C19" s="16"/>
      <c r="D19" s="8"/>
      <c r="E19" s="18"/>
      <c r="G19" s="11">
        <f>'Billing Determ'!L19+'Billing Determ'!L37</f>
        <v>3269676.6399999997</v>
      </c>
      <c r="H19" s="11"/>
      <c r="I19" s="11"/>
      <c r="J19" s="11"/>
      <c r="K19" s="11">
        <f>G19-D16*'Present and Proposed Rates'!I56</f>
        <v>106446.4622499994</v>
      </c>
      <c r="L19" s="128"/>
      <c r="M19" s="11"/>
      <c r="N19" s="1"/>
      <c r="O19" s="2" t="s">
        <v>90</v>
      </c>
      <c r="P19" s="16"/>
      <c r="Q19" s="8"/>
      <c r="R19" s="18"/>
      <c r="T19" s="11">
        <f>K19</f>
        <v>106446.4622499994</v>
      </c>
      <c r="U19" s="287"/>
    </row>
    <row r="20" spans="1:22" x14ac:dyDescent="0.25">
      <c r="A20" s="1"/>
      <c r="B20" s="2" t="s">
        <v>97</v>
      </c>
      <c r="C20" s="16"/>
      <c r="D20" s="8"/>
      <c r="E20" s="18"/>
      <c r="G20" s="11">
        <f>'Billing Determ'!N19+'Billing Determ'!N37</f>
        <v>3658466.23</v>
      </c>
      <c r="H20" s="11"/>
      <c r="I20" s="11"/>
      <c r="J20" s="11"/>
      <c r="K20" s="11">
        <f>G20</f>
        <v>3658466.23</v>
      </c>
      <c r="L20" s="128"/>
      <c r="M20" s="11"/>
      <c r="N20" s="1"/>
      <c r="O20" s="2" t="s">
        <v>97</v>
      </c>
      <c r="P20" s="16"/>
      <c r="Q20" s="8"/>
      <c r="R20" s="18"/>
      <c r="T20" s="11">
        <f t="shared" ref="T20:T21" si="0">K20</f>
        <v>3658466.23</v>
      </c>
      <c r="U20" s="287"/>
    </row>
    <row r="21" spans="1:22" x14ac:dyDescent="0.25">
      <c r="A21" s="1"/>
      <c r="B21" s="2" t="s">
        <v>204</v>
      </c>
      <c r="C21" s="16"/>
      <c r="D21" s="8"/>
      <c r="E21" s="18"/>
      <c r="G21" s="11">
        <f>'Billing Determ'!K19+'Billing Determ'!K37</f>
        <v>0</v>
      </c>
      <c r="H21" s="11"/>
      <c r="I21" s="11"/>
      <c r="J21" s="11"/>
      <c r="K21" s="11">
        <f>G21</f>
        <v>0</v>
      </c>
      <c r="L21" s="128"/>
      <c r="M21" s="11"/>
      <c r="N21" s="1"/>
      <c r="O21" s="2" t="str">
        <f>B21</f>
        <v>Min Bill</v>
      </c>
      <c r="P21" s="16"/>
      <c r="Q21" s="8"/>
      <c r="R21" s="18"/>
      <c r="T21" s="11">
        <f t="shared" si="0"/>
        <v>0</v>
      </c>
      <c r="U21" s="287"/>
    </row>
    <row r="22" spans="1:22" x14ac:dyDescent="0.25">
      <c r="A22" s="1"/>
      <c r="C22" s="16"/>
      <c r="D22" s="8"/>
      <c r="E22" s="18"/>
      <c r="G22" s="11"/>
      <c r="H22" s="11"/>
      <c r="I22" s="11"/>
      <c r="J22" s="11"/>
      <c r="K22" s="11"/>
      <c r="L22" s="128"/>
      <c r="M22" s="11"/>
      <c r="N22" s="1"/>
      <c r="P22" s="16"/>
      <c r="Q22" s="8"/>
      <c r="R22" s="18"/>
      <c r="T22" s="11"/>
    </row>
    <row r="23" spans="1:22" x14ac:dyDescent="0.25">
      <c r="A23" s="1"/>
      <c r="D23" s="14"/>
      <c r="G23" s="11"/>
      <c r="H23" s="11"/>
      <c r="I23" s="11"/>
      <c r="J23" s="11"/>
      <c r="K23" s="11"/>
      <c r="L23" s="128"/>
      <c r="M23" s="11"/>
      <c r="N23" s="1"/>
      <c r="T23" s="11"/>
    </row>
    <row r="24" spans="1:22" ht="16.5" thickBot="1" x14ac:dyDescent="0.3">
      <c r="A24" s="1" t="s">
        <v>79</v>
      </c>
      <c r="G24" s="24">
        <f>SUM(G11:G22)</f>
        <v>34526442.473750003</v>
      </c>
      <c r="H24" s="11"/>
      <c r="I24" s="11"/>
      <c r="J24" s="11"/>
      <c r="K24" s="24">
        <f>SUM(K11:K22)</f>
        <v>34615396.10029</v>
      </c>
      <c r="L24" s="128"/>
      <c r="M24" s="11"/>
      <c r="N24" s="1" t="s">
        <v>79</v>
      </c>
      <c r="T24" s="24">
        <f>SUM(T11:T22)</f>
        <v>36111327.347529992</v>
      </c>
      <c r="U24" s="287"/>
    </row>
    <row r="25" spans="1:22" ht="16.5" thickTop="1" x14ac:dyDescent="0.25">
      <c r="A25" s="1"/>
      <c r="B25" s="1"/>
      <c r="G25" s="11"/>
      <c r="H25" s="11"/>
      <c r="I25" s="11"/>
      <c r="J25" s="11"/>
      <c r="K25" s="11"/>
      <c r="L25" s="128"/>
      <c r="M25" s="11"/>
      <c r="N25" s="1"/>
      <c r="O25" s="1"/>
      <c r="T25" s="11"/>
    </row>
    <row r="26" spans="1:22" x14ac:dyDescent="0.25">
      <c r="A26" s="1" t="s">
        <v>19</v>
      </c>
      <c r="B26" s="10"/>
      <c r="G26" s="11">
        <f>'Billing Determ'!G19+'Billing Determ'!J19+'Billing Determ'!O19*0+'Billing Determ'!G37+'Billing Determ'!J37+'Billing Determ'!O37*0+SUM('Billing Determ'!L7:L18)+SUM('Billing Determ'!L25:L36)</f>
        <v>34527804.599999994</v>
      </c>
      <c r="H26" s="11"/>
      <c r="I26" s="11"/>
      <c r="J26" s="11"/>
      <c r="K26" s="11"/>
      <c r="L26" s="128"/>
      <c r="M26" s="11"/>
      <c r="N26" s="1" t="s">
        <v>103</v>
      </c>
      <c r="O26" s="10"/>
      <c r="T26" s="31">
        <f>T24-K24</f>
        <v>1495931.247239992</v>
      </c>
    </row>
    <row r="27" spans="1:22" x14ac:dyDescent="0.25">
      <c r="A27" s="10"/>
      <c r="B27" s="10"/>
      <c r="G27" s="10"/>
      <c r="H27" s="10"/>
      <c r="I27" s="10"/>
      <c r="J27" s="10"/>
      <c r="K27" s="10"/>
      <c r="L27" s="129"/>
      <c r="M27" s="10"/>
      <c r="O27" s="10"/>
      <c r="T27" s="10"/>
    </row>
    <row r="28" spans="1:22" x14ac:dyDescent="0.25">
      <c r="A28" s="1" t="s">
        <v>13</v>
      </c>
      <c r="B28" s="10"/>
      <c r="G28" s="22">
        <f>G24-G26</f>
        <v>-1362.1262499913573</v>
      </c>
      <c r="H28" s="22"/>
      <c r="I28" s="22"/>
      <c r="J28" s="22"/>
      <c r="K28" s="22">
        <f>K24-G24</f>
        <v>88953.626539997756</v>
      </c>
      <c r="L28" s="130"/>
      <c r="M28" s="138"/>
      <c r="N28" s="1" t="s">
        <v>104</v>
      </c>
      <c r="O28" s="10"/>
      <c r="T28" s="287">
        <f>T26/K24</f>
        <v>4.3215777248536508E-2</v>
      </c>
    </row>
    <row r="29" spans="1:22" x14ac:dyDescent="0.25">
      <c r="A29" s="10"/>
      <c r="B29" s="10"/>
      <c r="G29" s="11"/>
      <c r="H29" s="11"/>
      <c r="I29" s="11"/>
      <c r="J29" s="11"/>
      <c r="K29" s="11"/>
      <c r="L29" s="128"/>
      <c r="M29" s="11"/>
      <c r="O29" s="10"/>
      <c r="T29" s="11"/>
    </row>
    <row r="30" spans="1:22" x14ac:dyDescent="0.25">
      <c r="A30" s="1" t="s">
        <v>26</v>
      </c>
      <c r="B30" s="10"/>
      <c r="G30" s="23">
        <f>G28/G26</f>
        <v>-3.9450126232218007E-5</v>
      </c>
      <c r="H30" s="23"/>
      <c r="I30" s="23"/>
      <c r="J30" s="23"/>
      <c r="K30" s="23">
        <f>K28/G26</f>
        <v>2.5762896764075691E-3</v>
      </c>
      <c r="L30" s="131"/>
      <c r="M30" s="23"/>
      <c r="N30" s="1" t="s">
        <v>84</v>
      </c>
      <c r="O30" s="10"/>
      <c r="T30" s="33">
        <f>T26/(Q11+Q12)</f>
        <v>5.5299178135119256</v>
      </c>
    </row>
    <row r="31" spans="1:22" x14ac:dyDescent="0.25">
      <c r="A31" s="1"/>
      <c r="B31" s="10"/>
      <c r="G31" s="10"/>
      <c r="H31" s="23"/>
      <c r="I31" s="23"/>
      <c r="J31" s="23"/>
      <c r="K31" s="10"/>
      <c r="L31" s="23"/>
      <c r="M31" s="23"/>
      <c r="N31" s="1"/>
      <c r="O31" s="10"/>
      <c r="T31" s="33"/>
      <c r="V31" s="10"/>
    </row>
    <row r="32" spans="1:22" x14ac:dyDescent="0.25">
      <c r="A32" s="1"/>
      <c r="B32" s="10"/>
      <c r="C32" s="10"/>
      <c r="D32" s="14"/>
      <c r="E32" s="10"/>
      <c r="F32" s="10"/>
      <c r="G32" s="31">
        <f>G11+G12+G16</f>
        <v>27598299.603750002</v>
      </c>
      <c r="H32" s="10"/>
      <c r="I32" s="10"/>
      <c r="J32" s="10"/>
      <c r="K32" s="11"/>
      <c r="L32" s="10"/>
      <c r="M32" s="10"/>
      <c r="N32" s="10"/>
      <c r="O32" s="10"/>
      <c r="T32" s="23"/>
    </row>
    <row r="33" spans="1:22" x14ac:dyDescent="0.25">
      <c r="A33" s="1"/>
      <c r="B33" s="10"/>
      <c r="C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T33" s="23"/>
    </row>
    <row r="34" spans="1:22" x14ac:dyDescent="0.25">
      <c r="A34" s="1"/>
      <c r="B34" s="10"/>
      <c r="C34" s="10"/>
      <c r="D34" s="10"/>
      <c r="E34" s="10"/>
      <c r="F34" s="10"/>
      <c r="G34" s="26">
        <f>G24/(D11+D12)</f>
        <v>128.00086927125042</v>
      </c>
      <c r="H34" s="10"/>
      <c r="I34" s="10"/>
      <c r="J34" s="10"/>
      <c r="K34" s="26">
        <f>K24/(I11+I12)</f>
        <v>127.96062377193955</v>
      </c>
      <c r="L34" s="26"/>
      <c r="M34" s="26"/>
      <c r="N34" s="26"/>
      <c r="O34" s="26"/>
      <c r="P34" s="26"/>
      <c r="Q34" s="26"/>
      <c r="R34" s="26"/>
      <c r="S34" s="26"/>
      <c r="T34" s="26">
        <f>T24/(Q11+Q12)</f>
        <v>133.49054158545147</v>
      </c>
      <c r="V34" s="20">
        <f>T34-K34</f>
        <v>5.5299178135119149</v>
      </c>
    </row>
    <row r="35" spans="1:22" x14ac:dyDescent="0.25">
      <c r="A35" s="1"/>
      <c r="B35" s="10"/>
      <c r="G35" s="23"/>
      <c r="H35" s="23"/>
      <c r="I35" s="23"/>
      <c r="J35" s="23"/>
      <c r="K35" s="23"/>
      <c r="L35" s="23"/>
      <c r="M35" s="23"/>
      <c r="N35" s="1"/>
      <c r="O35" s="10"/>
      <c r="T35" s="23"/>
    </row>
    <row r="36" spans="1:22" x14ac:dyDescent="0.25">
      <c r="A36" s="1"/>
      <c r="B36" s="10"/>
      <c r="G36" s="23"/>
      <c r="H36" s="23"/>
      <c r="I36" s="23"/>
      <c r="J36" s="23"/>
      <c r="K36" s="23"/>
      <c r="L36" s="23"/>
      <c r="M36" s="23"/>
      <c r="N36" s="1"/>
      <c r="O36" s="10"/>
      <c r="T36" s="23"/>
    </row>
    <row r="37" spans="1:22" ht="18.75" customHeight="1" x14ac:dyDescent="0.25">
      <c r="A37" s="1"/>
      <c r="B37" s="11"/>
      <c r="G37" s="23"/>
      <c r="H37" s="23"/>
      <c r="I37" s="23"/>
      <c r="J37" s="23"/>
      <c r="K37" s="23"/>
      <c r="L37" s="23"/>
      <c r="M37" s="23"/>
    </row>
    <row r="38" spans="1:22" x14ac:dyDescent="0.25">
      <c r="E38" s="11"/>
    </row>
    <row r="43" spans="1:22" x14ac:dyDescent="0.25">
      <c r="U43" s="66"/>
    </row>
    <row r="44" spans="1:22" x14ac:dyDescent="0.25">
      <c r="U44" s="66"/>
    </row>
    <row r="45" spans="1:22" x14ac:dyDescent="0.25">
      <c r="U45" s="66"/>
    </row>
    <row r="46" spans="1:22" x14ac:dyDescent="0.25">
      <c r="U46" s="66"/>
    </row>
    <row r="47" spans="1:22" x14ac:dyDescent="0.25">
      <c r="U47" s="66"/>
    </row>
    <row r="48" spans="1:22" x14ac:dyDescent="0.25">
      <c r="U48" s="66"/>
    </row>
    <row r="49" spans="21:21" x14ac:dyDescent="0.25">
      <c r="U49" s="66"/>
    </row>
    <row r="50" spans="21:21" x14ac:dyDescent="0.25">
      <c r="U50" s="66"/>
    </row>
    <row r="51" spans="21:21" x14ac:dyDescent="0.25">
      <c r="U51" s="66"/>
    </row>
    <row r="52" spans="21:21" ht="16.5" customHeight="1" x14ac:dyDescent="0.25">
      <c r="U52" s="66"/>
    </row>
    <row r="53" spans="21:21" x14ac:dyDescent="0.25">
      <c r="U53" s="66"/>
    </row>
    <row r="54" spans="21:21" x14ac:dyDescent="0.25">
      <c r="U54" s="66"/>
    </row>
    <row r="57" spans="21:21" x14ac:dyDescent="0.25">
      <c r="U57" s="41"/>
    </row>
    <row r="58" spans="21:21" x14ac:dyDescent="0.25">
      <c r="U58" s="41"/>
    </row>
    <row r="60" spans="21:21" x14ac:dyDescent="0.25">
      <c r="U60" s="41"/>
    </row>
    <row r="61" spans="21:21" x14ac:dyDescent="0.25">
      <c r="U61" s="41"/>
    </row>
    <row r="62" spans="21:21" x14ac:dyDescent="0.25">
      <c r="U62" s="41"/>
    </row>
    <row r="63" spans="21:21" x14ac:dyDescent="0.25">
      <c r="U63" s="41"/>
    </row>
    <row r="64" spans="21:21" x14ac:dyDescent="0.25">
      <c r="U64" s="41"/>
    </row>
    <row r="65" spans="21:21" x14ac:dyDescent="0.25">
      <c r="U65" s="41"/>
    </row>
    <row r="66" spans="21:21" x14ac:dyDescent="0.25">
      <c r="U66" s="41"/>
    </row>
    <row r="67" spans="21:21" x14ac:dyDescent="0.25">
      <c r="U67" s="41"/>
    </row>
    <row r="68" spans="21:21" x14ac:dyDescent="0.25">
      <c r="U68" s="41"/>
    </row>
    <row r="69" spans="21:21" x14ac:dyDescent="0.25">
      <c r="U69" s="41"/>
    </row>
    <row r="70" spans="21:21" x14ac:dyDescent="0.25">
      <c r="U70" s="41"/>
    </row>
    <row r="71" spans="21:21" x14ac:dyDescent="0.25">
      <c r="U71" s="41"/>
    </row>
    <row r="72" spans="21:21" x14ac:dyDescent="0.25">
      <c r="U72" s="72"/>
    </row>
    <row r="73" spans="21:21" x14ac:dyDescent="0.25">
      <c r="U73" s="72"/>
    </row>
    <row r="74" spans="21:21" x14ac:dyDescent="0.25">
      <c r="U74" s="72"/>
    </row>
    <row r="75" spans="21:21" x14ac:dyDescent="0.25">
      <c r="U75" s="72"/>
    </row>
    <row r="76" spans="21:21" x14ac:dyDescent="0.25">
      <c r="U76" s="72"/>
    </row>
    <row r="77" spans="21:21" x14ac:dyDescent="0.25">
      <c r="U77" s="72"/>
    </row>
    <row r="78" spans="21:21" x14ac:dyDescent="0.25">
      <c r="U78" s="72"/>
    </row>
    <row r="79" spans="21:21" x14ac:dyDescent="0.25">
      <c r="U79" s="72"/>
    </row>
    <row r="80" spans="21:21" x14ac:dyDescent="0.25">
      <c r="U80" s="72"/>
    </row>
    <row r="81" spans="21:21" x14ac:dyDescent="0.25">
      <c r="U81" s="72"/>
    </row>
    <row r="82" spans="21:21" x14ac:dyDescent="0.25">
      <c r="U82" s="72"/>
    </row>
    <row r="83" spans="21:21" x14ac:dyDescent="0.25">
      <c r="U83" s="72"/>
    </row>
    <row r="84" spans="21:21" x14ac:dyDescent="0.25">
      <c r="U84" s="72"/>
    </row>
    <row r="85" spans="21:21" ht="15" customHeight="1" x14ac:dyDescent="0.25">
      <c r="U85" s="72"/>
    </row>
    <row r="86" spans="21:21" x14ac:dyDescent="0.25">
      <c r="U86" s="72"/>
    </row>
    <row r="87" spans="21:21" x14ac:dyDescent="0.25">
      <c r="U87" s="72"/>
    </row>
    <row r="88" spans="21:21" x14ac:dyDescent="0.25">
      <c r="U88" s="72"/>
    </row>
    <row r="89" spans="21:21" x14ac:dyDescent="0.25">
      <c r="U89" s="72"/>
    </row>
    <row r="90" spans="21:21" x14ac:dyDescent="0.25">
      <c r="U90" s="72"/>
    </row>
    <row r="91" spans="21:21" x14ac:dyDescent="0.25">
      <c r="U91" s="72"/>
    </row>
    <row r="92" spans="21:21" x14ac:dyDescent="0.25">
      <c r="U92" s="72"/>
    </row>
    <row r="93" spans="21:21" x14ac:dyDescent="0.25">
      <c r="U93" s="72"/>
    </row>
    <row r="94" spans="21:21" x14ac:dyDescent="0.25">
      <c r="U94" s="72"/>
    </row>
    <row r="95" spans="21:21" x14ac:dyDescent="0.25">
      <c r="U95" s="72"/>
    </row>
    <row r="96" spans="21:21" x14ac:dyDescent="0.25">
      <c r="U96" s="72"/>
    </row>
    <row r="97" spans="21:21" x14ac:dyDescent="0.25">
      <c r="U97" s="72"/>
    </row>
    <row r="98" spans="21:21" x14ac:dyDescent="0.25">
      <c r="U98" s="72"/>
    </row>
    <row r="99" spans="21:21" x14ac:dyDescent="0.25">
      <c r="U99" s="72"/>
    </row>
    <row r="100" spans="21:21" x14ac:dyDescent="0.25">
      <c r="U100" s="72"/>
    </row>
    <row r="101" spans="21:21" x14ac:dyDescent="0.25">
      <c r="U101" s="72"/>
    </row>
    <row r="102" spans="21:21" x14ac:dyDescent="0.25">
      <c r="U102" s="72"/>
    </row>
    <row r="103" spans="21:21" x14ac:dyDescent="0.25">
      <c r="U103" s="72"/>
    </row>
    <row r="104" spans="21:21" x14ac:dyDescent="0.25">
      <c r="U104" s="72"/>
    </row>
    <row r="105" spans="21:21" x14ac:dyDescent="0.25">
      <c r="U105" s="72"/>
    </row>
    <row r="106" spans="21:21" x14ac:dyDescent="0.25">
      <c r="U106" s="72"/>
    </row>
    <row r="107" spans="21:21" x14ac:dyDescent="0.25">
      <c r="U107" s="72"/>
    </row>
    <row r="108" spans="21:21" x14ac:dyDescent="0.25">
      <c r="U108" s="72"/>
    </row>
    <row r="109" spans="21:21" x14ac:dyDescent="0.25">
      <c r="U109" s="72"/>
    </row>
    <row r="110" spans="21:21" x14ac:dyDescent="0.25">
      <c r="U110" s="72"/>
    </row>
    <row r="111" spans="21:21" x14ac:dyDescent="0.25">
      <c r="U111" s="72"/>
    </row>
    <row r="112" spans="21:21" x14ac:dyDescent="0.25">
      <c r="U112" s="72"/>
    </row>
    <row r="113" spans="21:21" x14ac:dyDescent="0.25">
      <c r="U113" s="72"/>
    </row>
    <row r="114" spans="21:21" x14ac:dyDescent="0.25">
      <c r="U114" s="72"/>
    </row>
    <row r="115" spans="21:21" x14ac:dyDescent="0.25">
      <c r="U115" s="72"/>
    </row>
    <row r="116" spans="21:21" x14ac:dyDescent="0.25">
      <c r="U116" s="72"/>
    </row>
    <row r="117" spans="21:21" x14ac:dyDescent="0.25">
      <c r="U117" s="72"/>
    </row>
    <row r="131" spans="3:15" x14ac:dyDescent="0.25">
      <c r="O131" s="41"/>
    </row>
    <row r="132" spans="3:15" x14ac:dyDescent="0.25">
      <c r="C132" s="41"/>
      <c r="D132" s="41"/>
      <c r="O132" s="41"/>
    </row>
    <row r="133" spans="3:15" x14ac:dyDescent="0.25">
      <c r="C133" s="43"/>
      <c r="D133" s="55"/>
      <c r="E133" s="60"/>
      <c r="O133" s="41"/>
    </row>
    <row r="134" spans="3:15" x14ac:dyDescent="0.25">
      <c r="C134" s="43"/>
      <c r="D134" s="55"/>
      <c r="E134" s="60"/>
      <c r="O134" s="41"/>
    </row>
    <row r="135" spans="3:15" x14ac:dyDescent="0.25">
      <c r="C135" s="43"/>
      <c r="D135" s="55"/>
      <c r="E135" s="60"/>
      <c r="O135" s="41"/>
    </row>
  </sheetData>
  <mergeCells count="5">
    <mergeCell ref="D4:G5"/>
    <mergeCell ref="J4:K5"/>
    <mergeCell ref="Q4:T5"/>
    <mergeCell ref="E7:F7"/>
    <mergeCell ref="R7:S7"/>
  </mergeCells>
  <pageMargins left="0.75" right="0.75" top="1" bottom="1" header="0.5" footer="0.5"/>
  <pageSetup scale="56" orientation="landscape" r:id="rId1"/>
  <headerFooter alignWithMargins="0">
    <oddFooter>&amp;RExhibit JW-9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137"/>
  <sheetViews>
    <sheetView tabSelected="1" view="pageBreakPreview" zoomScale="75" zoomScaleNormal="85" zoomScaleSheetLayoutView="75" workbookViewId="0">
      <selection activeCell="C63" sqref="C63:G63"/>
    </sheetView>
  </sheetViews>
  <sheetFormatPr defaultColWidth="9.140625"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4.2851562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9" width="13.85546875" style="2" customWidth="1"/>
    <col min="10" max="10" width="14.42578125" style="2" customWidth="1"/>
    <col min="11" max="11" width="2" style="2" customWidth="1"/>
    <col min="12" max="12" width="2.85546875" style="2" customWidth="1"/>
    <col min="13" max="13" width="9.85546875" style="2" customWidth="1"/>
    <col min="14" max="14" width="18.28515625" style="2" customWidth="1"/>
    <col min="15" max="15" width="3.42578125" style="2" customWidth="1"/>
    <col min="16" max="16" width="12.7109375" style="2" bestFit="1" customWidth="1"/>
    <col min="17" max="17" width="14.5703125" style="2" bestFit="1" customWidth="1"/>
    <col min="18" max="18" width="4.28515625" style="2" customWidth="1"/>
    <col min="19" max="19" width="15.5703125" style="2" customWidth="1"/>
    <col min="20" max="20" width="12.42578125" style="2" customWidth="1"/>
    <col min="21" max="16384" width="9.140625" style="2"/>
  </cols>
  <sheetData>
    <row r="1" spans="1:20" x14ac:dyDescent="0.25">
      <c r="A1" s="1" t="str">
        <f>'Present and Proposed Rates'!A1</f>
        <v>Cumberland Valley Electric</v>
      </c>
      <c r="N1" s="1"/>
    </row>
    <row r="2" spans="1:20" x14ac:dyDescent="0.25">
      <c r="A2" s="1" t="str">
        <f>List!B7</f>
        <v>Sch I - Res TOD</v>
      </c>
    </row>
    <row r="3" spans="1:20" ht="16.5" thickBot="1" x14ac:dyDescent="0.3">
      <c r="A3" s="69" t="str">
        <f>List!C7</f>
        <v>TOD</v>
      </c>
    </row>
    <row r="4" spans="1:20" x14ac:dyDescent="0.25">
      <c r="D4" s="421" t="s">
        <v>30</v>
      </c>
      <c r="E4" s="422"/>
      <c r="F4" s="422"/>
      <c r="G4" s="423"/>
      <c r="H4" s="3"/>
      <c r="I4" s="421" t="s">
        <v>102</v>
      </c>
      <c r="J4" s="423"/>
      <c r="K4" s="127"/>
      <c r="L4" s="3"/>
      <c r="P4" s="421" t="s">
        <v>87</v>
      </c>
      <c r="Q4" s="422"/>
      <c r="R4" s="422"/>
      <c r="S4" s="423"/>
    </row>
    <row r="5" spans="1:20" ht="16.5" thickBot="1" x14ac:dyDescent="0.3">
      <c r="A5" s="44"/>
      <c r="B5" s="59"/>
      <c r="C5" s="3"/>
      <c r="D5" s="424"/>
      <c r="E5" s="425"/>
      <c r="F5" s="425"/>
      <c r="G5" s="426"/>
      <c r="H5" s="3"/>
      <c r="I5" s="424"/>
      <c r="J5" s="426"/>
      <c r="K5" s="127"/>
      <c r="L5" s="3"/>
      <c r="M5" s="44"/>
      <c r="N5" s="59"/>
      <c r="O5" s="3"/>
      <c r="P5" s="424"/>
      <c r="Q5" s="425"/>
      <c r="R5" s="425"/>
      <c r="S5" s="426"/>
    </row>
    <row r="6" spans="1:20" x14ac:dyDescent="0.25">
      <c r="A6" s="4"/>
      <c r="B6" s="4"/>
      <c r="C6" s="4"/>
      <c r="D6" s="4" t="s">
        <v>1</v>
      </c>
      <c r="E6" s="4"/>
      <c r="F6" s="4"/>
      <c r="G6" s="4" t="s">
        <v>2</v>
      </c>
      <c r="H6" s="4"/>
      <c r="I6" s="4"/>
      <c r="J6" s="4" t="s">
        <v>2</v>
      </c>
      <c r="K6" s="127"/>
      <c r="L6" s="4"/>
      <c r="M6" s="4"/>
      <c r="N6" s="4"/>
      <c r="O6" s="4"/>
      <c r="P6" s="4" t="s">
        <v>1</v>
      </c>
      <c r="Q6" s="4"/>
      <c r="R6" s="4"/>
      <c r="S6" s="4" t="s">
        <v>2</v>
      </c>
    </row>
    <row r="7" spans="1:20" ht="16.5" thickBot="1" x14ac:dyDescent="0.3">
      <c r="A7" s="5"/>
      <c r="B7" s="5"/>
      <c r="C7" s="5"/>
      <c r="D7" s="5" t="s">
        <v>4</v>
      </c>
      <c r="E7" s="425" t="s">
        <v>5</v>
      </c>
      <c r="F7" s="425"/>
      <c r="G7" s="5" t="s">
        <v>6</v>
      </c>
      <c r="H7" s="5"/>
      <c r="I7" s="5" t="s">
        <v>5</v>
      </c>
      <c r="J7" s="5" t="s">
        <v>6</v>
      </c>
      <c r="K7" s="126"/>
      <c r="L7" s="5"/>
      <c r="M7" s="5"/>
      <c r="N7" s="5"/>
      <c r="O7" s="5"/>
      <c r="P7" s="5" t="s">
        <v>4</v>
      </c>
      <c r="Q7" s="425" t="s">
        <v>5</v>
      </c>
      <c r="R7" s="425"/>
      <c r="S7" s="5" t="s">
        <v>6</v>
      </c>
      <c r="T7" s="5" t="s">
        <v>58</v>
      </c>
    </row>
    <row r="8" spans="1:20" x14ac:dyDescent="0.25">
      <c r="K8" s="127"/>
    </row>
    <row r="9" spans="1:20" x14ac:dyDescent="0.25">
      <c r="K9" s="127"/>
    </row>
    <row r="10" spans="1:20" x14ac:dyDescent="0.25">
      <c r="A10" s="102" t="s">
        <v>10</v>
      </c>
      <c r="K10" s="127"/>
      <c r="M10" s="102" t="s">
        <v>10</v>
      </c>
    </row>
    <row r="11" spans="1:20" ht="31.5" x14ac:dyDescent="0.25">
      <c r="D11" s="139" t="s">
        <v>91</v>
      </c>
      <c r="E11" s="139" t="s">
        <v>92</v>
      </c>
      <c r="I11" s="139" t="s">
        <v>92</v>
      </c>
      <c r="K11" s="127"/>
      <c r="P11" s="139" t="s">
        <v>91</v>
      </c>
      <c r="Q11" s="139" t="s">
        <v>92</v>
      </c>
      <c r="T11" s="287"/>
    </row>
    <row r="12" spans="1:20" x14ac:dyDescent="0.25">
      <c r="B12" s="2" t="s">
        <v>101</v>
      </c>
      <c r="D12" s="8">
        <f>'Billing Determ'!C56</f>
        <v>102</v>
      </c>
      <c r="E12" s="9">
        <f>'Present and Proposed Rates'!G10</f>
        <v>20.73</v>
      </c>
      <c r="G12" s="11">
        <f>D12*E12</f>
        <v>2114.46</v>
      </c>
      <c r="H12" s="11"/>
      <c r="I12" s="141">
        <f>'Present and Proposed Rates'!H10</f>
        <v>20.73</v>
      </c>
      <c r="J12" s="11">
        <f>I12*D12</f>
        <v>2114.46</v>
      </c>
      <c r="K12" s="128"/>
      <c r="L12" s="11"/>
      <c r="N12" s="2" t="s">
        <v>98</v>
      </c>
      <c r="P12" s="8">
        <f>D12</f>
        <v>102</v>
      </c>
      <c r="Q12" s="9">
        <f>'Present and Proposed Rates'!I10</f>
        <v>25</v>
      </c>
      <c r="S12" s="11">
        <f>P12*Q12</f>
        <v>2550</v>
      </c>
      <c r="T12" s="287">
        <f>IF(J12=0,0,S12/J12-1)</f>
        <v>0.20598166907863003</v>
      </c>
    </row>
    <row r="13" spans="1:20" x14ac:dyDescent="0.25">
      <c r="B13" s="16"/>
      <c r="G13" s="11"/>
      <c r="H13" s="11"/>
      <c r="I13" s="41"/>
      <c r="J13" s="11"/>
      <c r="K13" s="128"/>
      <c r="L13" s="11"/>
      <c r="P13" s="8"/>
      <c r="S13" s="11"/>
    </row>
    <row r="14" spans="1:20" x14ac:dyDescent="0.25">
      <c r="A14" s="1" t="s">
        <v>7</v>
      </c>
      <c r="D14" s="8"/>
      <c r="G14" s="11"/>
      <c r="H14" s="11"/>
      <c r="I14" s="41"/>
      <c r="J14" s="11"/>
      <c r="K14" s="128"/>
      <c r="L14" s="11"/>
      <c r="M14" s="1" t="s">
        <v>7</v>
      </c>
      <c r="P14" s="38"/>
      <c r="Q14" s="41"/>
      <c r="S14" s="11"/>
    </row>
    <row r="15" spans="1:20" x14ac:dyDescent="0.25">
      <c r="D15" s="117" t="s">
        <v>8</v>
      </c>
      <c r="E15" s="118" t="s">
        <v>11</v>
      </c>
      <c r="G15" s="11"/>
      <c r="H15" s="11"/>
      <c r="I15" s="118" t="s">
        <v>11</v>
      </c>
      <c r="J15" s="11"/>
      <c r="K15" s="128"/>
      <c r="L15" s="11"/>
      <c r="P15" s="117" t="s">
        <v>8</v>
      </c>
      <c r="Q15" s="118" t="s">
        <v>11</v>
      </c>
      <c r="S15" s="11"/>
      <c r="T15" s="287"/>
    </row>
    <row r="16" spans="1:20" x14ac:dyDescent="0.25">
      <c r="B16" s="2" t="s">
        <v>38</v>
      </c>
      <c r="D16" s="8">
        <f>'Billing Determ'!D56</f>
        <v>22519</v>
      </c>
      <c r="E16" s="18">
        <f>'Present and Proposed Rates'!G11</f>
        <v>0.10115</v>
      </c>
      <c r="G16" s="11">
        <f>D16*E16</f>
        <v>2277.7968500000002</v>
      </c>
      <c r="H16" s="11"/>
      <c r="I16" s="140">
        <f>'Present and Proposed Rates'!H11</f>
        <v>0.11294</v>
      </c>
      <c r="J16" s="11">
        <f>I16*D16</f>
        <v>2543.2958600000002</v>
      </c>
      <c r="K16" s="128"/>
      <c r="L16" s="11"/>
      <c r="N16" s="2" t="s">
        <v>120</v>
      </c>
      <c r="P16" s="8">
        <f>D16</f>
        <v>22519</v>
      </c>
      <c r="Q16" s="18">
        <f>'Present and Proposed Rates'!I11</f>
        <v>0.10567</v>
      </c>
      <c r="S16" s="11">
        <f>P16*Q16</f>
        <v>2379.5827300000001</v>
      </c>
      <c r="T16" s="287">
        <f>IF(J16=0,0,S16/J16-1)</f>
        <v>-6.437046219231457E-2</v>
      </c>
    </row>
    <row r="17" spans="1:21" x14ac:dyDescent="0.25">
      <c r="B17" s="2" t="s">
        <v>39</v>
      </c>
      <c r="D17" s="8">
        <f>'Billing Determ'!E56</f>
        <v>27072</v>
      </c>
      <c r="E17" s="18">
        <f>'Present and Proposed Rates'!G12</f>
        <v>5.7959999999999998E-2</v>
      </c>
      <c r="G17" s="11">
        <f>D17*E17</f>
        <v>1569.09312</v>
      </c>
      <c r="H17" s="11"/>
      <c r="I17" s="140">
        <f>'Present and Proposed Rates'!H12</f>
        <v>6.9750000000000006E-2</v>
      </c>
      <c r="J17" s="11">
        <f>I17*D17</f>
        <v>1888.2720000000002</v>
      </c>
      <c r="K17" s="128"/>
      <c r="L17" s="11"/>
      <c r="N17" s="2" t="s">
        <v>120</v>
      </c>
      <c r="P17" s="8">
        <f>D17</f>
        <v>27072</v>
      </c>
      <c r="Q17" s="18">
        <f>'Present and Proposed Rates'!I12</f>
        <v>6.9750000000000006E-2</v>
      </c>
      <c r="S17" s="11">
        <f>P17*Q17</f>
        <v>1888.2720000000002</v>
      </c>
      <c r="T17" s="287">
        <f>IF(J17=0,0,S17/J17-1)</f>
        <v>0</v>
      </c>
    </row>
    <row r="18" spans="1:21" x14ac:dyDescent="0.25">
      <c r="A18" s="1"/>
      <c r="C18" s="132"/>
      <c r="D18" s="260">
        <f>SUM(D16:D17)</f>
        <v>49591</v>
      </c>
      <c r="E18" s="280">
        <f>(E16*D16+E17*D17)/D18</f>
        <v>7.7572341150612012E-2</v>
      </c>
      <c r="K18" s="127"/>
    </row>
    <row r="19" spans="1:21" x14ac:dyDescent="0.25">
      <c r="A19" s="1"/>
      <c r="B19" s="1"/>
      <c r="C19" s="132" t="s">
        <v>215</v>
      </c>
      <c r="D19" s="260">
        <f>D18/D12</f>
        <v>486.18627450980392</v>
      </c>
      <c r="E19" s="1"/>
      <c r="F19" s="1"/>
      <c r="G19" s="1"/>
      <c r="H19" s="1"/>
      <c r="I19" s="1"/>
      <c r="J19" s="1"/>
      <c r="K19" s="135"/>
      <c r="L19" s="1"/>
      <c r="M19" s="1"/>
      <c r="N19" s="1"/>
      <c r="O19" s="1"/>
      <c r="P19" s="1"/>
      <c r="Q19" s="1"/>
      <c r="R19" s="1"/>
      <c r="S19" s="1"/>
      <c r="T19" s="287"/>
      <c r="U19" s="1"/>
    </row>
    <row r="20" spans="1:21" x14ac:dyDescent="0.25">
      <c r="A20" s="1" t="s">
        <v>96</v>
      </c>
      <c r="B20" s="1"/>
      <c r="C20" s="16"/>
      <c r="D20" s="8"/>
      <c r="E20" s="18"/>
      <c r="G20" s="11"/>
      <c r="H20" s="11"/>
      <c r="I20" s="11"/>
      <c r="J20" s="11"/>
      <c r="K20" s="128"/>
      <c r="L20" s="11"/>
      <c r="M20" s="1" t="s">
        <v>96</v>
      </c>
      <c r="N20" s="1"/>
      <c r="O20" s="16"/>
      <c r="P20" s="8"/>
      <c r="Q20" s="18"/>
      <c r="S20" s="11"/>
      <c r="T20" s="287"/>
    </row>
    <row r="21" spans="1:21" x14ac:dyDescent="0.25">
      <c r="A21" s="1"/>
      <c r="B21" s="2" t="s">
        <v>90</v>
      </c>
      <c r="C21" s="16"/>
      <c r="D21" s="8"/>
      <c r="E21" s="18"/>
      <c r="G21" s="11">
        <f>'Billing Determ'!L56+'Billing Determ'!M56</f>
        <v>711.32</v>
      </c>
      <c r="H21" s="11"/>
      <c r="I21" s="11"/>
      <c r="J21" s="11">
        <f>G21-D18*'Present and Proposed Rates'!I56</f>
        <v>126.64211</v>
      </c>
      <c r="K21" s="128"/>
      <c r="L21" s="11"/>
      <c r="M21" s="1"/>
      <c r="N21" s="2" t="s">
        <v>90</v>
      </c>
      <c r="O21" s="16"/>
      <c r="P21" s="8"/>
      <c r="Q21" s="18"/>
      <c r="S21" s="11">
        <f>J21</f>
        <v>126.64211</v>
      </c>
      <c r="T21" s="287"/>
    </row>
    <row r="22" spans="1:21" x14ac:dyDescent="0.25">
      <c r="A22" s="1"/>
      <c r="B22" s="2" t="s">
        <v>97</v>
      </c>
      <c r="C22" s="16"/>
      <c r="D22" s="8"/>
      <c r="E22" s="18"/>
      <c r="G22" s="11">
        <f>'Billing Determ'!N56</f>
        <v>702.2600000000001</v>
      </c>
      <c r="H22" s="11"/>
      <c r="I22" s="11"/>
      <c r="J22" s="11">
        <f>G22</f>
        <v>702.2600000000001</v>
      </c>
      <c r="K22" s="128"/>
      <c r="L22" s="11"/>
      <c r="M22" s="1"/>
      <c r="N22" s="2" t="s">
        <v>97</v>
      </c>
      <c r="O22" s="16"/>
      <c r="P22" s="8"/>
      <c r="Q22" s="18"/>
      <c r="S22" s="11">
        <f t="shared" ref="S22:S23" si="0">J22</f>
        <v>702.2600000000001</v>
      </c>
    </row>
    <row r="23" spans="1:21" x14ac:dyDescent="0.25">
      <c r="B23" s="2" t="s">
        <v>204</v>
      </c>
      <c r="D23" s="8"/>
      <c r="E23" s="18"/>
      <c r="G23" s="39">
        <f>'Billing Determ'!K56</f>
        <v>0</v>
      </c>
      <c r="H23" s="39"/>
      <c r="I23" s="39"/>
      <c r="J23" s="39">
        <f>G23</f>
        <v>0</v>
      </c>
      <c r="K23" s="128"/>
      <c r="L23" s="39"/>
      <c r="M23" s="102"/>
      <c r="N23" s="2" t="str">
        <f>B23</f>
        <v>Min Bill</v>
      </c>
      <c r="S23" s="11">
        <f t="shared" si="0"/>
        <v>0</v>
      </c>
    </row>
    <row r="24" spans="1:21" x14ac:dyDescent="0.25">
      <c r="D24" s="8"/>
      <c r="E24" s="18"/>
      <c r="G24" s="39"/>
      <c r="H24" s="39"/>
      <c r="I24" s="39"/>
      <c r="J24" s="39"/>
      <c r="K24" s="128"/>
      <c r="L24" s="39"/>
      <c r="M24" s="102"/>
      <c r="S24" s="11"/>
      <c r="T24" s="287"/>
    </row>
    <row r="25" spans="1:21" x14ac:dyDescent="0.25">
      <c r="A25" s="1"/>
      <c r="D25" s="25"/>
      <c r="G25" s="11"/>
      <c r="H25" s="11"/>
      <c r="I25" s="11"/>
      <c r="J25" s="11"/>
      <c r="K25" s="128"/>
      <c r="L25" s="11"/>
      <c r="M25" s="1"/>
      <c r="S25" s="11"/>
    </row>
    <row r="26" spans="1:21" ht="16.5" thickBot="1" x14ac:dyDescent="0.3">
      <c r="A26" s="1" t="s">
        <v>79</v>
      </c>
      <c r="G26" s="24">
        <f>SUM(G12:G24)</f>
        <v>7374.9299699999992</v>
      </c>
      <c r="H26" s="11"/>
      <c r="I26" s="11"/>
      <c r="J26" s="24">
        <f>SUM(J12:J24)</f>
        <v>7374.9299700000001</v>
      </c>
      <c r="K26" s="128"/>
      <c r="L26" s="11"/>
      <c r="M26" s="1" t="s">
        <v>79</v>
      </c>
      <c r="S26" s="24">
        <f>SUM(S12:S24)</f>
        <v>7646.75684</v>
      </c>
    </row>
    <row r="27" spans="1:21" ht="16.5" thickTop="1" x14ac:dyDescent="0.25">
      <c r="A27" s="1"/>
      <c r="B27" s="1"/>
      <c r="G27" s="11"/>
      <c r="H27" s="11"/>
      <c r="I27" s="11"/>
      <c r="J27" s="11"/>
      <c r="K27" s="128"/>
      <c r="L27" s="11"/>
      <c r="M27" s="1"/>
      <c r="N27" s="1"/>
      <c r="S27" s="11"/>
    </row>
    <row r="28" spans="1:21" x14ac:dyDescent="0.25">
      <c r="A28" s="1" t="s">
        <v>19</v>
      </c>
      <c r="B28" s="10"/>
      <c r="G28" s="11">
        <f>'Billing Determ'!F56+'Billing Determ'!G56+'Billing Determ'!J56+'Billing Determ'!O56*0+SUM('Billing Determ'!L44:M55)+SUM('Billing Determ'!M44:M55)</f>
        <v>7534.4299999999994</v>
      </c>
      <c r="H28" s="11"/>
      <c r="I28" s="11"/>
      <c r="J28" s="11"/>
      <c r="K28" s="129"/>
      <c r="L28" s="11"/>
      <c r="M28" s="1" t="s">
        <v>103</v>
      </c>
      <c r="N28" s="10"/>
      <c r="S28" s="31">
        <f>S26-J26</f>
        <v>271.82686999999987</v>
      </c>
    </row>
    <row r="29" spans="1:21" x14ac:dyDescent="0.25">
      <c r="A29" s="10"/>
      <c r="B29" s="10"/>
      <c r="G29" s="10"/>
      <c r="H29" s="10"/>
      <c r="I29" s="10"/>
      <c r="J29" s="10"/>
      <c r="K29" s="130"/>
      <c r="L29" s="10"/>
      <c r="N29" s="10"/>
      <c r="S29" s="10"/>
    </row>
    <row r="30" spans="1:21" x14ac:dyDescent="0.25">
      <c r="A30" s="1" t="s">
        <v>13</v>
      </c>
      <c r="B30" s="10"/>
      <c r="G30" s="22">
        <f>G26-G28</f>
        <v>-159.50003000000015</v>
      </c>
      <c r="H30" s="22"/>
      <c r="I30" s="22"/>
      <c r="J30" s="22">
        <f>J26-G26</f>
        <v>0</v>
      </c>
      <c r="K30" s="128"/>
      <c r="L30" s="22"/>
      <c r="M30" s="1" t="s">
        <v>104</v>
      </c>
      <c r="N30" s="10"/>
      <c r="S30" s="98">
        <f>S28/J26</f>
        <v>3.6858230668731333E-2</v>
      </c>
    </row>
    <row r="31" spans="1:21" x14ac:dyDescent="0.25">
      <c r="A31" s="10"/>
      <c r="B31" s="10"/>
      <c r="G31" s="11"/>
      <c r="H31" s="11"/>
      <c r="I31" s="11"/>
      <c r="J31" s="11"/>
      <c r="K31" s="131"/>
      <c r="L31" s="11"/>
      <c r="N31" s="10"/>
      <c r="S31" s="11"/>
    </row>
    <row r="32" spans="1:21" x14ac:dyDescent="0.25">
      <c r="A32" s="1" t="s">
        <v>26</v>
      </c>
      <c r="B32" s="10"/>
      <c r="G32" s="23">
        <f>G30/G28</f>
        <v>-2.1169488600995719E-2</v>
      </c>
      <c r="H32" s="23"/>
      <c r="I32" s="23"/>
      <c r="J32" s="23">
        <f>J30/G28</f>
        <v>0</v>
      </c>
      <c r="K32" s="128"/>
      <c r="L32" s="23"/>
      <c r="M32" s="1" t="s">
        <v>84</v>
      </c>
      <c r="N32" s="10"/>
      <c r="S32" s="39">
        <f>S28/P12</f>
        <v>2.6649693137254888</v>
      </c>
    </row>
    <row r="33" spans="1:20" x14ac:dyDescent="0.25">
      <c r="A33" s="1"/>
      <c r="B33" s="10"/>
      <c r="G33" s="23"/>
      <c r="H33" s="23"/>
      <c r="I33" s="23"/>
      <c r="J33" s="23"/>
      <c r="K33" s="23"/>
      <c r="L33" s="23"/>
      <c r="M33" s="1"/>
      <c r="N33" s="10"/>
      <c r="S33" s="23"/>
    </row>
    <row r="34" spans="1:20" x14ac:dyDescent="0.25">
      <c r="A34" s="1"/>
      <c r="B34" s="10"/>
      <c r="G34" s="138"/>
      <c r="H34" s="23"/>
      <c r="I34" s="23"/>
      <c r="J34" s="23"/>
      <c r="K34" s="23"/>
      <c r="L34" s="23"/>
      <c r="M34" s="1"/>
      <c r="N34" s="10"/>
      <c r="S34" s="23"/>
    </row>
    <row r="35" spans="1:20" x14ac:dyDescent="0.25">
      <c r="A35" s="1"/>
      <c r="B35" s="10"/>
      <c r="G35" s="138"/>
      <c r="H35" s="23"/>
      <c r="I35" s="23"/>
      <c r="J35" s="23"/>
      <c r="K35" s="23"/>
      <c r="L35" s="23"/>
      <c r="M35" s="1"/>
      <c r="N35" s="10"/>
      <c r="S35" s="23"/>
    </row>
    <row r="36" spans="1:20" x14ac:dyDescent="0.25">
      <c r="A36" s="1"/>
      <c r="B36" s="10"/>
      <c r="G36" s="138"/>
      <c r="H36" s="23"/>
      <c r="I36" s="23"/>
      <c r="J36" s="23"/>
      <c r="K36" s="23"/>
      <c r="L36" s="23"/>
      <c r="M36" s="1"/>
      <c r="N36" s="10"/>
      <c r="S36" s="23"/>
    </row>
    <row r="37" spans="1:20" x14ac:dyDescent="0.25">
      <c r="A37" s="1"/>
      <c r="B37" s="10"/>
      <c r="G37" s="34"/>
      <c r="H37" s="23"/>
      <c r="I37" s="23"/>
      <c r="J37" s="23"/>
      <c r="K37" s="23"/>
      <c r="L37" s="23"/>
      <c r="M37" s="1"/>
      <c r="N37" s="10"/>
      <c r="S37" s="23"/>
    </row>
    <row r="38" spans="1:20" x14ac:dyDescent="0.25">
      <c r="A38" s="1"/>
      <c r="B38" s="10"/>
      <c r="G38" s="23"/>
      <c r="H38" s="23"/>
      <c r="I38" s="23"/>
      <c r="J38" s="23"/>
      <c r="K38" s="23"/>
      <c r="L38" s="23"/>
      <c r="M38" s="1"/>
      <c r="N38" s="10"/>
      <c r="S38" s="23"/>
    </row>
    <row r="39" spans="1:20" ht="18.75" customHeight="1" x14ac:dyDescent="0.25">
      <c r="A39" s="1"/>
      <c r="B39" s="11"/>
      <c r="G39" s="23"/>
      <c r="H39" s="23"/>
      <c r="I39" s="23"/>
      <c r="J39" s="23"/>
      <c r="K39" s="23"/>
      <c r="L39" s="23"/>
    </row>
    <row r="40" spans="1:20" x14ac:dyDescent="0.25">
      <c r="E40" s="11"/>
    </row>
    <row r="43" spans="1:20" x14ac:dyDescent="0.25">
      <c r="T43" s="66"/>
    </row>
    <row r="44" spans="1:20" x14ac:dyDescent="0.25">
      <c r="T44" s="66"/>
    </row>
    <row r="45" spans="1:20" x14ac:dyDescent="0.25">
      <c r="T45" s="66"/>
    </row>
    <row r="46" spans="1:20" x14ac:dyDescent="0.25">
      <c r="T46" s="66"/>
    </row>
    <row r="47" spans="1:20" x14ac:dyDescent="0.25">
      <c r="T47" s="66"/>
    </row>
    <row r="48" spans="1:20" x14ac:dyDescent="0.25">
      <c r="T48" s="66"/>
    </row>
    <row r="49" spans="20:20" x14ac:dyDescent="0.25">
      <c r="T49" s="66"/>
    </row>
    <row r="50" spans="20:20" x14ac:dyDescent="0.25">
      <c r="T50" s="66"/>
    </row>
    <row r="51" spans="20:20" x14ac:dyDescent="0.25">
      <c r="T51" s="66"/>
    </row>
    <row r="52" spans="20:20" x14ac:dyDescent="0.25">
      <c r="T52" s="66"/>
    </row>
    <row r="53" spans="20:20" x14ac:dyDescent="0.25">
      <c r="T53" s="66"/>
    </row>
    <row r="54" spans="20:20" ht="16.5" customHeight="1" x14ac:dyDescent="0.25">
      <c r="T54" s="66"/>
    </row>
    <row r="57" spans="20:20" x14ac:dyDescent="0.25">
      <c r="T57" s="41"/>
    </row>
    <row r="58" spans="20:20" x14ac:dyDescent="0.25">
      <c r="T58" s="41"/>
    </row>
    <row r="60" spans="20:20" x14ac:dyDescent="0.25">
      <c r="T60" s="41"/>
    </row>
    <row r="61" spans="20:20" x14ac:dyDescent="0.25">
      <c r="T61" s="41"/>
    </row>
    <row r="62" spans="20:20" x14ac:dyDescent="0.25">
      <c r="T62" s="41"/>
    </row>
    <row r="63" spans="20:20" x14ac:dyDescent="0.25">
      <c r="T63" s="41"/>
    </row>
    <row r="64" spans="20:20" x14ac:dyDescent="0.25">
      <c r="T64" s="41"/>
    </row>
    <row r="65" spans="20:20" x14ac:dyDescent="0.25">
      <c r="T65" s="41"/>
    </row>
    <row r="66" spans="20:20" x14ac:dyDescent="0.25">
      <c r="T66" s="41"/>
    </row>
    <row r="67" spans="20:20" x14ac:dyDescent="0.25">
      <c r="T67" s="41"/>
    </row>
    <row r="68" spans="20:20" x14ac:dyDescent="0.25">
      <c r="T68" s="41"/>
    </row>
    <row r="69" spans="20:20" x14ac:dyDescent="0.25">
      <c r="T69" s="41"/>
    </row>
    <row r="70" spans="20:20" x14ac:dyDescent="0.25">
      <c r="T70" s="41"/>
    </row>
    <row r="71" spans="20:20" x14ac:dyDescent="0.25">
      <c r="T71" s="41"/>
    </row>
    <row r="72" spans="20:20" x14ac:dyDescent="0.25">
      <c r="T72" s="72"/>
    </row>
    <row r="73" spans="20:20" x14ac:dyDescent="0.25">
      <c r="T73" s="72"/>
    </row>
    <row r="74" spans="20:20" x14ac:dyDescent="0.25">
      <c r="T74" s="72"/>
    </row>
    <row r="75" spans="20:20" x14ac:dyDescent="0.25">
      <c r="T75" s="72"/>
    </row>
    <row r="76" spans="20:20" x14ac:dyDescent="0.25">
      <c r="T76" s="72"/>
    </row>
    <row r="77" spans="20:20" x14ac:dyDescent="0.25">
      <c r="T77" s="72"/>
    </row>
    <row r="78" spans="20:20" x14ac:dyDescent="0.25">
      <c r="T78" s="72"/>
    </row>
    <row r="79" spans="20:20" x14ac:dyDescent="0.25">
      <c r="T79" s="72"/>
    </row>
    <row r="80" spans="20:20" x14ac:dyDescent="0.25">
      <c r="T80" s="72"/>
    </row>
    <row r="81" spans="20:20" x14ac:dyDescent="0.25">
      <c r="T81" s="72"/>
    </row>
    <row r="82" spans="20:20" x14ac:dyDescent="0.25">
      <c r="T82" s="72"/>
    </row>
    <row r="83" spans="20:20" x14ac:dyDescent="0.25">
      <c r="T83" s="72"/>
    </row>
    <row r="84" spans="20:20" x14ac:dyDescent="0.25">
      <c r="T84" s="72"/>
    </row>
    <row r="85" spans="20:20" x14ac:dyDescent="0.25">
      <c r="T85" s="72"/>
    </row>
    <row r="86" spans="20:20" x14ac:dyDescent="0.25">
      <c r="T86" s="72"/>
    </row>
    <row r="87" spans="20:20" ht="15" customHeight="1" x14ac:dyDescent="0.25">
      <c r="T87" s="72"/>
    </row>
    <row r="88" spans="20:20" x14ac:dyDescent="0.25">
      <c r="T88" s="72"/>
    </row>
    <row r="89" spans="20:20" x14ac:dyDescent="0.25">
      <c r="T89" s="72"/>
    </row>
    <row r="90" spans="20:20" x14ac:dyDescent="0.25">
      <c r="T90" s="72"/>
    </row>
    <row r="91" spans="20:20" x14ac:dyDescent="0.25">
      <c r="T91" s="72"/>
    </row>
    <row r="92" spans="20:20" x14ac:dyDescent="0.25">
      <c r="T92" s="72"/>
    </row>
    <row r="93" spans="20:20" x14ac:dyDescent="0.25">
      <c r="T93" s="72"/>
    </row>
    <row r="94" spans="20:20" x14ac:dyDescent="0.25">
      <c r="T94" s="72"/>
    </row>
    <row r="95" spans="20:20" x14ac:dyDescent="0.25">
      <c r="T95" s="72"/>
    </row>
    <row r="96" spans="20:20" x14ac:dyDescent="0.25">
      <c r="T96" s="72"/>
    </row>
    <row r="97" spans="20:20" x14ac:dyDescent="0.25">
      <c r="T97" s="72"/>
    </row>
    <row r="98" spans="20:20" x14ac:dyDescent="0.25">
      <c r="T98" s="72"/>
    </row>
    <row r="99" spans="20:20" x14ac:dyDescent="0.25">
      <c r="T99" s="72"/>
    </row>
    <row r="100" spans="20:20" x14ac:dyDescent="0.25">
      <c r="T100" s="72"/>
    </row>
    <row r="101" spans="20:20" x14ac:dyDescent="0.25">
      <c r="T101" s="72"/>
    </row>
    <row r="102" spans="20:20" x14ac:dyDescent="0.25">
      <c r="T102" s="72"/>
    </row>
    <row r="103" spans="20:20" x14ac:dyDescent="0.25">
      <c r="T103" s="72"/>
    </row>
    <row r="104" spans="20:20" x14ac:dyDescent="0.25">
      <c r="T104" s="72"/>
    </row>
    <row r="105" spans="20:20" x14ac:dyDescent="0.25">
      <c r="T105" s="72"/>
    </row>
    <row r="106" spans="20:20" x14ac:dyDescent="0.25">
      <c r="T106" s="72"/>
    </row>
    <row r="107" spans="20:20" x14ac:dyDescent="0.25">
      <c r="T107" s="72"/>
    </row>
    <row r="108" spans="20:20" x14ac:dyDescent="0.25">
      <c r="T108" s="72"/>
    </row>
    <row r="109" spans="20:20" x14ac:dyDescent="0.25">
      <c r="T109" s="72"/>
    </row>
    <row r="110" spans="20:20" x14ac:dyDescent="0.25">
      <c r="T110" s="72"/>
    </row>
    <row r="111" spans="20:20" x14ac:dyDescent="0.25">
      <c r="T111" s="72"/>
    </row>
    <row r="112" spans="20:20" x14ac:dyDescent="0.25">
      <c r="T112" s="72"/>
    </row>
    <row r="113" spans="20:20" x14ac:dyDescent="0.25">
      <c r="T113" s="72"/>
    </row>
    <row r="114" spans="20:20" x14ac:dyDescent="0.25">
      <c r="T114" s="72"/>
    </row>
    <row r="115" spans="20:20" x14ac:dyDescent="0.25">
      <c r="T115" s="72"/>
    </row>
    <row r="116" spans="20:20" x14ac:dyDescent="0.25">
      <c r="T116" s="72"/>
    </row>
    <row r="117" spans="20:20" x14ac:dyDescent="0.25">
      <c r="T117" s="72"/>
    </row>
    <row r="133" spans="3:14" x14ac:dyDescent="0.25">
      <c r="N133" s="41"/>
    </row>
    <row r="134" spans="3:14" x14ac:dyDescent="0.25">
      <c r="C134" s="41"/>
      <c r="D134" s="41"/>
      <c r="N134" s="41"/>
    </row>
    <row r="135" spans="3:14" x14ac:dyDescent="0.25">
      <c r="C135" s="43"/>
      <c r="D135" s="55"/>
      <c r="E135" s="60"/>
      <c r="N135" s="41"/>
    </row>
    <row r="136" spans="3:14" x14ac:dyDescent="0.25">
      <c r="C136" s="43"/>
      <c r="D136" s="55"/>
      <c r="E136" s="60"/>
      <c r="N136" s="41"/>
    </row>
    <row r="137" spans="3:14" x14ac:dyDescent="0.25">
      <c r="C137" s="43"/>
      <c r="D137" s="55"/>
      <c r="E137" s="60"/>
      <c r="N137" s="41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2" orientation="landscape" r:id="rId1"/>
  <headerFooter alignWithMargins="0">
    <oddFooter>&amp;RExhibit JW-9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137"/>
  <sheetViews>
    <sheetView tabSelected="1" view="pageBreakPreview" zoomScale="75" zoomScaleNormal="85" zoomScaleSheetLayoutView="75" workbookViewId="0">
      <selection activeCell="C63" sqref="C63:G63"/>
    </sheetView>
  </sheetViews>
  <sheetFormatPr defaultColWidth="9.140625"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4.5703125" style="2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9" width="16.28515625" style="2" customWidth="1"/>
    <col min="10" max="10" width="13.85546875" style="2" customWidth="1"/>
    <col min="11" max="11" width="14.42578125" style="2" customWidth="1"/>
    <col min="12" max="12" width="2" style="2" customWidth="1"/>
    <col min="13" max="13" width="2.85546875" style="2" customWidth="1"/>
    <col min="14" max="14" width="9.85546875" style="2" customWidth="1"/>
    <col min="15" max="15" width="18.28515625" style="2" customWidth="1"/>
    <col min="16" max="16" width="3.42578125" style="2" customWidth="1"/>
    <col min="17" max="17" width="12.7109375" style="2" bestFit="1" customWidth="1"/>
    <col min="18" max="18" width="14.5703125" style="2" bestFit="1" customWidth="1"/>
    <col min="19" max="19" width="4.28515625" style="2" customWidth="1"/>
    <col min="20" max="20" width="15.5703125" style="2" customWidth="1"/>
    <col min="21" max="21" width="12.42578125" style="2" customWidth="1"/>
    <col min="22" max="16384" width="9.140625" style="2"/>
  </cols>
  <sheetData>
    <row r="1" spans="1:21" x14ac:dyDescent="0.25">
      <c r="A1" s="1" t="str">
        <f>'Present and Proposed Rates'!A1</f>
        <v>Cumberland Valley Electric</v>
      </c>
      <c r="O1" s="1"/>
    </row>
    <row r="2" spans="1:21" x14ac:dyDescent="0.25">
      <c r="A2" s="1" t="str">
        <f>List!B8</f>
        <v>Sch II - Small Commercial  Small Power</v>
      </c>
    </row>
    <row r="3" spans="1:21" ht="16.5" thickBot="1" x14ac:dyDescent="0.3">
      <c r="A3" s="69" t="str">
        <f>List!C8</f>
        <v>C1</v>
      </c>
    </row>
    <row r="4" spans="1:21" x14ac:dyDescent="0.25">
      <c r="D4" s="421" t="s">
        <v>30</v>
      </c>
      <c r="E4" s="422"/>
      <c r="F4" s="422"/>
      <c r="G4" s="423"/>
      <c r="H4" s="3"/>
      <c r="I4" s="3"/>
      <c r="J4" s="421" t="s">
        <v>102</v>
      </c>
      <c r="K4" s="423"/>
      <c r="L4" s="127"/>
      <c r="M4" s="3"/>
      <c r="Q4" s="421" t="s">
        <v>87</v>
      </c>
      <c r="R4" s="422"/>
      <c r="S4" s="422"/>
      <c r="T4" s="423"/>
    </row>
    <row r="5" spans="1:21" ht="16.5" thickBot="1" x14ac:dyDescent="0.3">
      <c r="A5" s="44"/>
      <c r="B5" s="59"/>
      <c r="C5" s="3"/>
      <c r="D5" s="424"/>
      <c r="E5" s="425"/>
      <c r="F5" s="425"/>
      <c r="G5" s="426"/>
      <c r="H5" s="3"/>
      <c r="I5" s="3"/>
      <c r="J5" s="424"/>
      <c r="K5" s="426"/>
      <c r="L5" s="127"/>
      <c r="M5" s="3"/>
      <c r="N5" s="44"/>
      <c r="O5" s="59"/>
      <c r="P5" s="3"/>
      <c r="Q5" s="424"/>
      <c r="R5" s="425"/>
      <c r="S5" s="425"/>
      <c r="T5" s="426"/>
    </row>
    <row r="6" spans="1:21" x14ac:dyDescent="0.25">
      <c r="A6" s="4"/>
      <c r="B6" s="4"/>
      <c r="C6" s="4"/>
      <c r="D6" s="4" t="s">
        <v>1</v>
      </c>
      <c r="E6" s="4"/>
      <c r="F6" s="4"/>
      <c r="G6" s="4" t="s">
        <v>2</v>
      </c>
      <c r="H6" s="4"/>
      <c r="I6" s="4"/>
      <c r="J6" s="4"/>
      <c r="K6" s="4" t="s">
        <v>2</v>
      </c>
      <c r="L6" s="127"/>
      <c r="M6" s="4"/>
      <c r="N6" s="4"/>
      <c r="O6" s="4"/>
      <c r="P6" s="4"/>
      <c r="Q6" s="4" t="s">
        <v>1</v>
      </c>
      <c r="R6" s="4"/>
      <c r="S6" s="4"/>
      <c r="T6" s="4" t="s">
        <v>2</v>
      </c>
    </row>
    <row r="7" spans="1:21" ht="16.5" thickBot="1" x14ac:dyDescent="0.3">
      <c r="A7" s="5"/>
      <c r="B7" s="5"/>
      <c r="C7" s="5"/>
      <c r="D7" s="5" t="s">
        <v>4</v>
      </c>
      <c r="E7" s="425" t="s">
        <v>5</v>
      </c>
      <c r="F7" s="425"/>
      <c r="G7" s="5" t="s">
        <v>6</v>
      </c>
      <c r="H7" s="5"/>
      <c r="I7" s="5"/>
      <c r="J7" s="5" t="s">
        <v>5</v>
      </c>
      <c r="K7" s="5" t="s">
        <v>6</v>
      </c>
      <c r="L7" s="126"/>
      <c r="M7" s="5"/>
      <c r="N7" s="5"/>
      <c r="O7" s="5"/>
      <c r="P7" s="5"/>
      <c r="Q7" s="5" t="s">
        <v>4</v>
      </c>
      <c r="R7" s="425" t="s">
        <v>5</v>
      </c>
      <c r="S7" s="425"/>
      <c r="T7" s="5" t="s">
        <v>6</v>
      </c>
      <c r="U7" s="5" t="s">
        <v>58</v>
      </c>
    </row>
    <row r="8" spans="1:21" x14ac:dyDescent="0.25">
      <c r="L8" s="127"/>
    </row>
    <row r="9" spans="1:21" x14ac:dyDescent="0.25">
      <c r="L9" s="127"/>
    </row>
    <row r="10" spans="1:21" x14ac:dyDescent="0.25">
      <c r="A10" s="102" t="s">
        <v>10</v>
      </c>
      <c r="L10" s="127"/>
      <c r="N10" s="102" t="s">
        <v>10</v>
      </c>
    </row>
    <row r="11" spans="1:21" ht="31.5" x14ac:dyDescent="0.25">
      <c r="D11" s="139" t="s">
        <v>91</v>
      </c>
      <c r="E11" s="139" t="s">
        <v>92</v>
      </c>
      <c r="I11" s="139" t="s">
        <v>91</v>
      </c>
      <c r="J11" s="139" t="s">
        <v>92</v>
      </c>
      <c r="L11" s="127"/>
      <c r="Q11" s="139" t="s">
        <v>91</v>
      </c>
      <c r="R11" s="139" t="s">
        <v>92</v>
      </c>
      <c r="U11" s="287"/>
    </row>
    <row r="12" spans="1:21" x14ac:dyDescent="0.25">
      <c r="B12" s="2" t="s">
        <v>101</v>
      </c>
      <c r="D12" s="8">
        <f>'Billing Determ'!C75</f>
        <v>15343</v>
      </c>
      <c r="E12" s="9">
        <f>'Present and Proposed Rates'!G13</f>
        <v>19.690000000000001</v>
      </c>
      <c r="G12" s="11">
        <f>D12*E12</f>
        <v>302103.67000000004</v>
      </c>
      <c r="H12" s="11"/>
      <c r="I12" s="8">
        <f>Q12</f>
        <v>15247</v>
      </c>
      <c r="J12" s="141">
        <f>'Present and Proposed Rates'!H13</f>
        <v>19.690000000000001</v>
      </c>
      <c r="K12" s="11">
        <f>J12*I12</f>
        <v>300213.43</v>
      </c>
      <c r="L12" s="128"/>
      <c r="M12" s="11"/>
      <c r="O12" s="2" t="s">
        <v>98</v>
      </c>
      <c r="Q12" s="8">
        <f>D12-8*12</f>
        <v>15247</v>
      </c>
      <c r="R12" s="9">
        <f>'Present and Proposed Rates'!I13</f>
        <v>27.07</v>
      </c>
      <c r="T12" s="11">
        <f>Q12*R12</f>
        <v>412736.29</v>
      </c>
      <c r="U12" s="287">
        <f>IF(K12=0,0,T12/K12-1)</f>
        <v>0.37480954799390553</v>
      </c>
    </row>
    <row r="13" spans="1:21" x14ac:dyDescent="0.25">
      <c r="G13" s="11"/>
      <c r="H13" s="11"/>
      <c r="I13" s="8"/>
      <c r="J13" s="41"/>
      <c r="K13" s="11"/>
      <c r="L13" s="128"/>
      <c r="M13" s="11"/>
      <c r="Q13" s="8"/>
      <c r="T13" s="11"/>
    </row>
    <row r="14" spans="1:21" x14ac:dyDescent="0.25">
      <c r="A14" s="1" t="s">
        <v>7</v>
      </c>
      <c r="D14" s="8"/>
      <c r="G14" s="11"/>
      <c r="H14" s="11"/>
      <c r="I14" s="38"/>
      <c r="J14" s="41"/>
      <c r="K14" s="11"/>
      <c r="L14" s="128"/>
      <c r="M14" s="11"/>
      <c r="N14" s="1" t="s">
        <v>7</v>
      </c>
      <c r="Q14" s="38"/>
      <c r="R14" s="41"/>
      <c r="T14" s="11"/>
    </row>
    <row r="15" spans="1:21" x14ac:dyDescent="0.25">
      <c r="D15" s="117" t="s">
        <v>8</v>
      </c>
      <c r="E15" s="118" t="s">
        <v>11</v>
      </c>
      <c r="G15" s="11"/>
      <c r="H15" s="11"/>
      <c r="I15" s="117" t="s">
        <v>8</v>
      </c>
      <c r="J15" s="118" t="s">
        <v>11</v>
      </c>
      <c r="K15" s="11"/>
      <c r="L15" s="128"/>
      <c r="M15" s="11"/>
      <c r="Q15" s="117" t="s">
        <v>8</v>
      </c>
      <c r="R15" s="118" t="s">
        <v>11</v>
      </c>
      <c r="T15" s="11"/>
      <c r="U15" s="287"/>
    </row>
    <row r="16" spans="1:21" x14ac:dyDescent="0.25">
      <c r="B16" s="2" t="s">
        <v>145</v>
      </c>
      <c r="D16" s="8">
        <f>'Billing Determ'!E75</f>
        <v>10819343</v>
      </c>
      <c r="E16" s="18">
        <f>'Present and Proposed Rates'!G14</f>
        <v>8.5330000000000003E-2</v>
      </c>
      <c r="G16" s="11">
        <f>D16*E16</f>
        <v>923214.53818999999</v>
      </c>
      <c r="H16" s="11"/>
      <c r="I16" s="8">
        <f>Q16</f>
        <v>10819343</v>
      </c>
      <c r="J16" s="140">
        <f>'Present and Proposed Rates'!H14</f>
        <v>9.7119999999999998E-2</v>
      </c>
      <c r="K16" s="11">
        <f t="shared" ref="K16:K17" si="0">J16*I16</f>
        <v>1050774.59216</v>
      </c>
      <c r="L16" s="128"/>
      <c r="M16" s="11"/>
      <c r="O16" s="2" t="s">
        <v>120</v>
      </c>
      <c r="Q16" s="8">
        <f>D16</f>
        <v>10819343</v>
      </c>
      <c r="R16" s="18">
        <f>'Present and Proposed Rates'!I14</f>
        <v>9.8059999999999994E-2</v>
      </c>
      <c r="T16" s="11">
        <f>Q16*R16</f>
        <v>1060944.77458</v>
      </c>
      <c r="U16" s="287">
        <f>IF(K16=0,0,T16/K16-1)</f>
        <v>9.6787479406919008E-3</v>
      </c>
    </row>
    <row r="17" spans="1:22" x14ac:dyDescent="0.25">
      <c r="B17" s="2" t="s">
        <v>146</v>
      </c>
      <c r="D17" s="8">
        <f>'Billing Determ'!F75</f>
        <v>3699422</v>
      </c>
      <c r="E17" s="18">
        <f>'Present and Proposed Rates'!G15</f>
        <v>8.1780000000000005E-2</v>
      </c>
      <c r="G17" s="11">
        <f>D17*E17</f>
        <v>302538.73116000002</v>
      </c>
      <c r="H17" s="11"/>
      <c r="I17" s="8">
        <f>Q17</f>
        <v>3689865</v>
      </c>
      <c r="J17" s="140">
        <f>'Present and Proposed Rates'!H15</f>
        <v>9.357E-2</v>
      </c>
      <c r="K17" s="11">
        <f t="shared" si="0"/>
        <v>345260.66804999998</v>
      </c>
      <c r="L17" s="128"/>
      <c r="M17" s="11"/>
      <c r="O17" s="2" t="s">
        <v>120</v>
      </c>
      <c r="Q17" s="8">
        <f>D17+-9557</f>
        <v>3689865</v>
      </c>
      <c r="R17" s="18">
        <f>'Present and Proposed Rates'!I15</f>
        <v>9.4469999999999998E-2</v>
      </c>
      <c r="T17" s="11">
        <f>Q17*R17</f>
        <v>348581.54654999997</v>
      </c>
      <c r="U17" s="287">
        <f>IF(K17=0,0,T17/K17-1)</f>
        <v>9.618467457518376E-3</v>
      </c>
    </row>
    <row r="18" spans="1:22" x14ac:dyDescent="0.25">
      <c r="A18" s="1"/>
      <c r="C18" s="132"/>
      <c r="D18" s="260">
        <f>SUM(D16:D17)</f>
        <v>14518765</v>
      </c>
      <c r="E18" s="418">
        <f>(E16*D16+E17*D17)/D18</f>
        <v>8.4425450053775233E-2</v>
      </c>
      <c r="L18" s="127"/>
    </row>
    <row r="19" spans="1:22" x14ac:dyDescent="0.25">
      <c r="A19" s="1"/>
      <c r="B19" s="1"/>
      <c r="C19" s="132" t="s">
        <v>215</v>
      </c>
      <c r="D19" s="260">
        <f>D18/D12</f>
        <v>946.27941080623089</v>
      </c>
      <c r="E19" s="1"/>
      <c r="F19" s="1"/>
      <c r="G19" s="1"/>
      <c r="H19" s="1"/>
      <c r="I19" s="1"/>
      <c r="J19" s="1"/>
      <c r="K19" s="1"/>
      <c r="L19" s="135"/>
      <c r="M19" s="1"/>
      <c r="N19" s="1"/>
      <c r="O19" s="1"/>
      <c r="P19" s="1"/>
      <c r="Q19" s="1"/>
      <c r="R19" s="1"/>
      <c r="S19" s="1"/>
      <c r="T19" s="1"/>
      <c r="U19" s="287"/>
      <c r="V19" s="1"/>
    </row>
    <row r="20" spans="1:22" x14ac:dyDescent="0.25">
      <c r="A20" s="1" t="s">
        <v>96</v>
      </c>
      <c r="B20" s="1"/>
      <c r="C20" s="16"/>
      <c r="D20" s="8"/>
      <c r="E20" s="18"/>
      <c r="G20" s="11"/>
      <c r="H20" s="11"/>
      <c r="I20" s="11"/>
      <c r="J20" s="11"/>
      <c r="K20" s="11"/>
      <c r="L20" s="128"/>
      <c r="M20" s="11"/>
      <c r="N20" s="1" t="s">
        <v>96</v>
      </c>
      <c r="O20" s="1"/>
      <c r="P20" s="16"/>
      <c r="Q20" s="8"/>
      <c r="R20" s="18"/>
      <c r="T20" s="11"/>
      <c r="U20" s="287"/>
    </row>
    <row r="21" spans="1:22" x14ac:dyDescent="0.25">
      <c r="A21" s="1"/>
      <c r="B21" s="2" t="s">
        <v>90</v>
      </c>
      <c r="C21" s="16"/>
      <c r="D21" s="8"/>
      <c r="E21" s="18"/>
      <c r="G21" s="11">
        <f>'Billing Determ'!L75</f>
        <v>175771.94000000003</v>
      </c>
      <c r="H21" s="11"/>
      <c r="I21" s="11"/>
      <c r="J21" s="11"/>
      <c r="K21" s="11">
        <f>G21-D18*'Present and Proposed Rates'!I56</f>
        <v>4595.7006500000425</v>
      </c>
      <c r="L21" s="128"/>
      <c r="M21" s="11"/>
      <c r="N21" s="1"/>
      <c r="O21" s="2" t="s">
        <v>90</v>
      </c>
      <c r="P21" s="16"/>
      <c r="Q21" s="8"/>
      <c r="R21" s="18"/>
      <c r="T21" s="11">
        <f>K21</f>
        <v>4595.7006500000425</v>
      </c>
      <c r="U21" s="287"/>
    </row>
    <row r="22" spans="1:22" x14ac:dyDescent="0.25">
      <c r="A22" s="1"/>
      <c r="B22" s="2" t="s">
        <v>97</v>
      </c>
      <c r="C22" s="16"/>
      <c r="D22" s="8"/>
      <c r="E22" s="18"/>
      <c r="G22" s="11">
        <f>'Billing Determ'!N75</f>
        <v>203834.25999999998</v>
      </c>
      <c r="H22" s="11"/>
      <c r="I22" s="11"/>
      <c r="J22" s="11"/>
      <c r="K22" s="11">
        <f>G22</f>
        <v>203834.25999999998</v>
      </c>
      <c r="L22" s="128"/>
      <c r="M22" s="11"/>
      <c r="N22" s="1"/>
      <c r="O22" s="2" t="s">
        <v>97</v>
      </c>
      <c r="P22" s="16"/>
      <c r="Q22" s="8"/>
      <c r="R22" s="18"/>
      <c r="T22" s="11">
        <f t="shared" ref="T22:T23" si="1">K22</f>
        <v>203834.25999999998</v>
      </c>
    </row>
    <row r="23" spans="1:22" x14ac:dyDescent="0.25">
      <c r="B23" s="2" t="s">
        <v>204</v>
      </c>
      <c r="D23" s="8"/>
      <c r="E23" s="18"/>
      <c r="G23" s="39">
        <f>'Billing Determ'!K75</f>
        <v>530.02</v>
      </c>
      <c r="H23" s="39"/>
      <c r="I23" s="39"/>
      <c r="J23" s="39"/>
      <c r="K23" s="39">
        <f>G23</f>
        <v>530.02</v>
      </c>
      <c r="L23" s="128"/>
      <c r="M23" s="39"/>
      <c r="N23" s="102"/>
      <c r="O23" s="2" t="str">
        <f>B23</f>
        <v>Min Bill</v>
      </c>
      <c r="T23" s="11">
        <f t="shared" si="1"/>
        <v>530.02</v>
      </c>
    </row>
    <row r="24" spans="1:22" x14ac:dyDescent="0.25">
      <c r="D24" s="8"/>
      <c r="E24" s="18"/>
      <c r="G24" s="39"/>
      <c r="H24" s="39"/>
      <c r="I24" s="39"/>
      <c r="J24" s="39"/>
      <c r="K24" s="39"/>
      <c r="L24" s="128"/>
      <c r="M24" s="39"/>
      <c r="N24" s="102"/>
      <c r="T24" s="11"/>
      <c r="U24" s="287"/>
    </row>
    <row r="25" spans="1:22" x14ac:dyDescent="0.25">
      <c r="A25" s="1"/>
      <c r="D25" s="25"/>
      <c r="G25" s="11"/>
      <c r="H25" s="11"/>
      <c r="I25" s="11"/>
      <c r="J25" s="11"/>
      <c r="K25" s="11"/>
      <c r="L25" s="128"/>
      <c r="M25" s="11"/>
      <c r="N25" s="1"/>
      <c r="T25" s="11"/>
    </row>
    <row r="26" spans="1:22" ht="16.5" thickBot="1" x14ac:dyDescent="0.3">
      <c r="A26" s="1" t="s">
        <v>79</v>
      </c>
      <c r="G26" s="24">
        <f>SUM(G12:G24)</f>
        <v>1907993.1593500001</v>
      </c>
      <c r="H26" s="11"/>
      <c r="I26" s="11"/>
      <c r="J26" s="11"/>
      <c r="K26" s="24">
        <f>SUM(K12:K24)</f>
        <v>1905208.67086</v>
      </c>
      <c r="L26" s="128"/>
      <c r="M26" s="11"/>
      <c r="N26" s="1" t="s">
        <v>79</v>
      </c>
      <c r="T26" s="24">
        <f>SUM(T12:T24)</f>
        <v>2031222.5917800001</v>
      </c>
    </row>
    <row r="27" spans="1:22" ht="16.5" thickTop="1" x14ac:dyDescent="0.25">
      <c r="A27" s="1"/>
      <c r="B27" s="1"/>
      <c r="G27" s="11"/>
      <c r="H27" s="11"/>
      <c r="I27" s="11"/>
      <c r="J27" s="11"/>
      <c r="K27" s="11"/>
      <c r="L27" s="128"/>
      <c r="M27" s="11"/>
      <c r="N27" s="1"/>
      <c r="O27" s="1"/>
      <c r="T27" s="11"/>
    </row>
    <row r="28" spans="1:22" x14ac:dyDescent="0.25">
      <c r="A28" s="1" t="s">
        <v>19</v>
      </c>
      <c r="B28" s="10"/>
      <c r="G28" s="11">
        <f>'Billing Determ'!G75+'Billing Determ'!J75+'Billing Determ'!O75*0+SUM('Billing Determ'!L63:L74)</f>
        <v>1909411.8199999998</v>
      </c>
      <c r="H28" s="11"/>
      <c r="I28" s="11"/>
      <c r="J28" s="11"/>
      <c r="K28" s="11"/>
      <c r="L28" s="129"/>
      <c r="M28" s="11"/>
      <c r="N28" s="1" t="s">
        <v>103</v>
      </c>
      <c r="O28" s="10"/>
      <c r="T28" s="31">
        <f>T26-K26</f>
        <v>126013.92092000018</v>
      </c>
    </row>
    <row r="29" spans="1:22" x14ac:dyDescent="0.25">
      <c r="A29" s="10"/>
      <c r="B29" s="10"/>
      <c r="G29" s="10"/>
      <c r="H29" s="10"/>
      <c r="I29" s="10"/>
      <c r="J29" s="10"/>
      <c r="K29" s="10"/>
      <c r="L29" s="130"/>
      <c r="M29" s="10"/>
      <c r="O29" s="10"/>
      <c r="T29" s="10"/>
    </row>
    <row r="30" spans="1:22" x14ac:dyDescent="0.25">
      <c r="A30" s="1" t="s">
        <v>13</v>
      </c>
      <c r="B30" s="10"/>
      <c r="G30" s="22">
        <f>G26-G28</f>
        <v>-1418.6606499997433</v>
      </c>
      <c r="H30" s="22"/>
      <c r="I30" s="22"/>
      <c r="J30" s="22"/>
      <c r="K30" s="22">
        <f>K26-G26</f>
        <v>-2784.4884900001343</v>
      </c>
      <c r="L30" s="128"/>
      <c r="M30" s="22"/>
      <c r="N30" s="1" t="s">
        <v>104</v>
      </c>
      <c r="O30" s="10"/>
      <c r="T30" s="98">
        <f>T28/K26</f>
        <v>6.6141794779423418E-2</v>
      </c>
    </row>
    <row r="31" spans="1:22" x14ac:dyDescent="0.25">
      <c r="A31" s="10"/>
      <c r="B31" s="10"/>
      <c r="G31" s="11"/>
      <c r="H31" s="11"/>
      <c r="I31" s="11"/>
      <c r="J31" s="11"/>
      <c r="K31" s="11"/>
      <c r="L31" s="131"/>
      <c r="M31" s="11"/>
      <c r="O31" s="10"/>
      <c r="T31" s="11"/>
    </row>
    <row r="32" spans="1:22" x14ac:dyDescent="0.25">
      <c r="A32" s="1" t="s">
        <v>26</v>
      </c>
      <c r="B32" s="10"/>
      <c r="G32" s="23">
        <f>G30/G28</f>
        <v>-7.4298306690054089E-4</v>
      </c>
      <c r="H32" s="23"/>
      <c r="I32" s="23"/>
      <c r="J32" s="23"/>
      <c r="K32" s="23">
        <f>K30/G28</f>
        <v>-1.4582964559212452E-3</v>
      </c>
      <c r="L32" s="128"/>
      <c r="M32" s="23"/>
      <c r="N32" s="1" t="s">
        <v>84</v>
      </c>
      <c r="O32" s="10"/>
      <c r="T32" s="39">
        <f>T28/Q12</f>
        <v>8.2648337981242328</v>
      </c>
    </row>
    <row r="33" spans="1:21" x14ac:dyDescent="0.25">
      <c r="A33" s="1"/>
      <c r="B33" s="10"/>
      <c r="G33" s="23"/>
      <c r="H33" s="23"/>
      <c r="I33" s="23"/>
      <c r="J33" s="23"/>
      <c r="K33" s="23"/>
      <c r="L33" s="23"/>
      <c r="M33" s="23"/>
      <c r="N33" s="1"/>
      <c r="O33" s="10"/>
      <c r="T33" s="23"/>
    </row>
    <row r="34" spans="1:21" x14ac:dyDescent="0.25">
      <c r="A34" s="1"/>
      <c r="B34" s="10"/>
      <c r="G34" s="138"/>
      <c r="H34" s="23"/>
      <c r="I34" s="23"/>
      <c r="J34" s="23"/>
      <c r="K34" s="138"/>
      <c r="L34" s="23"/>
      <c r="M34" s="23"/>
      <c r="N34" s="1"/>
      <c r="O34" s="10"/>
      <c r="T34" s="23"/>
    </row>
    <row r="35" spans="1:21" x14ac:dyDescent="0.25">
      <c r="A35" s="1"/>
      <c r="B35" s="10"/>
      <c r="G35" s="138">
        <f>G12+G16+G17</f>
        <v>1527856.9393500001</v>
      </c>
      <c r="H35" s="23"/>
      <c r="I35" s="23"/>
      <c r="J35" s="23"/>
      <c r="K35" s="23"/>
      <c r="L35" s="23"/>
      <c r="M35" s="23"/>
      <c r="N35" s="1"/>
      <c r="O35" s="10"/>
      <c r="T35" s="23"/>
    </row>
    <row r="36" spans="1:21" x14ac:dyDescent="0.25">
      <c r="A36" s="1"/>
      <c r="B36" s="10"/>
      <c r="G36" s="138"/>
      <c r="H36" s="23"/>
      <c r="I36" s="23"/>
      <c r="J36" s="23"/>
      <c r="K36" s="23"/>
      <c r="L36" s="23"/>
      <c r="M36" s="23"/>
      <c r="N36" s="1"/>
      <c r="O36" s="10"/>
      <c r="T36" s="23"/>
    </row>
    <row r="37" spans="1:21" x14ac:dyDescent="0.25">
      <c r="A37" s="1"/>
      <c r="B37" s="10"/>
      <c r="G37" s="34"/>
      <c r="H37" s="23"/>
      <c r="I37" s="23"/>
      <c r="J37" s="23"/>
      <c r="K37" s="23"/>
      <c r="L37" s="23"/>
      <c r="M37" s="23"/>
      <c r="N37" s="1"/>
      <c r="O37" s="10"/>
      <c r="T37" s="23"/>
    </row>
    <row r="38" spans="1:21" x14ac:dyDescent="0.25">
      <c r="A38" s="1"/>
      <c r="B38" s="10"/>
      <c r="G38" s="23"/>
      <c r="H38" s="23"/>
      <c r="I38" s="23"/>
      <c r="J38" s="23"/>
      <c r="K38" s="23"/>
      <c r="L38" s="23"/>
      <c r="M38" s="23"/>
      <c r="N38" s="1"/>
      <c r="O38" s="10"/>
      <c r="T38" s="23"/>
    </row>
    <row r="39" spans="1:21" ht="18.75" customHeight="1" x14ac:dyDescent="0.25">
      <c r="A39" s="1"/>
      <c r="B39" s="11"/>
      <c r="G39" s="23"/>
      <c r="H39" s="23"/>
      <c r="I39" s="23"/>
      <c r="J39" s="23"/>
      <c r="K39" s="23"/>
      <c r="L39" s="23"/>
      <c r="M39" s="23"/>
    </row>
    <row r="40" spans="1:21" x14ac:dyDescent="0.25">
      <c r="E40" s="11"/>
    </row>
    <row r="43" spans="1:21" x14ac:dyDescent="0.25">
      <c r="U43" s="66"/>
    </row>
    <row r="44" spans="1:21" x14ac:dyDescent="0.25">
      <c r="U44" s="66"/>
    </row>
    <row r="45" spans="1:21" x14ac:dyDescent="0.25">
      <c r="U45" s="66"/>
    </row>
    <row r="46" spans="1:21" x14ac:dyDescent="0.25">
      <c r="U46" s="66"/>
    </row>
    <row r="47" spans="1:21" x14ac:dyDescent="0.25">
      <c r="U47" s="66"/>
    </row>
    <row r="48" spans="1:21" x14ac:dyDescent="0.25">
      <c r="U48" s="66"/>
    </row>
    <row r="49" spans="21:21" x14ac:dyDescent="0.25">
      <c r="U49" s="66"/>
    </row>
    <row r="50" spans="21:21" x14ac:dyDescent="0.25">
      <c r="U50" s="66"/>
    </row>
    <row r="51" spans="21:21" x14ac:dyDescent="0.25">
      <c r="U51" s="66"/>
    </row>
    <row r="52" spans="21:21" x14ac:dyDescent="0.25">
      <c r="U52" s="66"/>
    </row>
    <row r="53" spans="21:21" x14ac:dyDescent="0.25">
      <c r="U53" s="66"/>
    </row>
    <row r="54" spans="21:21" ht="16.5" customHeight="1" x14ac:dyDescent="0.25">
      <c r="U54" s="66"/>
    </row>
    <row r="57" spans="21:21" x14ac:dyDescent="0.25">
      <c r="U57" s="41"/>
    </row>
    <row r="58" spans="21:21" x14ac:dyDescent="0.25">
      <c r="U58" s="41"/>
    </row>
    <row r="60" spans="21:21" x14ac:dyDescent="0.25">
      <c r="U60" s="41"/>
    </row>
    <row r="61" spans="21:21" x14ac:dyDescent="0.25">
      <c r="U61" s="41"/>
    </row>
    <row r="62" spans="21:21" x14ac:dyDescent="0.25">
      <c r="U62" s="41"/>
    </row>
    <row r="63" spans="21:21" x14ac:dyDescent="0.25">
      <c r="U63" s="41"/>
    </row>
    <row r="64" spans="21:21" x14ac:dyDescent="0.25">
      <c r="U64" s="41"/>
    </row>
    <row r="65" spans="21:21" x14ac:dyDescent="0.25">
      <c r="U65" s="41"/>
    </row>
    <row r="66" spans="21:21" x14ac:dyDescent="0.25">
      <c r="U66" s="41"/>
    </row>
    <row r="67" spans="21:21" x14ac:dyDescent="0.25">
      <c r="U67" s="41"/>
    </row>
    <row r="68" spans="21:21" x14ac:dyDescent="0.25">
      <c r="U68" s="41"/>
    </row>
    <row r="69" spans="21:21" x14ac:dyDescent="0.25">
      <c r="U69" s="41"/>
    </row>
    <row r="70" spans="21:21" x14ac:dyDescent="0.25">
      <c r="U70" s="41"/>
    </row>
    <row r="71" spans="21:21" x14ac:dyDescent="0.25">
      <c r="U71" s="41"/>
    </row>
    <row r="72" spans="21:21" x14ac:dyDescent="0.25">
      <c r="U72" s="72"/>
    </row>
    <row r="73" spans="21:21" x14ac:dyDescent="0.25">
      <c r="U73" s="72"/>
    </row>
    <row r="74" spans="21:21" x14ac:dyDescent="0.25">
      <c r="U74" s="72"/>
    </row>
    <row r="75" spans="21:21" x14ac:dyDescent="0.25">
      <c r="U75" s="72"/>
    </row>
    <row r="76" spans="21:21" x14ac:dyDescent="0.25">
      <c r="U76" s="72"/>
    </row>
    <row r="77" spans="21:21" x14ac:dyDescent="0.25">
      <c r="U77" s="72"/>
    </row>
    <row r="78" spans="21:21" x14ac:dyDescent="0.25">
      <c r="U78" s="72"/>
    </row>
    <row r="79" spans="21:21" x14ac:dyDescent="0.25">
      <c r="U79" s="72"/>
    </row>
    <row r="80" spans="21:21" x14ac:dyDescent="0.25">
      <c r="U80" s="72"/>
    </row>
    <row r="81" spans="21:21" x14ac:dyDescent="0.25">
      <c r="U81" s="72"/>
    </row>
    <row r="82" spans="21:21" x14ac:dyDescent="0.25">
      <c r="U82" s="72"/>
    </row>
    <row r="83" spans="21:21" x14ac:dyDescent="0.25">
      <c r="U83" s="72"/>
    </row>
    <row r="84" spans="21:21" x14ac:dyDescent="0.25">
      <c r="U84" s="72"/>
    </row>
    <row r="85" spans="21:21" x14ac:dyDescent="0.25">
      <c r="U85" s="72"/>
    </row>
    <row r="86" spans="21:21" x14ac:dyDescent="0.25">
      <c r="U86" s="72"/>
    </row>
    <row r="87" spans="21:21" ht="15" customHeight="1" x14ac:dyDescent="0.25">
      <c r="U87" s="72"/>
    </row>
    <row r="88" spans="21:21" x14ac:dyDescent="0.25">
      <c r="U88" s="72"/>
    </row>
    <row r="89" spans="21:21" x14ac:dyDescent="0.25">
      <c r="U89" s="72"/>
    </row>
    <row r="90" spans="21:21" x14ac:dyDescent="0.25">
      <c r="U90" s="72"/>
    </row>
    <row r="91" spans="21:21" x14ac:dyDescent="0.25">
      <c r="U91" s="72"/>
    </row>
    <row r="92" spans="21:21" x14ac:dyDescent="0.25">
      <c r="U92" s="72"/>
    </row>
    <row r="93" spans="21:21" x14ac:dyDescent="0.25">
      <c r="U93" s="72"/>
    </row>
    <row r="94" spans="21:21" x14ac:dyDescent="0.25">
      <c r="U94" s="72"/>
    </row>
    <row r="95" spans="21:21" x14ac:dyDescent="0.25">
      <c r="U95" s="72"/>
    </row>
    <row r="96" spans="21:21" x14ac:dyDescent="0.25">
      <c r="U96" s="72"/>
    </row>
    <row r="97" spans="21:21" x14ac:dyDescent="0.25">
      <c r="U97" s="72"/>
    </row>
    <row r="98" spans="21:21" x14ac:dyDescent="0.25">
      <c r="U98" s="72"/>
    </row>
    <row r="99" spans="21:21" x14ac:dyDescent="0.25">
      <c r="U99" s="72"/>
    </row>
    <row r="100" spans="21:21" x14ac:dyDescent="0.25">
      <c r="U100" s="72"/>
    </row>
    <row r="101" spans="21:21" x14ac:dyDescent="0.25">
      <c r="U101" s="72"/>
    </row>
    <row r="102" spans="21:21" x14ac:dyDescent="0.25">
      <c r="U102" s="72"/>
    </row>
    <row r="103" spans="21:21" x14ac:dyDescent="0.25">
      <c r="U103" s="72"/>
    </row>
    <row r="104" spans="21:21" x14ac:dyDescent="0.25">
      <c r="U104" s="72"/>
    </row>
    <row r="105" spans="21:21" x14ac:dyDescent="0.25">
      <c r="U105" s="72"/>
    </row>
    <row r="106" spans="21:21" x14ac:dyDescent="0.25">
      <c r="U106" s="72"/>
    </row>
    <row r="107" spans="21:21" x14ac:dyDescent="0.25">
      <c r="U107" s="72"/>
    </row>
    <row r="108" spans="21:21" x14ac:dyDescent="0.25">
      <c r="U108" s="72"/>
    </row>
    <row r="109" spans="21:21" x14ac:dyDescent="0.25">
      <c r="U109" s="72"/>
    </row>
    <row r="110" spans="21:21" x14ac:dyDescent="0.25">
      <c r="U110" s="72"/>
    </row>
    <row r="111" spans="21:21" x14ac:dyDescent="0.25">
      <c r="U111" s="72"/>
    </row>
    <row r="112" spans="21:21" x14ac:dyDescent="0.25">
      <c r="U112" s="72"/>
    </row>
    <row r="113" spans="21:21" x14ac:dyDescent="0.25">
      <c r="U113" s="72"/>
    </row>
    <row r="114" spans="21:21" x14ac:dyDescent="0.25">
      <c r="U114" s="72"/>
    </row>
    <row r="115" spans="21:21" x14ac:dyDescent="0.25">
      <c r="U115" s="72"/>
    </row>
    <row r="116" spans="21:21" x14ac:dyDescent="0.25">
      <c r="U116" s="72"/>
    </row>
    <row r="117" spans="21:21" x14ac:dyDescent="0.25">
      <c r="U117" s="72"/>
    </row>
    <row r="133" spans="3:15" x14ac:dyDescent="0.25">
      <c r="O133" s="41"/>
    </row>
    <row r="134" spans="3:15" x14ac:dyDescent="0.25">
      <c r="C134" s="41"/>
      <c r="D134" s="41"/>
      <c r="O134" s="41"/>
    </row>
    <row r="135" spans="3:15" x14ac:dyDescent="0.25">
      <c r="C135" s="43"/>
      <c r="D135" s="55"/>
      <c r="E135" s="60"/>
      <c r="O135" s="41"/>
    </row>
    <row r="136" spans="3:15" x14ac:dyDescent="0.25">
      <c r="C136" s="43"/>
      <c r="D136" s="55"/>
      <c r="E136" s="60"/>
      <c r="O136" s="41"/>
    </row>
    <row r="137" spans="3:15" x14ac:dyDescent="0.25">
      <c r="C137" s="43"/>
      <c r="D137" s="55"/>
      <c r="E137" s="60"/>
      <c r="O137" s="41"/>
    </row>
  </sheetData>
  <mergeCells count="5">
    <mergeCell ref="D4:G5"/>
    <mergeCell ref="J4:K5"/>
    <mergeCell ref="Q4:T5"/>
    <mergeCell ref="E7:F7"/>
    <mergeCell ref="R7:S7"/>
  </mergeCells>
  <pageMargins left="0.75" right="0.75" top="1" bottom="1" header="0.5" footer="0.5"/>
  <pageSetup scale="57" orientation="landscape" r:id="rId1"/>
  <headerFooter alignWithMargins="0">
    <oddFooter>&amp;RExhibit JW-9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141"/>
  <sheetViews>
    <sheetView tabSelected="1" view="pageBreakPreview" zoomScale="75" zoomScaleNormal="85" zoomScaleSheetLayoutView="75" workbookViewId="0">
      <selection activeCell="C63" sqref="C63:G63"/>
    </sheetView>
  </sheetViews>
  <sheetFormatPr defaultColWidth="9.140625"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9" width="14" style="2" customWidth="1"/>
    <col min="10" max="10" width="13.85546875" style="2" customWidth="1"/>
    <col min="11" max="11" width="14.42578125" style="2" customWidth="1"/>
    <col min="12" max="12" width="2" style="2" customWidth="1"/>
    <col min="13" max="13" width="2.85546875" style="2" customWidth="1"/>
    <col min="14" max="14" width="9.85546875" style="2" customWidth="1"/>
    <col min="15" max="15" width="18.28515625" style="2" customWidth="1"/>
    <col min="16" max="16" width="3.42578125" style="2" customWidth="1"/>
    <col min="17" max="17" width="12.7109375" style="2" bestFit="1" customWidth="1"/>
    <col min="18" max="18" width="14.5703125" style="2" bestFit="1" customWidth="1"/>
    <col min="19" max="19" width="4.28515625" style="2" customWidth="1"/>
    <col min="20" max="20" width="15.5703125" style="2" customWidth="1"/>
    <col min="21" max="21" width="14.28515625" style="2" customWidth="1"/>
    <col min="22" max="16384" width="9.140625" style="2"/>
  </cols>
  <sheetData>
    <row r="1" spans="1:21" x14ac:dyDescent="0.25">
      <c r="A1" s="1" t="str">
        <f>'Present and Proposed Rates'!A1</f>
        <v>Cumberland Valley Electric</v>
      </c>
      <c r="O1" s="1"/>
    </row>
    <row r="2" spans="1:21" x14ac:dyDescent="0.25">
      <c r="A2" s="1" t="str">
        <f>List!B9</f>
        <v>Sch II - Small Commercial  Small Power</v>
      </c>
    </row>
    <row r="3" spans="1:21" ht="16.5" thickBot="1" x14ac:dyDescent="0.3">
      <c r="A3" s="69" t="str">
        <f>List!C9</f>
        <v>C2</v>
      </c>
    </row>
    <row r="4" spans="1:21" x14ac:dyDescent="0.25">
      <c r="D4" s="421" t="s">
        <v>30</v>
      </c>
      <c r="E4" s="422"/>
      <c r="F4" s="422"/>
      <c r="G4" s="423"/>
      <c r="H4" s="3"/>
      <c r="I4" s="3"/>
      <c r="J4" s="421" t="s">
        <v>102</v>
      </c>
      <c r="K4" s="423"/>
      <c r="L4" s="127"/>
      <c r="M4" s="3"/>
      <c r="Q4" s="421" t="s">
        <v>87</v>
      </c>
      <c r="R4" s="422"/>
      <c r="S4" s="422"/>
      <c r="T4" s="423"/>
    </row>
    <row r="5" spans="1:21" ht="16.5" thickBot="1" x14ac:dyDescent="0.3">
      <c r="A5" s="44"/>
      <c r="B5" s="59"/>
      <c r="C5" s="3"/>
      <c r="D5" s="424"/>
      <c r="E5" s="425"/>
      <c r="F5" s="425"/>
      <c r="G5" s="426"/>
      <c r="H5" s="3"/>
      <c r="I5" s="3"/>
      <c r="J5" s="424"/>
      <c r="K5" s="426"/>
      <c r="L5" s="127"/>
      <c r="M5" s="3"/>
      <c r="N5" s="44"/>
      <c r="O5" s="59"/>
      <c r="P5" s="3"/>
      <c r="Q5" s="424"/>
      <c r="R5" s="425"/>
      <c r="S5" s="425"/>
      <c r="T5" s="426"/>
    </row>
    <row r="6" spans="1:21" x14ac:dyDescent="0.25">
      <c r="A6" s="4"/>
      <c r="B6" s="4"/>
      <c r="C6" s="4"/>
      <c r="D6" s="4" t="s">
        <v>1</v>
      </c>
      <c r="E6" s="4"/>
      <c r="F6" s="4"/>
      <c r="G6" s="4" t="s">
        <v>2</v>
      </c>
      <c r="H6" s="4"/>
      <c r="I6" s="4"/>
      <c r="J6" s="4"/>
      <c r="K6" s="4" t="s">
        <v>2</v>
      </c>
      <c r="L6" s="127"/>
      <c r="M6" s="4"/>
      <c r="N6" s="4"/>
      <c r="O6" s="4"/>
      <c r="P6" s="4"/>
      <c r="Q6" s="4" t="s">
        <v>1</v>
      </c>
      <c r="R6" s="4"/>
      <c r="S6" s="4"/>
      <c r="T6" s="4" t="s">
        <v>2</v>
      </c>
    </row>
    <row r="7" spans="1:21" ht="16.5" thickBot="1" x14ac:dyDescent="0.3">
      <c r="A7" s="5"/>
      <c r="B7" s="5"/>
      <c r="C7" s="5"/>
      <c r="D7" s="5" t="s">
        <v>4</v>
      </c>
      <c r="E7" s="425" t="s">
        <v>5</v>
      </c>
      <c r="F7" s="425"/>
      <c r="G7" s="5" t="s">
        <v>6</v>
      </c>
      <c r="H7" s="5"/>
      <c r="I7" s="5"/>
      <c r="J7" s="5" t="s">
        <v>5</v>
      </c>
      <c r="K7" s="5" t="s">
        <v>6</v>
      </c>
      <c r="L7" s="126"/>
      <c r="M7" s="5"/>
      <c r="N7" s="5"/>
      <c r="O7" s="5"/>
      <c r="P7" s="5"/>
      <c r="Q7" s="5" t="s">
        <v>4</v>
      </c>
      <c r="R7" s="425" t="s">
        <v>5</v>
      </c>
      <c r="S7" s="425"/>
      <c r="T7" s="5" t="s">
        <v>6</v>
      </c>
      <c r="U7" s="5" t="s">
        <v>439</v>
      </c>
    </row>
    <row r="8" spans="1:21" x14ac:dyDescent="0.25">
      <c r="L8" s="127"/>
    </row>
    <row r="9" spans="1:21" x14ac:dyDescent="0.25">
      <c r="L9" s="127"/>
    </row>
    <row r="10" spans="1:21" x14ac:dyDescent="0.25">
      <c r="A10" s="102" t="s">
        <v>10</v>
      </c>
      <c r="L10" s="127"/>
      <c r="N10" s="102" t="s">
        <v>10</v>
      </c>
    </row>
    <row r="11" spans="1:21" ht="31.5" x14ac:dyDescent="0.25">
      <c r="D11" s="139" t="s">
        <v>91</v>
      </c>
      <c r="E11" s="139" t="s">
        <v>92</v>
      </c>
      <c r="I11" s="139" t="s">
        <v>91</v>
      </c>
      <c r="J11" s="139" t="s">
        <v>92</v>
      </c>
      <c r="L11" s="127"/>
      <c r="Q11" s="139" t="s">
        <v>91</v>
      </c>
      <c r="R11" s="139" t="s">
        <v>92</v>
      </c>
    </row>
    <row r="12" spans="1:21" x14ac:dyDescent="0.25">
      <c r="B12" s="2" t="s">
        <v>101</v>
      </c>
      <c r="D12" s="8">
        <f>'Billing Determ'!C92</f>
        <v>2051</v>
      </c>
      <c r="E12" s="9">
        <f>'Present and Proposed Rates'!G16</f>
        <v>26.17</v>
      </c>
      <c r="G12" s="11">
        <f>D12*E12</f>
        <v>53674.670000000006</v>
      </c>
      <c r="H12" s="11"/>
      <c r="I12" s="8">
        <f>Q12</f>
        <v>2087</v>
      </c>
      <c r="J12" s="141">
        <f>'Present and Proposed Rates'!H16</f>
        <v>26.17</v>
      </c>
      <c r="K12" s="11">
        <f>J12*I12</f>
        <v>54616.79</v>
      </c>
      <c r="L12" s="128"/>
      <c r="M12" s="11"/>
      <c r="O12" s="2" t="s">
        <v>98</v>
      </c>
      <c r="Q12" s="8">
        <f>D12+3*12</f>
        <v>2087</v>
      </c>
      <c r="R12" s="9">
        <f>'Present and Proposed Rates'!I16</f>
        <v>33</v>
      </c>
      <c r="T12" s="11">
        <f>Q12*R12</f>
        <v>68871</v>
      </c>
      <c r="U12" s="287">
        <f>IF(K12=0,0,T12/K12-1)</f>
        <v>0.26098586167367221</v>
      </c>
    </row>
    <row r="13" spans="1:21" x14ac:dyDescent="0.25">
      <c r="D13" s="8"/>
      <c r="G13" s="11"/>
      <c r="H13" s="11"/>
      <c r="I13" s="8"/>
      <c r="J13" s="41"/>
      <c r="K13" s="11"/>
      <c r="L13" s="128"/>
      <c r="M13" s="11"/>
      <c r="Q13" s="8"/>
      <c r="T13" s="11"/>
      <c r="U13" s="11"/>
    </row>
    <row r="14" spans="1:21" x14ac:dyDescent="0.25">
      <c r="A14" s="1" t="s">
        <v>7</v>
      </c>
      <c r="D14" s="8"/>
      <c r="G14" s="11"/>
      <c r="H14" s="11"/>
      <c r="I14" s="38"/>
      <c r="J14" s="41"/>
      <c r="K14" s="11"/>
      <c r="L14" s="128"/>
      <c r="M14" s="11"/>
      <c r="N14" s="1" t="s">
        <v>7</v>
      </c>
      <c r="Q14" s="38"/>
      <c r="R14" s="41"/>
      <c r="T14" s="11"/>
      <c r="U14" s="11"/>
    </row>
    <row r="15" spans="1:21" x14ac:dyDescent="0.25">
      <c r="D15" s="117" t="s">
        <v>8</v>
      </c>
      <c r="E15" s="118" t="s">
        <v>11</v>
      </c>
      <c r="G15" s="11"/>
      <c r="H15" s="11"/>
      <c r="I15" s="117" t="s">
        <v>8</v>
      </c>
      <c r="J15" s="118" t="s">
        <v>11</v>
      </c>
      <c r="K15" s="11"/>
      <c r="L15" s="128"/>
      <c r="M15" s="11"/>
      <c r="Q15" s="117" t="s">
        <v>8</v>
      </c>
      <c r="R15" s="118" t="s">
        <v>11</v>
      </c>
      <c r="T15" s="11"/>
      <c r="U15" s="11"/>
    </row>
    <row r="16" spans="1:21" x14ac:dyDescent="0.25">
      <c r="B16" s="2" t="s">
        <v>147</v>
      </c>
      <c r="D16" s="8">
        <f>'Billing Determ'!E92</f>
        <v>3637124</v>
      </c>
      <c r="E16" s="18">
        <f>'Present and Proposed Rates'!G17</f>
        <v>9.1130000000000003E-2</v>
      </c>
      <c r="G16" s="11">
        <f>D16*E16</f>
        <v>331451.11012000003</v>
      </c>
      <c r="H16" s="11"/>
      <c r="I16" s="8">
        <f>Q16</f>
        <v>3637124</v>
      </c>
      <c r="J16" s="140">
        <f>'Present and Proposed Rates'!H17</f>
        <v>0.10292</v>
      </c>
      <c r="K16" s="11">
        <f>J16*I16</f>
        <v>374332.80207999999</v>
      </c>
      <c r="L16" s="128"/>
      <c r="M16" s="11"/>
      <c r="O16" s="2" t="s">
        <v>120</v>
      </c>
      <c r="Q16" s="8">
        <f>D16</f>
        <v>3637124</v>
      </c>
      <c r="R16" s="18">
        <f>'Present and Proposed Rates'!I17</f>
        <v>0.10144827268008384</v>
      </c>
      <c r="T16" s="11">
        <f>Q16*R16</f>
        <v>368979.94732327724</v>
      </c>
      <c r="U16" s="287">
        <f>IF(K16=0,0,T16/K16-1)</f>
        <v>-1.4299721336146098E-2</v>
      </c>
    </row>
    <row r="17" spans="1:22" x14ac:dyDescent="0.25">
      <c r="B17" s="2" t="s">
        <v>148</v>
      </c>
      <c r="D17" s="8">
        <f>'Billing Determ'!F92</f>
        <v>6102581</v>
      </c>
      <c r="E17" s="18">
        <f>'Present and Proposed Rates'!G18</f>
        <v>8.7389999999999995E-2</v>
      </c>
      <c r="G17" s="11">
        <f>D17*E17</f>
        <v>533304.55359000002</v>
      </c>
      <c r="H17" s="11"/>
      <c r="I17" s="8">
        <f>Q17</f>
        <v>6276311</v>
      </c>
      <c r="J17" s="140">
        <f>'Present and Proposed Rates'!H18</f>
        <v>9.9180000000000004E-2</v>
      </c>
      <c r="K17" s="11">
        <f>J17*I17</f>
        <v>622484.52497999999</v>
      </c>
      <c r="L17" s="128"/>
      <c r="M17" s="11"/>
      <c r="O17" s="2" t="s">
        <v>120</v>
      </c>
      <c r="Q17" s="8">
        <f>D17+173730</f>
        <v>6276311</v>
      </c>
      <c r="R17" s="18">
        <f>'Present and Proposed Rates'!I18</f>
        <v>9.7761753637881033E-2</v>
      </c>
      <c r="T17" s="11">
        <f>Q17*R17</f>
        <v>613583.16973672272</v>
      </c>
      <c r="U17" s="287">
        <f>IF(K17=0,0,T17/K17-1)</f>
        <v>-1.4299721336146098E-2</v>
      </c>
    </row>
    <row r="18" spans="1:22" x14ac:dyDescent="0.25">
      <c r="A18" s="1"/>
      <c r="D18" s="260">
        <f>SUM(D16:D17)</f>
        <v>9739705</v>
      </c>
      <c r="E18" s="280">
        <f>(E16*D16+E17*D17)/D18</f>
        <v>8.878663816922587E-2</v>
      </c>
      <c r="L18" s="127"/>
      <c r="U18" s="11"/>
    </row>
    <row r="19" spans="1:22" x14ac:dyDescent="0.25">
      <c r="A19" s="1"/>
      <c r="C19" s="132" t="s">
        <v>215</v>
      </c>
      <c r="D19" s="260">
        <f>D18/D12</f>
        <v>4748.7591418820084</v>
      </c>
      <c r="E19" s="280"/>
      <c r="L19" s="127"/>
      <c r="U19" s="11"/>
    </row>
    <row r="20" spans="1:22" x14ac:dyDescent="0.25">
      <c r="A20" s="1" t="s">
        <v>93</v>
      </c>
      <c r="D20" s="38"/>
      <c r="E20" s="140"/>
      <c r="G20" s="11"/>
      <c r="H20" s="11"/>
      <c r="I20" s="8"/>
      <c r="J20" s="140"/>
      <c r="K20" s="11"/>
      <c r="L20" s="128"/>
      <c r="M20" s="11"/>
      <c r="N20" s="1" t="s">
        <v>93</v>
      </c>
      <c r="Q20" s="8"/>
      <c r="R20" s="18"/>
      <c r="T20" s="11"/>
      <c r="U20" s="11"/>
    </row>
    <row r="21" spans="1:22" x14ac:dyDescent="0.25">
      <c r="A21" s="1"/>
      <c r="D21" s="117" t="s">
        <v>94</v>
      </c>
      <c r="E21" s="118" t="s">
        <v>95</v>
      </c>
      <c r="G21" s="11"/>
      <c r="H21" s="11"/>
      <c r="I21" s="117" t="s">
        <v>94</v>
      </c>
      <c r="J21" s="118" t="s">
        <v>95</v>
      </c>
      <c r="K21" s="11"/>
      <c r="L21" s="128"/>
      <c r="M21" s="11"/>
      <c r="N21" s="1"/>
      <c r="Q21" s="117" t="s">
        <v>94</v>
      </c>
      <c r="R21" s="118" t="s">
        <v>95</v>
      </c>
      <c r="T21" s="11"/>
      <c r="U21" s="11"/>
    </row>
    <row r="22" spans="1:22" x14ac:dyDescent="0.25">
      <c r="A22" s="1"/>
      <c r="B22" s="2" t="s">
        <v>121</v>
      </c>
      <c r="D22" s="8">
        <f>'Billing Determ'!I92/'C2'!E22</f>
        <v>37784.72082379862</v>
      </c>
      <c r="E22" s="74">
        <f>'Present and Proposed Rates'!G19</f>
        <v>4.37</v>
      </c>
      <c r="G22" s="11">
        <f>D22*E22</f>
        <v>165119.22999999998</v>
      </c>
      <c r="H22" s="11"/>
      <c r="I22" s="8">
        <f>Q22</f>
        <v>37784.72082379862</v>
      </c>
      <c r="J22" s="142">
        <f>'Present and Proposed Rates'!H19</f>
        <v>4.37</v>
      </c>
      <c r="K22" s="11">
        <f>J22*I22</f>
        <v>165119.22999999998</v>
      </c>
      <c r="L22" s="135"/>
      <c r="M22" s="11"/>
      <c r="N22" s="1"/>
      <c r="O22" s="2" t="s">
        <v>122</v>
      </c>
      <c r="Q22" s="8">
        <f>D22</f>
        <v>37784.72082379862</v>
      </c>
      <c r="R22" s="74">
        <f>'Present and Proposed Rates'!I19</f>
        <v>4.37</v>
      </c>
      <c r="T22" s="11">
        <f>Q22*R22</f>
        <v>165119.22999999998</v>
      </c>
      <c r="U22" s="1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35"/>
      <c r="M23" s="1"/>
      <c r="N23" s="1"/>
      <c r="O23" s="1"/>
      <c r="P23" s="1"/>
      <c r="Q23" s="1"/>
      <c r="R23" s="1"/>
      <c r="S23" s="1"/>
      <c r="T23" s="1"/>
      <c r="U23" s="11"/>
      <c r="V23" s="1"/>
    </row>
    <row r="24" spans="1:22" x14ac:dyDescent="0.25">
      <c r="A24" s="1" t="s">
        <v>96</v>
      </c>
      <c r="B24" s="1"/>
      <c r="C24" s="16"/>
      <c r="D24" s="8"/>
      <c r="E24" s="18"/>
      <c r="G24" s="11"/>
      <c r="H24" s="11"/>
      <c r="I24" s="11"/>
      <c r="J24" s="11"/>
      <c r="K24" s="11"/>
      <c r="L24" s="128"/>
      <c r="M24" s="11"/>
      <c r="N24" s="1" t="s">
        <v>96</v>
      </c>
      <c r="O24" s="1"/>
      <c r="P24" s="16"/>
      <c r="Q24" s="8"/>
      <c r="R24" s="18"/>
      <c r="T24" s="11"/>
      <c r="U24" s="11"/>
    </row>
    <row r="25" spans="1:22" x14ac:dyDescent="0.25">
      <c r="A25" s="1"/>
      <c r="B25" s="2" t="s">
        <v>90</v>
      </c>
      <c r="C25" s="16"/>
      <c r="D25" s="8"/>
      <c r="E25" s="18"/>
      <c r="G25" s="11">
        <f>'Billing Determ'!L92</f>
        <v>112603.20000000001</v>
      </c>
      <c r="H25" s="11"/>
      <c r="I25" s="11"/>
      <c r="J25" s="11"/>
      <c r="K25" s="11">
        <f>G25-D18*'Present and Proposed Rates'!I56</f>
        <v>-2227.921949999989</v>
      </c>
      <c r="L25" s="128"/>
      <c r="M25" s="11"/>
      <c r="N25" s="1"/>
      <c r="O25" s="2" t="s">
        <v>90</v>
      </c>
      <c r="P25" s="16"/>
      <c r="Q25" s="8"/>
      <c r="R25" s="18"/>
      <c r="T25" s="11">
        <f>K25</f>
        <v>-2227.921949999989</v>
      </c>
      <c r="U25" s="11"/>
    </row>
    <row r="26" spans="1:22" x14ac:dyDescent="0.25">
      <c r="A26" s="1"/>
      <c r="B26" s="2" t="s">
        <v>97</v>
      </c>
      <c r="C26" s="16"/>
      <c r="D26" s="8"/>
      <c r="E26" s="18"/>
      <c r="G26" s="11">
        <f>'Billing Determ'!N92</f>
        <v>139601.16</v>
      </c>
      <c r="H26" s="11"/>
      <c r="I26" s="11"/>
      <c r="J26" s="11"/>
      <c r="K26" s="11">
        <f>G26</f>
        <v>139601.16</v>
      </c>
      <c r="L26" s="128"/>
      <c r="M26" s="11"/>
      <c r="N26" s="1"/>
      <c r="O26" s="2" t="s">
        <v>97</v>
      </c>
      <c r="P26" s="16"/>
      <c r="Q26" s="8"/>
      <c r="R26" s="18"/>
      <c r="T26" s="11">
        <f t="shared" ref="T26:T27" si="0">K26</f>
        <v>139601.16</v>
      </c>
      <c r="U26" s="11"/>
    </row>
    <row r="27" spans="1:22" x14ac:dyDescent="0.25">
      <c r="B27" s="2" t="s">
        <v>204</v>
      </c>
      <c r="D27" s="8"/>
      <c r="E27" s="18"/>
      <c r="G27" s="39">
        <f>'Billing Determ'!K92</f>
        <v>18476.95</v>
      </c>
      <c r="H27" s="39"/>
      <c r="I27" s="39"/>
      <c r="J27" s="39"/>
      <c r="K27" s="39">
        <f>G27</f>
        <v>18476.95</v>
      </c>
      <c r="L27" s="128"/>
      <c r="M27" s="39"/>
      <c r="N27" s="102"/>
      <c r="O27" s="2" t="str">
        <f>B27</f>
        <v>Min Bill</v>
      </c>
      <c r="T27" s="11">
        <f t="shared" si="0"/>
        <v>18476.95</v>
      </c>
      <c r="U27" s="11"/>
    </row>
    <row r="28" spans="1:22" x14ac:dyDescent="0.25">
      <c r="D28" s="8"/>
      <c r="E28" s="18"/>
      <c r="G28" s="39"/>
      <c r="H28" s="39"/>
      <c r="I28" s="39"/>
      <c r="J28" s="39"/>
      <c r="K28" s="39"/>
      <c r="L28" s="128"/>
      <c r="M28" s="39"/>
      <c r="N28" s="102"/>
      <c r="T28" s="11"/>
      <c r="U28" s="11"/>
    </row>
    <row r="29" spans="1:22" x14ac:dyDescent="0.25">
      <c r="A29" s="1"/>
      <c r="D29" s="25"/>
      <c r="G29" s="11"/>
      <c r="H29" s="11"/>
      <c r="I29" s="11"/>
      <c r="J29" s="11"/>
      <c r="K29" s="11"/>
      <c r="L29" s="128"/>
      <c r="M29" s="11"/>
      <c r="N29" s="1"/>
      <c r="T29" s="11"/>
      <c r="U29" s="11"/>
    </row>
    <row r="30" spans="1:22" ht="16.5" thickBot="1" x14ac:dyDescent="0.3">
      <c r="A30" s="1" t="s">
        <v>79</v>
      </c>
      <c r="G30" s="24">
        <f>SUM(G12:G28)</f>
        <v>1354230.8737099997</v>
      </c>
      <c r="H30" s="11"/>
      <c r="I30" s="11"/>
      <c r="J30" s="11"/>
      <c r="K30" s="24">
        <f>SUM(K12:K28)</f>
        <v>1372403.5351100001</v>
      </c>
      <c r="L30" s="128"/>
      <c r="M30" s="11"/>
      <c r="N30" s="1" t="s">
        <v>79</v>
      </c>
      <c r="T30" s="24">
        <f>SUM(T12:T28)</f>
        <v>1372403.5351100001</v>
      </c>
      <c r="U30" s="11"/>
    </row>
    <row r="31" spans="1:22" ht="16.5" thickTop="1" x14ac:dyDescent="0.25">
      <c r="A31" s="1"/>
      <c r="B31" s="1"/>
      <c r="G31" s="11"/>
      <c r="H31" s="11"/>
      <c r="I31" s="11"/>
      <c r="J31" s="11"/>
      <c r="K31" s="11"/>
      <c r="L31" s="128"/>
      <c r="M31" s="11"/>
      <c r="N31" s="1"/>
      <c r="O31" s="1"/>
      <c r="T31" s="11"/>
    </row>
    <row r="32" spans="1:22" x14ac:dyDescent="0.25">
      <c r="A32" s="1" t="s">
        <v>19</v>
      </c>
      <c r="B32" s="10"/>
      <c r="G32" s="11">
        <f>'Billing Determ'!G92+'Billing Determ'!I92+'Billing Determ'!J92+'Billing Determ'!O92*0+SUM('Billing Determ'!L80:L91)</f>
        <v>1357876.44</v>
      </c>
      <c r="H32" s="11"/>
      <c r="I32" s="11"/>
      <c r="J32" s="11"/>
      <c r="K32" s="11"/>
      <c r="L32" s="129"/>
      <c r="M32" s="11"/>
      <c r="N32" s="1" t="s">
        <v>103</v>
      </c>
      <c r="O32" s="10"/>
      <c r="T32" s="31">
        <f>T30-K30</f>
        <v>0</v>
      </c>
    </row>
    <row r="33" spans="1:20" x14ac:dyDescent="0.25">
      <c r="A33" s="10"/>
      <c r="B33" s="10"/>
      <c r="G33" s="10"/>
      <c r="H33" s="10"/>
      <c r="I33" s="10"/>
      <c r="J33" s="10"/>
      <c r="K33" s="10"/>
      <c r="L33" s="130"/>
      <c r="M33" s="10"/>
      <c r="O33" s="10"/>
      <c r="T33" s="10"/>
    </row>
    <row r="34" spans="1:20" x14ac:dyDescent="0.25">
      <c r="A34" s="1" t="s">
        <v>13</v>
      </c>
      <c r="B34" s="10"/>
      <c r="G34" s="22">
        <f>G30-G32</f>
        <v>-3645.5662900002208</v>
      </c>
      <c r="H34" s="22"/>
      <c r="I34" s="22"/>
      <c r="J34" s="22"/>
      <c r="K34" s="22">
        <f>K30-G30</f>
        <v>18172.661400000332</v>
      </c>
      <c r="L34" s="128"/>
      <c r="M34" s="22"/>
      <c r="N34" s="1" t="s">
        <v>104</v>
      </c>
      <c r="O34" s="10"/>
      <c r="T34" s="98">
        <f>T32/K30</f>
        <v>0</v>
      </c>
    </row>
    <row r="35" spans="1:20" x14ac:dyDescent="0.25">
      <c r="A35" s="10"/>
      <c r="B35" s="10"/>
      <c r="G35" s="11"/>
      <c r="H35" s="11"/>
      <c r="I35" s="11"/>
      <c r="J35" s="11"/>
      <c r="K35" s="11"/>
      <c r="L35" s="131"/>
      <c r="M35" s="11"/>
      <c r="O35" s="10"/>
      <c r="T35" s="11"/>
    </row>
    <row r="36" spans="1:20" x14ac:dyDescent="0.25">
      <c r="A36" s="1" t="s">
        <v>26</v>
      </c>
      <c r="B36" s="10"/>
      <c r="G36" s="23">
        <f>G34/G32</f>
        <v>-2.6847555363728242E-3</v>
      </c>
      <c r="H36" s="23"/>
      <c r="I36" s="23"/>
      <c r="J36" s="23"/>
      <c r="K36" s="23">
        <f>K34/G32</f>
        <v>1.3383148027813438E-2</v>
      </c>
      <c r="L36" s="128"/>
      <c r="M36" s="23"/>
      <c r="N36" s="1" t="s">
        <v>84</v>
      </c>
      <c r="O36" s="10"/>
      <c r="T36" s="39">
        <f>T32/Q12</f>
        <v>0</v>
      </c>
    </row>
    <row r="37" spans="1:20" x14ac:dyDescent="0.25">
      <c r="A37" s="1"/>
      <c r="B37" s="10"/>
      <c r="G37" s="23"/>
      <c r="H37" s="23"/>
      <c r="I37" s="23"/>
      <c r="J37" s="23"/>
      <c r="K37" s="23"/>
      <c r="L37" s="23"/>
      <c r="M37" s="23"/>
      <c r="N37" s="1"/>
      <c r="O37" s="10"/>
      <c r="T37" s="23"/>
    </row>
    <row r="38" spans="1:20" x14ac:dyDescent="0.25">
      <c r="A38" s="1"/>
      <c r="B38" s="10"/>
      <c r="G38" s="138">
        <f>G12+G16+G17+G22</f>
        <v>1083549.5637099999</v>
      </c>
      <c r="H38" s="23"/>
      <c r="I38" s="23"/>
      <c r="J38" s="23"/>
      <c r="K38" s="138"/>
      <c r="L38" s="23"/>
      <c r="M38" s="23"/>
      <c r="N38" s="1"/>
      <c r="O38" s="10"/>
      <c r="T38" s="23"/>
    </row>
    <row r="39" spans="1:20" x14ac:dyDescent="0.25">
      <c r="A39" s="1"/>
      <c r="B39" s="10"/>
      <c r="G39" s="138"/>
      <c r="H39" s="23"/>
      <c r="I39" s="23"/>
      <c r="J39" s="23"/>
      <c r="K39" s="23"/>
      <c r="L39" s="23"/>
      <c r="M39" s="23"/>
      <c r="N39" s="1"/>
      <c r="O39" s="10"/>
      <c r="T39" s="23"/>
    </row>
    <row r="40" spans="1:20" x14ac:dyDescent="0.25">
      <c r="A40" s="1"/>
      <c r="B40" s="10"/>
      <c r="G40" s="138"/>
      <c r="H40" s="23"/>
      <c r="I40" s="23"/>
      <c r="J40" s="23"/>
      <c r="K40" s="23"/>
      <c r="L40" s="23"/>
      <c r="M40" s="23"/>
      <c r="N40" s="1"/>
      <c r="O40" s="10"/>
      <c r="T40" s="23"/>
    </row>
    <row r="41" spans="1:20" x14ac:dyDescent="0.25">
      <c r="A41" s="1"/>
      <c r="B41" s="10"/>
      <c r="G41" s="34"/>
      <c r="H41" s="23"/>
      <c r="I41" s="23"/>
      <c r="J41" s="23"/>
      <c r="K41" s="23"/>
      <c r="L41" s="23"/>
      <c r="M41" s="23"/>
      <c r="N41" s="1"/>
      <c r="O41" s="10"/>
      <c r="T41" s="23"/>
    </row>
    <row r="42" spans="1:20" x14ac:dyDescent="0.25">
      <c r="A42" s="1"/>
      <c r="B42" s="10"/>
      <c r="G42" s="23"/>
      <c r="H42" s="23"/>
      <c r="I42" s="23"/>
      <c r="J42" s="23"/>
      <c r="K42" s="23"/>
      <c r="L42" s="23"/>
      <c r="M42" s="23"/>
      <c r="N42" s="1"/>
      <c r="O42" s="10"/>
      <c r="T42" s="23"/>
    </row>
    <row r="43" spans="1:20" ht="18.75" customHeight="1" x14ac:dyDescent="0.25">
      <c r="A43" s="1"/>
      <c r="B43" s="11"/>
      <c r="G43" s="23"/>
      <c r="H43" s="23"/>
      <c r="I43" s="23"/>
      <c r="J43" s="23"/>
      <c r="K43" s="23"/>
      <c r="L43" s="23"/>
      <c r="M43" s="23"/>
    </row>
    <row r="44" spans="1:20" x14ac:dyDescent="0.25">
      <c r="E44" s="11"/>
    </row>
    <row r="58" ht="16.5" customHeight="1" x14ac:dyDescent="0.25"/>
    <row r="91" ht="15" customHeight="1" x14ac:dyDescent="0.25"/>
    <row r="137" spans="3:15" x14ac:dyDescent="0.25">
      <c r="O137" s="41"/>
    </row>
    <row r="138" spans="3:15" x14ac:dyDescent="0.25">
      <c r="C138" s="41"/>
      <c r="D138" s="41"/>
      <c r="O138" s="41"/>
    </row>
    <row r="139" spans="3:15" x14ac:dyDescent="0.25">
      <c r="C139" s="43"/>
      <c r="D139" s="55"/>
      <c r="E139" s="60"/>
      <c r="O139" s="41"/>
    </row>
    <row r="140" spans="3:15" x14ac:dyDescent="0.25">
      <c r="C140" s="43"/>
      <c r="D140" s="55"/>
      <c r="E140" s="60"/>
      <c r="O140" s="41"/>
    </row>
    <row r="141" spans="3:15" x14ac:dyDescent="0.25">
      <c r="C141" s="43"/>
      <c r="D141" s="55"/>
      <c r="E141" s="60"/>
      <c r="O141" s="41"/>
    </row>
  </sheetData>
  <mergeCells count="5">
    <mergeCell ref="D4:G5"/>
    <mergeCell ref="J4:K5"/>
    <mergeCell ref="Q4:T5"/>
    <mergeCell ref="E7:F7"/>
    <mergeCell ref="R7:S7"/>
  </mergeCells>
  <pageMargins left="0.75" right="0.75" top="1" bottom="1" header="0.5" footer="0.5"/>
  <pageSetup scale="58" orientation="landscape" r:id="rId1"/>
  <headerFooter alignWithMargins="0">
    <oddFooter>&amp;RExhibit JW-9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138"/>
  <sheetViews>
    <sheetView tabSelected="1" view="pageBreakPreview" zoomScale="75" zoomScaleNormal="85" zoomScaleSheetLayoutView="75" workbookViewId="0">
      <selection activeCell="C63" sqref="C63:G63"/>
    </sheetView>
  </sheetViews>
  <sheetFormatPr defaultColWidth="9.140625"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9" width="17.28515625" style="2" customWidth="1"/>
    <col min="10" max="10" width="13.85546875" style="2" customWidth="1"/>
    <col min="11" max="11" width="14.42578125" style="2" customWidth="1"/>
    <col min="12" max="12" width="2" style="2" customWidth="1"/>
    <col min="13" max="13" width="2.85546875" style="2" customWidth="1"/>
    <col min="14" max="14" width="9.85546875" style="2" customWidth="1"/>
    <col min="15" max="15" width="18.28515625" style="2" customWidth="1"/>
    <col min="16" max="16" width="3.42578125" style="2" customWidth="1"/>
    <col min="17" max="17" width="12.7109375" style="2" bestFit="1" customWidth="1"/>
    <col min="18" max="18" width="14.5703125" style="2" bestFit="1" customWidth="1"/>
    <col min="19" max="19" width="4.28515625" style="2" customWidth="1"/>
    <col min="20" max="20" width="15.5703125" style="2" customWidth="1"/>
    <col min="21" max="21" width="12.42578125" style="2" customWidth="1"/>
    <col min="22" max="16384" width="9.140625" style="2"/>
  </cols>
  <sheetData>
    <row r="1" spans="1:21" x14ac:dyDescent="0.25">
      <c r="A1" s="1" t="str">
        <f>'Present and Proposed Rates'!A1</f>
        <v>Cumberland Valley Electric</v>
      </c>
      <c r="O1" s="1"/>
    </row>
    <row r="2" spans="1:21" x14ac:dyDescent="0.25">
      <c r="A2" s="1" t="str">
        <f>List!B10</f>
        <v>Sch VII - Inclining Block Rate</v>
      </c>
    </row>
    <row r="3" spans="1:21" ht="16.5" thickBot="1" x14ac:dyDescent="0.3">
      <c r="A3" s="69" t="str">
        <f>List!C10</f>
        <v>IB</v>
      </c>
    </row>
    <row r="4" spans="1:21" x14ac:dyDescent="0.25">
      <c r="D4" s="421" t="s">
        <v>30</v>
      </c>
      <c r="E4" s="422"/>
      <c r="F4" s="422"/>
      <c r="G4" s="423"/>
      <c r="H4" s="3"/>
      <c r="I4" s="3"/>
      <c r="J4" s="421" t="s">
        <v>102</v>
      </c>
      <c r="K4" s="423"/>
      <c r="L4" s="127"/>
      <c r="M4" s="3"/>
      <c r="Q4" s="421" t="s">
        <v>87</v>
      </c>
      <c r="R4" s="422"/>
      <c r="S4" s="422"/>
      <c r="T4" s="423"/>
    </row>
    <row r="5" spans="1:21" ht="16.5" thickBot="1" x14ac:dyDescent="0.3">
      <c r="A5" s="44"/>
      <c r="B5" s="59"/>
      <c r="C5" s="3"/>
      <c r="D5" s="424"/>
      <c r="E5" s="425"/>
      <c r="F5" s="425"/>
      <c r="G5" s="426"/>
      <c r="H5" s="3"/>
      <c r="I5" s="3"/>
      <c r="J5" s="424"/>
      <c r="K5" s="426"/>
      <c r="L5" s="127"/>
      <c r="M5" s="3"/>
      <c r="N5" s="44"/>
      <c r="O5" s="59"/>
      <c r="P5" s="3"/>
      <c r="Q5" s="424"/>
      <c r="R5" s="425"/>
      <c r="S5" s="425"/>
      <c r="T5" s="426"/>
    </row>
    <row r="6" spans="1:21" x14ac:dyDescent="0.25">
      <c r="A6" s="4"/>
      <c r="B6" s="4"/>
      <c r="C6" s="4"/>
      <c r="D6" s="4" t="s">
        <v>1</v>
      </c>
      <c r="E6" s="4"/>
      <c r="F6" s="4"/>
      <c r="G6" s="4" t="s">
        <v>2</v>
      </c>
      <c r="H6" s="4"/>
      <c r="I6" s="4"/>
      <c r="J6" s="4"/>
      <c r="K6" s="4" t="s">
        <v>2</v>
      </c>
      <c r="L6" s="127"/>
      <c r="M6" s="4"/>
      <c r="N6" s="4"/>
      <c r="O6" s="4"/>
      <c r="P6" s="4"/>
      <c r="Q6" s="4" t="s">
        <v>1</v>
      </c>
      <c r="R6" s="4"/>
      <c r="S6" s="4"/>
      <c r="T6" s="4" t="s">
        <v>2</v>
      </c>
    </row>
    <row r="7" spans="1:21" ht="16.5" thickBot="1" x14ac:dyDescent="0.3">
      <c r="A7" s="5"/>
      <c r="B7" s="5"/>
      <c r="C7" s="5"/>
      <c r="D7" s="5" t="s">
        <v>4</v>
      </c>
      <c r="E7" s="425" t="s">
        <v>5</v>
      </c>
      <c r="F7" s="425"/>
      <c r="G7" s="5" t="s">
        <v>6</v>
      </c>
      <c r="H7" s="5"/>
      <c r="I7" s="5"/>
      <c r="J7" s="5" t="s">
        <v>5</v>
      </c>
      <c r="K7" s="5" t="s">
        <v>6</v>
      </c>
      <c r="L7" s="126"/>
      <c r="M7" s="5"/>
      <c r="N7" s="5"/>
      <c r="O7" s="5"/>
      <c r="P7" s="5"/>
      <c r="Q7" s="5" t="s">
        <v>4</v>
      </c>
      <c r="R7" s="425" t="s">
        <v>5</v>
      </c>
      <c r="S7" s="425"/>
      <c r="T7" s="5" t="s">
        <v>6</v>
      </c>
      <c r="U7" s="5" t="s">
        <v>58</v>
      </c>
    </row>
    <row r="8" spans="1:21" x14ac:dyDescent="0.25">
      <c r="L8" s="127"/>
    </row>
    <row r="9" spans="1:21" x14ac:dyDescent="0.25">
      <c r="L9" s="127"/>
    </row>
    <row r="10" spans="1:21" x14ac:dyDescent="0.25">
      <c r="A10" s="102" t="s">
        <v>10</v>
      </c>
      <c r="L10" s="127"/>
      <c r="N10" s="102" t="s">
        <v>10</v>
      </c>
    </row>
    <row r="11" spans="1:21" ht="31.5" x14ac:dyDescent="0.25">
      <c r="D11" s="139" t="s">
        <v>91</v>
      </c>
      <c r="E11" s="139" t="s">
        <v>92</v>
      </c>
      <c r="I11" s="139" t="s">
        <v>91</v>
      </c>
      <c r="J11" s="139" t="s">
        <v>92</v>
      </c>
      <c r="L11" s="127"/>
      <c r="Q11" s="139" t="s">
        <v>91</v>
      </c>
      <c r="R11" s="139" t="s">
        <v>92</v>
      </c>
      <c r="U11" s="287"/>
    </row>
    <row r="12" spans="1:21" x14ac:dyDescent="0.25">
      <c r="B12" s="2" t="s">
        <v>101</v>
      </c>
      <c r="D12" s="8">
        <f>'Billing Determ'!C110</f>
        <v>2309</v>
      </c>
      <c r="E12" s="9">
        <f>'Present and Proposed Rates'!G20</f>
        <v>10.26</v>
      </c>
      <c r="G12" s="11">
        <f>D12*E12</f>
        <v>23690.34</v>
      </c>
      <c r="H12" s="11"/>
      <c r="I12" s="8">
        <f>Q12</f>
        <v>2333</v>
      </c>
      <c r="J12" s="141">
        <f>'Present and Proposed Rates'!H20</f>
        <v>10.26</v>
      </c>
      <c r="K12" s="11">
        <f>J12*I12</f>
        <v>23936.579999999998</v>
      </c>
      <c r="L12" s="128"/>
      <c r="M12" s="11"/>
      <c r="O12" s="2" t="s">
        <v>98</v>
      </c>
      <c r="Q12" s="8">
        <f>D12+2*12</f>
        <v>2333</v>
      </c>
      <c r="R12" s="9">
        <f>'Present and Proposed Rates'!I20</f>
        <v>17.64</v>
      </c>
      <c r="T12" s="11">
        <f>Q12*R12</f>
        <v>41154.120000000003</v>
      </c>
      <c r="U12" s="287">
        <f>IF(K12=0,0,T12/K12-1)</f>
        <v>0.71929824561403533</v>
      </c>
    </row>
    <row r="13" spans="1:21" x14ac:dyDescent="0.25">
      <c r="D13" s="8"/>
      <c r="G13" s="11"/>
      <c r="H13" s="11"/>
      <c r="I13" s="8"/>
      <c r="J13" s="41"/>
      <c r="K13" s="11"/>
      <c r="L13" s="128"/>
      <c r="M13" s="11"/>
      <c r="Q13" s="8"/>
      <c r="T13" s="11"/>
    </row>
    <row r="14" spans="1:21" x14ac:dyDescent="0.25">
      <c r="A14" s="1" t="s">
        <v>7</v>
      </c>
      <c r="D14" s="8"/>
      <c r="G14" s="11"/>
      <c r="H14" s="11"/>
      <c r="I14" s="38"/>
      <c r="J14" s="41"/>
      <c r="K14" s="11"/>
      <c r="L14" s="128"/>
      <c r="M14" s="11"/>
      <c r="N14" s="1" t="s">
        <v>7</v>
      </c>
      <c r="Q14" s="38"/>
      <c r="R14" s="41"/>
      <c r="T14" s="11"/>
    </row>
    <row r="15" spans="1:21" x14ac:dyDescent="0.25">
      <c r="D15" s="117" t="s">
        <v>8</v>
      </c>
      <c r="E15" s="118" t="s">
        <v>11</v>
      </c>
      <c r="G15" s="11"/>
      <c r="H15" s="11"/>
      <c r="I15" s="117" t="s">
        <v>8</v>
      </c>
      <c r="J15" s="118" t="s">
        <v>11</v>
      </c>
      <c r="K15" s="11"/>
      <c r="L15" s="128"/>
      <c r="M15" s="11"/>
      <c r="Q15" s="117" t="s">
        <v>8</v>
      </c>
      <c r="R15" s="118" t="s">
        <v>11</v>
      </c>
      <c r="T15" s="11"/>
      <c r="U15" s="287"/>
    </row>
    <row r="16" spans="1:21" x14ac:dyDescent="0.25">
      <c r="B16" s="2" t="s">
        <v>147</v>
      </c>
      <c r="D16" s="8">
        <f>'Billing Determ'!E110</f>
        <v>371249</v>
      </c>
      <c r="E16" s="18">
        <f>'Present and Proposed Rates'!G21</f>
        <v>8.7419999999999998E-2</v>
      </c>
      <c r="G16" s="11">
        <f>D16*E16</f>
        <v>32454.587579999999</v>
      </c>
      <c r="H16" s="11"/>
      <c r="I16" s="8">
        <f>Q16</f>
        <v>371249</v>
      </c>
      <c r="J16" s="140">
        <f>'Present and Proposed Rates'!H21</f>
        <v>9.9210000000000007E-2</v>
      </c>
      <c r="K16" s="11">
        <f>J16*I16</f>
        <v>36831.613290000001</v>
      </c>
      <c r="L16" s="128"/>
      <c r="M16" s="11"/>
      <c r="O16" s="2" t="s">
        <v>120</v>
      </c>
      <c r="Q16" s="8">
        <f>D16</f>
        <v>371249</v>
      </c>
      <c r="R16" s="18">
        <f>'Present and Proposed Rates'!I21</f>
        <v>9.9239999999999995E-2</v>
      </c>
      <c r="T16" s="11">
        <f>Q16*R16</f>
        <v>36842.750759999995</v>
      </c>
      <c r="U16" s="287">
        <f>IF(K16=0,0,T16/K16-1)</f>
        <v>3.0238887208944298E-4</v>
      </c>
    </row>
    <row r="17" spans="1:22" x14ac:dyDescent="0.25">
      <c r="B17" s="2" t="s">
        <v>148</v>
      </c>
      <c r="D17" s="8">
        <f>'Billing Determ'!F110</f>
        <v>280850</v>
      </c>
      <c r="E17" s="18">
        <f>'Present and Proposed Rates'!G22</f>
        <v>9.2600000000000002E-2</v>
      </c>
      <c r="G17" s="11">
        <f>D17*E17</f>
        <v>26006.71</v>
      </c>
      <c r="H17" s="11"/>
      <c r="I17" s="8">
        <f t="shared" ref="I17:I18" si="0">Q17</f>
        <v>281706</v>
      </c>
      <c r="J17" s="140">
        <f>'Present and Proposed Rates'!H22</f>
        <v>0.10439</v>
      </c>
      <c r="K17" s="11">
        <f>J17*I17</f>
        <v>29407.289339999999</v>
      </c>
      <c r="L17" s="128"/>
      <c r="M17" s="11"/>
      <c r="O17" s="2" t="s">
        <v>120</v>
      </c>
      <c r="Q17" s="8">
        <f>D17+856</f>
        <v>281706</v>
      </c>
      <c r="R17" s="18">
        <f>'Present and Proposed Rates'!I22</f>
        <v>0.10442</v>
      </c>
      <c r="T17" s="11">
        <f>Q17*R17</f>
        <v>29415.740519999999</v>
      </c>
      <c r="U17" s="287">
        <f>IF(K17=0,0,T17/K17-1)</f>
        <v>2.8738384902760039E-4</v>
      </c>
    </row>
    <row r="18" spans="1:22" x14ac:dyDescent="0.25">
      <c r="B18" s="2" t="s">
        <v>149</v>
      </c>
      <c r="D18" s="8">
        <f>'Billing Determ'!G110</f>
        <v>0</v>
      </c>
      <c r="E18" s="18">
        <f>'Present and Proposed Rates'!G23</f>
        <v>9.7790000000000002E-2</v>
      </c>
      <c r="G18" s="11">
        <f>D18*E18</f>
        <v>0</v>
      </c>
      <c r="H18" s="11"/>
      <c r="I18" s="8">
        <f t="shared" si="0"/>
        <v>0</v>
      </c>
      <c r="J18" s="140">
        <f>'Present and Proposed Rates'!H23</f>
        <v>0.10958</v>
      </c>
      <c r="K18" s="11">
        <f>J18*I18</f>
        <v>0</v>
      </c>
      <c r="L18" s="128"/>
      <c r="M18" s="11"/>
      <c r="O18" s="2" t="s">
        <v>120</v>
      </c>
      <c r="Q18" s="8">
        <f>D18</f>
        <v>0</v>
      </c>
      <c r="R18" s="18">
        <f>'Present and Proposed Rates'!I23</f>
        <v>0.10962</v>
      </c>
      <c r="T18" s="11">
        <f>Q18*R18</f>
        <v>0</v>
      </c>
      <c r="U18" s="287">
        <f>IF(K18=0,0,T18/K18-1)</f>
        <v>0</v>
      </c>
    </row>
    <row r="19" spans="1:22" x14ac:dyDescent="0.25">
      <c r="A19" s="1"/>
      <c r="D19" s="260">
        <f>SUM(D16:D17)</f>
        <v>652099</v>
      </c>
      <c r="E19" s="280">
        <f>(E16*D16+E17*D17)/D19</f>
        <v>8.9650954195605273E-2</v>
      </c>
      <c r="L19" s="127"/>
      <c r="U19" s="287"/>
    </row>
    <row r="20" spans="1:22" x14ac:dyDescent="0.25">
      <c r="A20" s="1"/>
      <c r="B20" s="1"/>
      <c r="C20" s="132" t="s">
        <v>215</v>
      </c>
      <c r="D20" s="260">
        <f>D19/D12</f>
        <v>282.41619748809006</v>
      </c>
      <c r="E20" s="1"/>
      <c r="F20" s="1"/>
      <c r="G20" s="1"/>
      <c r="H20" s="1"/>
      <c r="I20" s="1"/>
      <c r="J20" s="1"/>
      <c r="K20" s="11"/>
      <c r="L20" s="135"/>
      <c r="M20" s="1"/>
      <c r="N20" s="1"/>
      <c r="O20" s="1"/>
      <c r="P20" s="1"/>
      <c r="Q20" s="1"/>
      <c r="R20" s="1"/>
      <c r="S20" s="1"/>
      <c r="T20" s="1"/>
      <c r="U20" s="287"/>
      <c r="V20" s="1"/>
    </row>
    <row r="21" spans="1:22" x14ac:dyDescent="0.25">
      <c r="A21" s="1" t="s">
        <v>96</v>
      </c>
      <c r="B21" s="1"/>
      <c r="C21" s="16"/>
      <c r="D21" s="8"/>
      <c r="E21" s="18"/>
      <c r="G21" s="11"/>
      <c r="H21" s="11"/>
      <c r="I21" s="11"/>
      <c r="J21" s="11"/>
      <c r="K21" s="11"/>
      <c r="L21" s="128"/>
      <c r="M21" s="11"/>
      <c r="N21" s="1" t="s">
        <v>96</v>
      </c>
      <c r="O21" s="1"/>
      <c r="P21" s="16"/>
      <c r="Q21" s="8"/>
      <c r="R21" s="18"/>
      <c r="T21" s="11"/>
      <c r="U21" s="287"/>
    </row>
    <row r="22" spans="1:22" x14ac:dyDescent="0.25">
      <c r="A22" s="1"/>
      <c r="B22" s="2" t="s">
        <v>90</v>
      </c>
      <c r="C22" s="16"/>
      <c r="D22" s="8"/>
      <c r="E22" s="18"/>
      <c r="G22" s="11">
        <f>'Billing Determ'!L110</f>
        <v>8017.0499999999984</v>
      </c>
      <c r="H22" s="11"/>
      <c r="I22" s="11"/>
      <c r="J22" s="11"/>
      <c r="K22" s="11">
        <f>G22-D19*'Present and Proposed Rates'!I56</f>
        <v>328.80278999999791</v>
      </c>
      <c r="L22" s="128"/>
      <c r="M22" s="11"/>
      <c r="N22" s="1"/>
      <c r="O22" s="2" t="s">
        <v>90</v>
      </c>
      <c r="P22" s="16"/>
      <c r="Q22" s="8"/>
      <c r="R22" s="18"/>
      <c r="T22" s="11">
        <f>K22</f>
        <v>328.80278999999791</v>
      </c>
    </row>
    <row r="23" spans="1:22" x14ac:dyDescent="0.25">
      <c r="A23" s="1"/>
      <c r="B23" s="2" t="s">
        <v>97</v>
      </c>
      <c r="C23" s="16"/>
      <c r="D23" s="8"/>
      <c r="E23" s="18"/>
      <c r="G23" s="11">
        <f>'Billing Determ'!N110</f>
        <v>10280.749999999998</v>
      </c>
      <c r="H23" s="11"/>
      <c r="I23" s="11"/>
      <c r="J23" s="11"/>
      <c r="K23" s="11">
        <f>G23</f>
        <v>10280.749999999998</v>
      </c>
      <c r="L23" s="128"/>
      <c r="M23" s="11"/>
      <c r="N23" s="1"/>
      <c r="O23" s="2" t="s">
        <v>97</v>
      </c>
      <c r="P23" s="16"/>
      <c r="Q23" s="8"/>
      <c r="R23" s="18"/>
      <c r="T23" s="11">
        <f t="shared" ref="T23:T24" si="1">K23</f>
        <v>10280.749999999998</v>
      </c>
    </row>
    <row r="24" spans="1:22" x14ac:dyDescent="0.25">
      <c r="B24" s="2" t="s">
        <v>204</v>
      </c>
      <c r="D24" s="8"/>
      <c r="E24" s="18"/>
      <c r="G24" s="39">
        <f>'Billing Determ'!K110</f>
        <v>0</v>
      </c>
      <c r="H24" s="39"/>
      <c r="I24" s="39"/>
      <c r="J24" s="39"/>
      <c r="K24" s="39">
        <f>G24</f>
        <v>0</v>
      </c>
      <c r="L24" s="128"/>
      <c r="M24" s="39"/>
      <c r="N24" s="102"/>
      <c r="O24" s="2" t="str">
        <f>B24</f>
        <v>Min Bill</v>
      </c>
      <c r="T24" s="11">
        <f t="shared" si="1"/>
        <v>0</v>
      </c>
      <c r="U24" s="287"/>
    </row>
    <row r="25" spans="1:22" x14ac:dyDescent="0.25">
      <c r="D25" s="8"/>
      <c r="E25" s="18"/>
      <c r="G25" s="39"/>
      <c r="H25" s="39"/>
      <c r="I25" s="39"/>
      <c r="J25" s="39"/>
      <c r="K25" s="39"/>
      <c r="L25" s="128"/>
      <c r="M25" s="39"/>
      <c r="N25" s="102"/>
      <c r="T25" s="11"/>
    </row>
    <row r="26" spans="1:22" x14ac:dyDescent="0.25">
      <c r="A26" s="1"/>
      <c r="D26" s="25"/>
      <c r="G26" s="11"/>
      <c r="H26" s="11"/>
      <c r="I26" s="11"/>
      <c r="J26" s="11"/>
      <c r="K26" s="11"/>
      <c r="L26" s="128"/>
      <c r="M26" s="11"/>
      <c r="N26" s="1"/>
      <c r="T26" s="11"/>
    </row>
    <row r="27" spans="1:22" ht="16.5" thickBot="1" x14ac:dyDescent="0.3">
      <c r="A27" s="1" t="s">
        <v>79</v>
      </c>
      <c r="G27" s="24">
        <f>SUM(G12:G25)</f>
        <v>100449.43758000001</v>
      </c>
      <c r="H27" s="11"/>
      <c r="I27" s="11"/>
      <c r="J27" s="11"/>
      <c r="K27" s="24">
        <f>SUM(K12:K25)</f>
        <v>100785.03542</v>
      </c>
      <c r="L27" s="128"/>
      <c r="M27" s="11"/>
      <c r="N27" s="1" t="s">
        <v>79</v>
      </c>
      <c r="T27" s="24">
        <f>SUM(T12:T25)</f>
        <v>118022.16406999998</v>
      </c>
    </row>
    <row r="28" spans="1:22" ht="16.5" thickTop="1" x14ac:dyDescent="0.25">
      <c r="A28" s="1"/>
      <c r="B28" s="1"/>
      <c r="G28" s="11"/>
      <c r="H28" s="11"/>
      <c r="I28" s="11"/>
      <c r="J28" s="11"/>
      <c r="K28" s="11"/>
      <c r="L28" s="128"/>
      <c r="M28" s="11"/>
      <c r="N28" s="1"/>
      <c r="O28" s="1"/>
      <c r="T28" s="11"/>
    </row>
    <row r="29" spans="1:22" x14ac:dyDescent="0.25">
      <c r="A29" s="1" t="s">
        <v>19</v>
      </c>
      <c r="B29" s="10"/>
      <c r="G29" s="11">
        <f>'Billing Determ'!H110+'Billing Determ'!I110+'Billing Determ'!J110+'Billing Determ'!O110*0+SUM('Billing Determ'!L98:L109)</f>
        <v>103827.47</v>
      </c>
      <c r="H29" s="11"/>
      <c r="I29" s="11"/>
      <c r="J29" s="11"/>
      <c r="K29" s="11"/>
      <c r="L29" s="129"/>
      <c r="M29" s="11"/>
      <c r="N29" s="1" t="s">
        <v>103</v>
      </c>
      <c r="O29" s="10"/>
      <c r="T29" s="31">
        <f>T27-K27</f>
        <v>17237.128649999984</v>
      </c>
    </row>
    <row r="30" spans="1:22" x14ac:dyDescent="0.25">
      <c r="A30" s="10"/>
      <c r="B30" s="10"/>
      <c r="G30" s="10"/>
      <c r="H30" s="10"/>
      <c r="I30" s="10"/>
      <c r="J30" s="10"/>
      <c r="K30" s="10"/>
      <c r="L30" s="130"/>
      <c r="M30" s="10"/>
      <c r="O30" s="10"/>
      <c r="T30" s="10"/>
    </row>
    <row r="31" spans="1:22" x14ac:dyDescent="0.25">
      <c r="A31" s="1" t="s">
        <v>13</v>
      </c>
      <c r="B31" s="10"/>
      <c r="G31" s="22">
        <f>G27-G29</f>
        <v>-3378.0324199999886</v>
      </c>
      <c r="H31" s="22"/>
      <c r="I31" s="22"/>
      <c r="J31" s="22"/>
      <c r="K31" s="22">
        <f>K27-G27</f>
        <v>335.59783999998763</v>
      </c>
      <c r="L31" s="128"/>
      <c r="M31" s="22"/>
      <c r="N31" s="1" t="s">
        <v>104</v>
      </c>
      <c r="O31" s="10"/>
      <c r="T31" s="98">
        <f>T29/K27</f>
        <v>0.17102865101121362</v>
      </c>
    </row>
    <row r="32" spans="1:22" x14ac:dyDescent="0.25">
      <c r="A32" s="10"/>
      <c r="B32" s="10"/>
      <c r="G32" s="11"/>
      <c r="H32" s="11"/>
      <c r="I32" s="11"/>
      <c r="J32" s="11"/>
      <c r="K32" s="11"/>
      <c r="L32" s="131"/>
      <c r="M32" s="11"/>
      <c r="O32" s="10"/>
      <c r="T32" s="11"/>
    </row>
    <row r="33" spans="1:21" x14ac:dyDescent="0.25">
      <c r="A33" s="1" t="s">
        <v>26</v>
      </c>
      <c r="B33" s="10"/>
      <c r="G33" s="23">
        <f>G31/G29</f>
        <v>-3.2535054740330173E-2</v>
      </c>
      <c r="H33" s="23"/>
      <c r="I33" s="23"/>
      <c r="J33" s="23"/>
      <c r="K33" s="23">
        <f>K31/G29</f>
        <v>3.2322644479345171E-3</v>
      </c>
      <c r="L33" s="128"/>
      <c r="M33" s="23"/>
      <c r="N33" s="1" t="s">
        <v>84</v>
      </c>
      <c r="O33" s="10"/>
      <c r="T33" s="33">
        <f>T29/Q12</f>
        <v>7.3883963351907349</v>
      </c>
    </row>
    <row r="34" spans="1:21" x14ac:dyDescent="0.25">
      <c r="A34" s="1"/>
      <c r="B34" s="10"/>
      <c r="G34" s="23"/>
      <c r="H34" s="23"/>
      <c r="I34" s="23"/>
      <c r="J34" s="23"/>
      <c r="K34" s="23"/>
      <c r="L34" s="23"/>
      <c r="M34" s="23"/>
      <c r="N34" s="1"/>
      <c r="O34" s="10"/>
      <c r="T34" s="23"/>
    </row>
    <row r="35" spans="1:21" x14ac:dyDescent="0.25">
      <c r="A35" s="1"/>
      <c r="B35" s="10"/>
      <c r="G35" s="138"/>
      <c r="H35" s="23"/>
      <c r="I35" s="23"/>
      <c r="J35" s="23"/>
      <c r="K35" s="23"/>
      <c r="L35" s="23"/>
      <c r="M35" s="23"/>
      <c r="N35" s="1"/>
      <c r="O35" s="10"/>
      <c r="T35" s="23"/>
    </row>
    <row r="36" spans="1:21" x14ac:dyDescent="0.25">
      <c r="A36" s="1"/>
      <c r="B36" s="10"/>
      <c r="G36" s="138">
        <f>G12+G16+G17+G18</f>
        <v>82151.63758000001</v>
      </c>
      <c r="H36" s="23"/>
      <c r="I36" s="23"/>
      <c r="J36" s="23"/>
      <c r="K36" s="138"/>
      <c r="L36" s="23"/>
      <c r="M36" s="23"/>
      <c r="N36" s="1"/>
      <c r="O36" s="10"/>
      <c r="T36" s="23"/>
    </row>
    <row r="37" spans="1:21" x14ac:dyDescent="0.25">
      <c r="A37" s="1"/>
      <c r="B37" s="10"/>
      <c r="G37" s="138"/>
      <c r="H37" s="23"/>
      <c r="I37" s="23"/>
      <c r="J37" s="23"/>
      <c r="K37" s="23"/>
      <c r="L37" s="23"/>
      <c r="M37" s="23"/>
      <c r="N37" s="1"/>
      <c r="O37" s="10"/>
      <c r="T37" s="23"/>
    </row>
    <row r="38" spans="1:21" x14ac:dyDescent="0.25">
      <c r="A38" s="1"/>
      <c r="B38" s="10"/>
      <c r="G38" s="34"/>
      <c r="H38" s="23"/>
      <c r="I38" s="23"/>
      <c r="J38" s="23"/>
      <c r="K38" s="23"/>
      <c r="L38" s="23"/>
      <c r="M38" s="23"/>
      <c r="N38" s="1"/>
      <c r="O38" s="10"/>
      <c r="T38" s="23"/>
    </row>
    <row r="39" spans="1:21" x14ac:dyDescent="0.25">
      <c r="A39" s="1"/>
      <c r="B39" s="10"/>
      <c r="G39" s="23"/>
      <c r="H39" s="23"/>
      <c r="I39" s="23"/>
      <c r="J39" s="23"/>
      <c r="K39" s="23"/>
      <c r="L39" s="23"/>
      <c r="M39" s="23"/>
      <c r="N39" s="1"/>
      <c r="O39" s="10"/>
      <c r="T39" s="23"/>
    </row>
    <row r="40" spans="1:21" ht="18.75" customHeight="1" x14ac:dyDescent="0.25">
      <c r="A40" s="1"/>
      <c r="B40" s="11"/>
      <c r="G40" s="23"/>
      <c r="H40" s="23"/>
      <c r="I40" s="23"/>
      <c r="J40" s="23"/>
      <c r="K40" s="23"/>
      <c r="L40" s="23"/>
      <c r="M40" s="23"/>
    </row>
    <row r="41" spans="1:21" x14ac:dyDescent="0.25">
      <c r="E41" s="11"/>
    </row>
    <row r="43" spans="1:21" x14ac:dyDescent="0.25">
      <c r="U43" s="66"/>
    </row>
    <row r="44" spans="1:21" x14ac:dyDescent="0.25">
      <c r="U44" s="66"/>
    </row>
    <row r="45" spans="1:21" x14ac:dyDescent="0.25">
      <c r="U45" s="66"/>
    </row>
    <row r="46" spans="1:21" x14ac:dyDescent="0.25">
      <c r="U46" s="66"/>
    </row>
    <row r="47" spans="1:21" x14ac:dyDescent="0.25">
      <c r="U47" s="66"/>
    </row>
    <row r="48" spans="1:21" x14ac:dyDescent="0.25">
      <c r="U48" s="66"/>
    </row>
    <row r="49" spans="21:21" x14ac:dyDescent="0.25">
      <c r="U49" s="66"/>
    </row>
    <row r="50" spans="21:21" x14ac:dyDescent="0.25">
      <c r="U50" s="66"/>
    </row>
    <row r="51" spans="21:21" x14ac:dyDescent="0.25">
      <c r="U51" s="66"/>
    </row>
    <row r="52" spans="21:21" x14ac:dyDescent="0.25">
      <c r="U52" s="66"/>
    </row>
    <row r="53" spans="21:21" x14ac:dyDescent="0.25">
      <c r="U53" s="66"/>
    </row>
    <row r="54" spans="21:21" x14ac:dyDescent="0.25">
      <c r="U54" s="66"/>
    </row>
    <row r="55" spans="21:21" ht="16.5" customHeight="1" x14ac:dyDescent="0.25"/>
    <row r="57" spans="21:21" x14ac:dyDescent="0.25">
      <c r="U57" s="41"/>
    </row>
    <row r="58" spans="21:21" x14ac:dyDescent="0.25">
      <c r="U58" s="41"/>
    </row>
    <row r="60" spans="21:21" x14ac:dyDescent="0.25">
      <c r="U60" s="41"/>
    </row>
    <row r="61" spans="21:21" x14ac:dyDescent="0.25">
      <c r="U61" s="41"/>
    </row>
    <row r="62" spans="21:21" x14ac:dyDescent="0.25">
      <c r="U62" s="41"/>
    </row>
    <row r="63" spans="21:21" x14ac:dyDescent="0.25">
      <c r="U63" s="41"/>
    </row>
    <row r="64" spans="21:21" x14ac:dyDescent="0.25">
      <c r="U64" s="41"/>
    </row>
    <row r="65" spans="21:21" x14ac:dyDescent="0.25">
      <c r="U65" s="41"/>
    </row>
    <row r="66" spans="21:21" x14ac:dyDescent="0.25">
      <c r="U66" s="41"/>
    </row>
    <row r="67" spans="21:21" x14ac:dyDescent="0.25">
      <c r="U67" s="41"/>
    </row>
    <row r="68" spans="21:21" x14ac:dyDescent="0.25">
      <c r="U68" s="41"/>
    </row>
    <row r="69" spans="21:21" x14ac:dyDescent="0.25">
      <c r="U69" s="41"/>
    </row>
    <row r="70" spans="21:21" x14ac:dyDescent="0.25">
      <c r="U70" s="41"/>
    </row>
    <row r="71" spans="21:21" x14ac:dyDescent="0.25">
      <c r="U71" s="41"/>
    </row>
    <row r="72" spans="21:21" x14ac:dyDescent="0.25">
      <c r="U72" s="72"/>
    </row>
    <row r="73" spans="21:21" x14ac:dyDescent="0.25">
      <c r="U73" s="72"/>
    </row>
    <row r="74" spans="21:21" x14ac:dyDescent="0.25">
      <c r="U74" s="72"/>
    </row>
    <row r="75" spans="21:21" x14ac:dyDescent="0.25">
      <c r="U75" s="72"/>
    </row>
    <row r="76" spans="21:21" x14ac:dyDescent="0.25">
      <c r="U76" s="72"/>
    </row>
    <row r="77" spans="21:21" x14ac:dyDescent="0.25">
      <c r="U77" s="72"/>
    </row>
    <row r="78" spans="21:21" x14ac:dyDescent="0.25">
      <c r="U78" s="72"/>
    </row>
    <row r="79" spans="21:21" x14ac:dyDescent="0.25">
      <c r="U79" s="72"/>
    </row>
    <row r="80" spans="21:21" x14ac:dyDescent="0.25">
      <c r="U80" s="72"/>
    </row>
    <row r="81" spans="21:21" x14ac:dyDescent="0.25">
      <c r="U81" s="72"/>
    </row>
    <row r="82" spans="21:21" x14ac:dyDescent="0.25">
      <c r="U82" s="72"/>
    </row>
    <row r="83" spans="21:21" x14ac:dyDescent="0.25">
      <c r="U83" s="72"/>
    </row>
    <row r="84" spans="21:21" x14ac:dyDescent="0.25">
      <c r="U84" s="72"/>
    </row>
    <row r="85" spans="21:21" x14ac:dyDescent="0.25">
      <c r="U85" s="72"/>
    </row>
    <row r="86" spans="21:21" x14ac:dyDescent="0.25">
      <c r="U86" s="72"/>
    </row>
    <row r="87" spans="21:21" x14ac:dyDescent="0.25">
      <c r="U87" s="72"/>
    </row>
    <row r="88" spans="21:21" ht="15" customHeight="1" x14ac:dyDescent="0.25">
      <c r="U88" s="72"/>
    </row>
    <row r="89" spans="21:21" x14ac:dyDescent="0.25">
      <c r="U89" s="72"/>
    </row>
    <row r="90" spans="21:21" x14ac:dyDescent="0.25">
      <c r="U90" s="72"/>
    </row>
    <row r="91" spans="21:21" x14ac:dyDescent="0.25">
      <c r="U91" s="72"/>
    </row>
    <row r="92" spans="21:21" x14ac:dyDescent="0.25">
      <c r="U92" s="72"/>
    </row>
    <row r="93" spans="21:21" x14ac:dyDescent="0.25">
      <c r="U93" s="72"/>
    </row>
    <row r="94" spans="21:21" x14ac:dyDescent="0.25">
      <c r="U94" s="72"/>
    </row>
    <row r="95" spans="21:21" x14ac:dyDescent="0.25">
      <c r="U95" s="72"/>
    </row>
    <row r="96" spans="21:21" x14ac:dyDescent="0.25">
      <c r="U96" s="72"/>
    </row>
    <row r="97" spans="21:21" x14ac:dyDescent="0.25">
      <c r="U97" s="72"/>
    </row>
    <row r="98" spans="21:21" x14ac:dyDescent="0.25">
      <c r="U98" s="72"/>
    </row>
    <row r="99" spans="21:21" x14ac:dyDescent="0.25">
      <c r="U99" s="72"/>
    </row>
    <row r="100" spans="21:21" x14ac:dyDescent="0.25">
      <c r="U100" s="72"/>
    </row>
    <row r="101" spans="21:21" x14ac:dyDescent="0.25">
      <c r="U101" s="72"/>
    </row>
    <row r="102" spans="21:21" x14ac:dyDescent="0.25">
      <c r="U102" s="72"/>
    </row>
    <row r="103" spans="21:21" x14ac:dyDescent="0.25">
      <c r="U103" s="72"/>
    </row>
    <row r="104" spans="21:21" x14ac:dyDescent="0.25">
      <c r="U104" s="72"/>
    </row>
    <row r="105" spans="21:21" x14ac:dyDescent="0.25">
      <c r="U105" s="72"/>
    </row>
    <row r="106" spans="21:21" x14ac:dyDescent="0.25">
      <c r="U106" s="72"/>
    </row>
    <row r="107" spans="21:21" x14ac:dyDescent="0.25">
      <c r="U107" s="72"/>
    </row>
    <row r="108" spans="21:21" x14ac:dyDescent="0.25">
      <c r="U108" s="72"/>
    </row>
    <row r="109" spans="21:21" x14ac:dyDescent="0.25">
      <c r="U109" s="72"/>
    </row>
    <row r="110" spans="21:21" x14ac:dyDescent="0.25">
      <c r="U110" s="72"/>
    </row>
    <row r="111" spans="21:21" x14ac:dyDescent="0.25">
      <c r="U111" s="72"/>
    </row>
    <row r="112" spans="21:21" x14ac:dyDescent="0.25">
      <c r="U112" s="72"/>
    </row>
    <row r="113" spans="21:21" x14ac:dyDescent="0.25">
      <c r="U113" s="72"/>
    </row>
    <row r="114" spans="21:21" x14ac:dyDescent="0.25">
      <c r="U114" s="72"/>
    </row>
    <row r="115" spans="21:21" x14ac:dyDescent="0.25">
      <c r="U115" s="72"/>
    </row>
    <row r="116" spans="21:21" x14ac:dyDescent="0.25">
      <c r="U116" s="72"/>
    </row>
    <row r="117" spans="21:21" x14ac:dyDescent="0.25">
      <c r="U117" s="72"/>
    </row>
    <row r="134" spans="3:15" x14ac:dyDescent="0.25">
      <c r="O134" s="41"/>
    </row>
    <row r="135" spans="3:15" x14ac:dyDescent="0.25">
      <c r="C135" s="41"/>
      <c r="D135" s="41"/>
      <c r="O135" s="41"/>
    </row>
    <row r="136" spans="3:15" x14ac:dyDescent="0.25">
      <c r="C136" s="43"/>
      <c r="D136" s="55"/>
      <c r="E136" s="60"/>
      <c r="O136" s="41"/>
    </row>
    <row r="137" spans="3:15" x14ac:dyDescent="0.25">
      <c r="C137" s="43"/>
      <c r="D137" s="55"/>
      <c r="E137" s="60"/>
      <c r="O137" s="41"/>
    </row>
    <row r="138" spans="3:15" x14ac:dyDescent="0.25">
      <c r="C138" s="43"/>
      <c r="D138" s="55"/>
      <c r="E138" s="60"/>
      <c r="O138" s="41"/>
    </row>
  </sheetData>
  <mergeCells count="5">
    <mergeCell ref="D4:G5"/>
    <mergeCell ref="J4:K5"/>
    <mergeCell ref="Q4:T5"/>
    <mergeCell ref="E7:F7"/>
    <mergeCell ref="R7:S7"/>
  </mergeCells>
  <pageMargins left="0.75" right="0.75" top="1" bottom="1" header="0.5" footer="0.5"/>
  <pageSetup scale="57" orientation="landscape" r:id="rId1"/>
  <headerFooter alignWithMargins="0">
    <oddFooter>&amp;RExhibit JW-9
Page &amp;P of &amp;N</oddFooter>
  </headerFooter>
  <ignoredErrors>
    <ignoredError sqref="Q1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134"/>
  <sheetViews>
    <sheetView tabSelected="1" view="pageBreakPreview" zoomScale="75" zoomScaleNormal="85" zoomScaleSheetLayoutView="75" workbookViewId="0">
      <selection activeCell="C63" sqref="C63:G63"/>
    </sheetView>
  </sheetViews>
  <sheetFormatPr defaultColWidth="9.140625" defaultRowHeight="15.75" x14ac:dyDescent="0.25"/>
  <cols>
    <col min="1" max="1" width="4.7109375" style="2" customWidth="1"/>
    <col min="2" max="2" width="15.42578125" style="2" customWidth="1"/>
    <col min="3" max="3" width="5.28515625" style="2" customWidth="1"/>
    <col min="4" max="4" width="15" style="2" bestFit="1" customWidth="1"/>
    <col min="5" max="5" width="16.28515625" style="2" bestFit="1" customWidth="1"/>
    <col min="6" max="6" width="3.140625" style="2" customWidth="1"/>
    <col min="7" max="7" width="16.42578125" style="2" customWidth="1"/>
    <col min="8" max="8" width="2.7109375" style="2" customWidth="1"/>
    <col min="9" max="10" width="16.42578125" style="2" customWidth="1"/>
    <col min="11" max="12" width="2.85546875" style="2" customWidth="1"/>
    <col min="13" max="13" width="4.7109375" style="2" customWidth="1"/>
    <col min="14" max="14" width="15.85546875" style="2" customWidth="1"/>
    <col min="15" max="15" width="3" style="2" customWidth="1"/>
    <col min="16" max="16" width="15.7109375" style="2" customWidth="1"/>
    <col min="17" max="17" width="15.140625" style="2" customWidth="1"/>
    <col min="18" max="18" width="2.42578125" style="2" customWidth="1"/>
    <col min="19" max="19" width="17.42578125" style="2" customWidth="1"/>
    <col min="20" max="20" width="12.42578125" style="2" customWidth="1"/>
    <col min="21" max="21" width="14.28515625" style="2" bestFit="1" customWidth="1"/>
    <col min="22" max="16384" width="9.140625" style="2"/>
  </cols>
  <sheetData>
    <row r="1" spans="1:20" x14ac:dyDescent="0.25">
      <c r="A1" s="1" t="str">
        <f>'Present and Proposed Rates'!A1</f>
        <v>Cumberland Valley Electric</v>
      </c>
      <c r="N1" s="1"/>
    </row>
    <row r="2" spans="1:20" x14ac:dyDescent="0.25">
      <c r="A2" s="1" t="str">
        <f>List!B11</f>
        <v>Sch III - All 3Phase Schools &amp; Churches</v>
      </c>
    </row>
    <row r="3" spans="1:20" ht="16.5" thickBot="1" x14ac:dyDescent="0.3">
      <c r="A3" s="69" t="str">
        <f>List!C11</f>
        <v>E1</v>
      </c>
    </row>
    <row r="4" spans="1:20" x14ac:dyDescent="0.25">
      <c r="D4" s="421" t="s">
        <v>30</v>
      </c>
      <c r="E4" s="422"/>
      <c r="F4" s="422"/>
      <c r="G4" s="423"/>
      <c r="H4" s="3"/>
      <c r="I4" s="421" t="s">
        <v>102</v>
      </c>
      <c r="J4" s="423"/>
      <c r="K4" s="124"/>
      <c r="L4" s="3"/>
      <c r="P4" s="421" t="s">
        <v>87</v>
      </c>
      <c r="Q4" s="422"/>
      <c r="R4" s="422"/>
      <c r="S4" s="423"/>
    </row>
    <row r="5" spans="1:20" ht="16.5" thickBot="1" x14ac:dyDescent="0.3">
      <c r="A5" s="44"/>
      <c r="B5" s="59"/>
      <c r="C5" s="3"/>
      <c r="D5" s="424"/>
      <c r="E5" s="425"/>
      <c r="F5" s="425"/>
      <c r="G5" s="426"/>
      <c r="H5" s="3"/>
      <c r="I5" s="424"/>
      <c r="J5" s="426"/>
      <c r="K5" s="124"/>
      <c r="L5" s="3"/>
      <c r="M5" s="44"/>
      <c r="N5" s="59"/>
      <c r="O5" s="3"/>
      <c r="P5" s="424"/>
      <c r="Q5" s="425"/>
      <c r="R5" s="425"/>
      <c r="S5" s="426"/>
    </row>
    <row r="6" spans="1:20" x14ac:dyDescent="0.25">
      <c r="A6" s="4"/>
      <c r="B6" s="4"/>
      <c r="C6" s="4"/>
      <c r="D6" s="4" t="s">
        <v>1</v>
      </c>
      <c r="E6" s="4"/>
      <c r="F6" s="4"/>
      <c r="G6" s="4" t="s">
        <v>2</v>
      </c>
      <c r="H6" s="4"/>
      <c r="I6" s="4"/>
      <c r="J6" s="4" t="s">
        <v>2</v>
      </c>
      <c r="K6" s="125"/>
      <c r="L6" s="4"/>
      <c r="M6" s="4"/>
      <c r="N6" s="4"/>
      <c r="O6" s="4"/>
      <c r="P6" s="4" t="s">
        <v>1</v>
      </c>
      <c r="Q6" s="4"/>
      <c r="R6" s="4"/>
      <c r="S6" s="4" t="s">
        <v>2</v>
      </c>
    </row>
    <row r="7" spans="1:20" ht="16.5" thickBot="1" x14ac:dyDescent="0.3">
      <c r="A7" s="5"/>
      <c r="B7" s="5"/>
      <c r="C7" s="5"/>
      <c r="D7" s="5" t="s">
        <v>4</v>
      </c>
      <c r="E7" s="425" t="s">
        <v>5</v>
      </c>
      <c r="F7" s="425"/>
      <c r="G7" s="5" t="s">
        <v>6</v>
      </c>
      <c r="H7" s="5"/>
      <c r="I7" s="5" t="s">
        <v>5</v>
      </c>
      <c r="J7" s="5" t="s">
        <v>6</v>
      </c>
      <c r="K7" s="126"/>
      <c r="L7" s="5"/>
      <c r="M7" s="5"/>
      <c r="N7" s="5"/>
      <c r="O7" s="5"/>
      <c r="P7" s="5" t="s">
        <v>4</v>
      </c>
      <c r="Q7" s="425" t="s">
        <v>5</v>
      </c>
      <c r="R7" s="425"/>
      <c r="S7" s="5" t="s">
        <v>6</v>
      </c>
      <c r="T7" s="5" t="s">
        <v>58</v>
      </c>
    </row>
    <row r="8" spans="1:20" x14ac:dyDescent="0.25">
      <c r="K8" s="127"/>
    </row>
    <row r="9" spans="1:20" x14ac:dyDescent="0.25">
      <c r="A9" s="102" t="s">
        <v>10</v>
      </c>
      <c r="K9" s="127"/>
      <c r="M9" s="102" t="s">
        <v>10</v>
      </c>
    </row>
    <row r="10" spans="1:20" x14ac:dyDescent="0.25">
      <c r="D10" s="139" t="s">
        <v>91</v>
      </c>
      <c r="E10" s="139" t="s">
        <v>92</v>
      </c>
      <c r="I10" s="139" t="s">
        <v>92</v>
      </c>
      <c r="K10" s="127"/>
      <c r="P10" s="6" t="s">
        <v>91</v>
      </c>
      <c r="Q10" s="6" t="s">
        <v>92</v>
      </c>
    </row>
    <row r="11" spans="1:20" x14ac:dyDescent="0.25">
      <c r="B11" s="2" t="s">
        <v>101</v>
      </c>
      <c r="D11" s="8">
        <f>'Billing Determ'!C127</f>
        <v>564</v>
      </c>
      <c r="E11" s="9">
        <f>'Present and Proposed Rates'!G24</f>
        <v>46.64</v>
      </c>
      <c r="G11" s="11">
        <f>D11*E11</f>
        <v>26304.959999999999</v>
      </c>
      <c r="H11" s="11"/>
      <c r="I11" s="9">
        <f>'Present and Proposed Rates'!H24</f>
        <v>46.64</v>
      </c>
      <c r="J11" s="11">
        <f>I11*D11</f>
        <v>26304.959999999999</v>
      </c>
      <c r="K11" s="128"/>
      <c r="L11" s="11"/>
      <c r="N11" s="2" t="s">
        <v>98</v>
      </c>
      <c r="P11" s="8">
        <f>D11</f>
        <v>564</v>
      </c>
      <c r="Q11" s="9">
        <f>'Present and Proposed Rates'!I24</f>
        <v>46.64</v>
      </c>
      <c r="S11" s="11">
        <f>P11*Q11</f>
        <v>26304.959999999999</v>
      </c>
      <c r="T11" s="287">
        <f>IF(J11=0,0,S11/J11-1)</f>
        <v>0</v>
      </c>
    </row>
    <row r="12" spans="1:20" x14ac:dyDescent="0.25">
      <c r="D12" s="8"/>
      <c r="G12" s="11"/>
      <c r="H12" s="11"/>
      <c r="J12" s="11"/>
      <c r="K12" s="128"/>
      <c r="L12" s="11"/>
      <c r="P12" s="8"/>
      <c r="S12" s="11"/>
      <c r="T12" s="287">
        <f>IF(J12=0,0,S12/J12-1)</f>
        <v>0</v>
      </c>
    </row>
    <row r="13" spans="1:20" x14ac:dyDescent="0.25">
      <c r="A13" s="1" t="s">
        <v>7</v>
      </c>
      <c r="D13" s="8"/>
      <c r="G13" s="11"/>
      <c r="H13" s="11"/>
      <c r="J13" s="11"/>
      <c r="K13" s="128"/>
      <c r="L13" s="11"/>
      <c r="M13" s="1" t="s">
        <v>7</v>
      </c>
      <c r="P13" s="8"/>
      <c r="S13" s="11"/>
    </row>
    <row r="14" spans="1:20" x14ac:dyDescent="0.25">
      <c r="D14" s="117" t="s">
        <v>8</v>
      </c>
      <c r="E14" s="118" t="s">
        <v>11</v>
      </c>
      <c r="G14" s="11"/>
      <c r="H14" s="11"/>
      <c r="I14" s="118" t="s">
        <v>11</v>
      </c>
      <c r="J14" s="11"/>
      <c r="K14" s="128"/>
      <c r="L14" s="11"/>
      <c r="P14" s="13" t="s">
        <v>8</v>
      </c>
      <c r="Q14" s="12" t="s">
        <v>11</v>
      </c>
      <c r="S14" s="11"/>
    </row>
    <row r="15" spans="1:20" x14ac:dyDescent="0.25">
      <c r="B15" s="2" t="s">
        <v>120</v>
      </c>
      <c r="D15" s="8">
        <f>'Billing Determ'!D127</f>
        <v>12328694</v>
      </c>
      <c r="E15" s="18">
        <f>'Present and Proposed Rates'!G25</f>
        <v>7.8509999999999996E-2</v>
      </c>
      <c r="G15" s="11">
        <f>D15*E15</f>
        <v>967925.76593999995</v>
      </c>
      <c r="H15" s="11"/>
      <c r="I15" s="18">
        <f>'Present and Proposed Rates'!H25</f>
        <v>9.0300000000000005E-2</v>
      </c>
      <c r="J15" s="11">
        <f>D15*I15</f>
        <v>1113281.0682000001</v>
      </c>
      <c r="K15" s="128"/>
      <c r="L15" s="11"/>
      <c r="N15" s="2" t="s">
        <v>120</v>
      </c>
      <c r="P15" s="8">
        <f>D15</f>
        <v>12328694</v>
      </c>
      <c r="Q15" s="18">
        <f>'Present and Proposed Rates'!I25</f>
        <v>9.0300000000000005E-2</v>
      </c>
      <c r="S15" s="11">
        <f>P15*Q15</f>
        <v>1113281.0682000001</v>
      </c>
      <c r="T15" s="287">
        <f>IF(J15=0,0,S15/J15-1)</f>
        <v>0</v>
      </c>
    </row>
    <row r="16" spans="1:20" x14ac:dyDescent="0.25">
      <c r="A16" s="1"/>
      <c r="B16" s="1"/>
      <c r="C16" s="16" t="s">
        <v>215</v>
      </c>
      <c r="D16" s="259">
        <f>D15/D11</f>
        <v>21859.386524822694</v>
      </c>
      <c r="E16" s="18"/>
      <c r="G16" s="11"/>
      <c r="H16" s="11"/>
      <c r="I16" s="11"/>
      <c r="J16" s="11"/>
      <c r="K16" s="128"/>
      <c r="L16" s="11"/>
      <c r="M16" s="1"/>
      <c r="N16" s="1"/>
      <c r="O16" s="16"/>
      <c r="P16" s="8"/>
      <c r="Q16" s="18"/>
      <c r="S16" s="11"/>
      <c r="T16" s="287"/>
    </row>
    <row r="17" spans="1:20" x14ac:dyDescent="0.25">
      <c r="A17" s="1" t="s">
        <v>96</v>
      </c>
      <c r="B17" s="1"/>
      <c r="C17" s="16"/>
      <c r="D17" s="8"/>
      <c r="E17" s="18"/>
      <c r="G17" s="11"/>
      <c r="H17" s="11"/>
      <c r="I17" s="11"/>
      <c r="J17" s="11"/>
      <c r="K17" s="128"/>
      <c r="L17" s="11"/>
      <c r="M17" s="1" t="s">
        <v>96</v>
      </c>
      <c r="N17" s="1"/>
      <c r="O17" s="16"/>
      <c r="P17" s="8"/>
      <c r="Q17" s="18"/>
      <c r="S17" s="11"/>
      <c r="T17" s="287"/>
    </row>
    <row r="18" spans="1:20" x14ac:dyDescent="0.25">
      <c r="A18" s="1"/>
      <c r="B18" s="2" t="s">
        <v>90</v>
      </c>
      <c r="C18" s="16"/>
      <c r="D18" s="8"/>
      <c r="E18" s="18"/>
      <c r="G18" s="11">
        <f>'Billing Determ'!L127</f>
        <v>146346.69</v>
      </c>
      <c r="H18" s="11"/>
      <c r="I18" s="11"/>
      <c r="J18" s="11">
        <f>G18-D15*'Present and Proposed Rates'!I56</f>
        <v>991.38774000000558</v>
      </c>
      <c r="K18" s="128"/>
      <c r="L18" s="11"/>
      <c r="M18" s="1"/>
      <c r="N18" s="2" t="s">
        <v>90</v>
      </c>
      <c r="O18" s="16"/>
      <c r="P18" s="8"/>
      <c r="Q18" s="18"/>
      <c r="S18" s="11">
        <f>J18</f>
        <v>991.38774000000558</v>
      </c>
    </row>
    <row r="19" spans="1:20" x14ac:dyDescent="0.25">
      <c r="A19" s="1"/>
      <c r="B19" s="2" t="s">
        <v>97</v>
      </c>
      <c r="C19" s="16"/>
      <c r="D19" s="8"/>
      <c r="E19" s="18"/>
      <c r="G19" s="11">
        <f>'Billing Determ'!N127</f>
        <v>131191.41999999998</v>
      </c>
      <c r="H19" s="11"/>
      <c r="I19" s="11"/>
      <c r="J19" s="11">
        <f>G19</f>
        <v>131191.41999999998</v>
      </c>
      <c r="K19" s="128"/>
      <c r="L19" s="11"/>
      <c r="M19" s="1"/>
      <c r="N19" s="2" t="s">
        <v>97</v>
      </c>
      <c r="O19" s="16"/>
      <c r="P19" s="8"/>
      <c r="Q19" s="18"/>
      <c r="S19" s="11">
        <f t="shared" ref="S19:S20" si="0">J19</f>
        <v>131191.41999999998</v>
      </c>
      <c r="T19" s="287"/>
    </row>
    <row r="20" spans="1:20" x14ac:dyDescent="0.25">
      <c r="A20" s="1"/>
      <c r="B20" s="2" t="s">
        <v>204</v>
      </c>
      <c r="C20" s="16"/>
      <c r="D20" s="8"/>
      <c r="E20" s="18"/>
      <c r="G20" s="11">
        <f>'Billing Determ'!K127</f>
        <v>256.36</v>
      </c>
      <c r="H20" s="11"/>
      <c r="I20" s="11"/>
      <c r="J20" s="11">
        <f>G20</f>
        <v>256.36</v>
      </c>
      <c r="K20" s="128"/>
      <c r="L20" s="11"/>
      <c r="M20" s="1"/>
      <c r="N20" s="2" t="str">
        <f>B20</f>
        <v>Min Bill</v>
      </c>
      <c r="O20" s="16"/>
      <c r="P20" s="8"/>
      <c r="Q20" s="18"/>
      <c r="S20" s="11">
        <f t="shared" si="0"/>
        <v>256.36</v>
      </c>
      <c r="T20" s="287"/>
    </row>
    <row r="21" spans="1:20" x14ac:dyDescent="0.25">
      <c r="A21" s="1"/>
      <c r="C21" s="16"/>
      <c r="D21" s="8"/>
      <c r="E21" s="18"/>
      <c r="G21" s="11"/>
      <c r="H21" s="11"/>
      <c r="I21" s="11"/>
      <c r="J21" s="11"/>
      <c r="K21" s="128"/>
      <c r="L21" s="11"/>
      <c r="M21" s="1"/>
      <c r="O21" s="16"/>
      <c r="P21" s="8"/>
      <c r="Q21" s="18"/>
      <c r="S21" s="11"/>
      <c r="T21" s="287"/>
    </row>
    <row r="22" spans="1:20" x14ac:dyDescent="0.25">
      <c r="A22" s="1"/>
      <c r="D22" s="14"/>
      <c r="G22" s="11"/>
      <c r="H22" s="11"/>
      <c r="I22" s="11"/>
      <c r="J22" s="11"/>
      <c r="K22" s="128"/>
      <c r="L22" s="11"/>
      <c r="M22" s="1"/>
      <c r="S22" s="11"/>
    </row>
    <row r="23" spans="1:20" ht="16.5" thickBot="1" x14ac:dyDescent="0.3">
      <c r="A23" s="1" t="s">
        <v>79</v>
      </c>
      <c r="G23" s="24">
        <f>SUM(G11:G21)</f>
        <v>1272025.19594</v>
      </c>
      <c r="H23" s="11"/>
      <c r="I23" s="11"/>
      <c r="J23" s="24">
        <f>SUM(J11:J21)</f>
        <v>1272025.19594</v>
      </c>
      <c r="K23" s="128"/>
      <c r="L23" s="11"/>
      <c r="M23" s="1" t="s">
        <v>79</v>
      </c>
      <c r="S23" s="24">
        <f>SUM(S11:S21)</f>
        <v>1272025.19594</v>
      </c>
    </row>
    <row r="24" spans="1:20" ht="16.5" thickTop="1" x14ac:dyDescent="0.25">
      <c r="A24" s="1"/>
      <c r="B24" s="1"/>
      <c r="G24" s="11"/>
      <c r="H24" s="11"/>
      <c r="I24" s="11"/>
      <c r="J24" s="11"/>
      <c r="K24" s="128"/>
      <c r="L24" s="11"/>
      <c r="M24" s="1"/>
      <c r="N24" s="1"/>
      <c r="S24" s="11"/>
      <c r="T24" s="287"/>
    </row>
    <row r="25" spans="1:20" x14ac:dyDescent="0.25">
      <c r="A25" s="1" t="s">
        <v>19</v>
      </c>
      <c r="B25" s="10"/>
      <c r="G25" s="11">
        <f>'Billing Determ'!G127+'Billing Determ'!J127+'Billing Determ'!O127*0+SUM('Billing Determ'!L115:L126)</f>
        <v>1272161.3099999998</v>
      </c>
      <c r="H25" s="11"/>
      <c r="I25" s="11"/>
      <c r="J25" s="11"/>
      <c r="K25" s="128"/>
      <c r="L25" s="11"/>
      <c r="M25" s="1" t="s">
        <v>103</v>
      </c>
      <c r="N25" s="10"/>
      <c r="S25" s="31">
        <f>S23-J23</f>
        <v>0</v>
      </c>
    </row>
    <row r="26" spans="1:20" x14ac:dyDescent="0.25">
      <c r="A26" s="10"/>
      <c r="B26" s="10"/>
      <c r="G26" s="10"/>
      <c r="H26" s="10"/>
      <c r="I26" s="10"/>
      <c r="J26" s="10"/>
      <c r="K26" s="129"/>
      <c r="L26" s="10"/>
      <c r="N26" s="10"/>
      <c r="S26" s="10"/>
    </row>
    <row r="27" spans="1:20" x14ac:dyDescent="0.25">
      <c r="A27" s="1" t="s">
        <v>13</v>
      </c>
      <c r="B27" s="10"/>
      <c r="G27" s="22">
        <f>G23-G25</f>
        <v>-136.11405999981798</v>
      </c>
      <c r="H27" s="22"/>
      <c r="I27" s="22"/>
      <c r="J27" s="22">
        <f>J23-G23</f>
        <v>0</v>
      </c>
      <c r="K27" s="130"/>
      <c r="L27" s="138"/>
      <c r="M27" s="1" t="s">
        <v>104</v>
      </c>
      <c r="N27" s="10"/>
      <c r="S27" s="98">
        <f>S25/J23</f>
        <v>0</v>
      </c>
    </row>
    <row r="28" spans="1:20" x14ac:dyDescent="0.25">
      <c r="A28" s="10"/>
      <c r="B28" s="10"/>
      <c r="G28" s="11"/>
      <c r="H28" s="11"/>
      <c r="I28" s="11"/>
      <c r="J28" s="11"/>
      <c r="K28" s="128"/>
      <c r="L28" s="11"/>
      <c r="N28" s="10"/>
      <c r="S28" s="11"/>
    </row>
    <row r="29" spans="1:20" x14ac:dyDescent="0.25">
      <c r="A29" s="1" t="s">
        <v>26</v>
      </c>
      <c r="B29" s="10"/>
      <c r="G29" s="23">
        <f>G27/G25</f>
        <v>-1.069943402066032E-4</v>
      </c>
      <c r="H29" s="23"/>
      <c r="I29" s="23"/>
      <c r="J29" s="23">
        <f>J27/G25</f>
        <v>0</v>
      </c>
      <c r="K29" s="131"/>
      <c r="L29" s="23"/>
      <c r="M29" s="1" t="s">
        <v>84</v>
      </c>
      <c r="N29" s="10"/>
      <c r="S29" s="33">
        <f>S25/P11</f>
        <v>0</v>
      </c>
    </row>
    <row r="30" spans="1:20" x14ac:dyDescent="0.25">
      <c r="A30" s="1"/>
      <c r="B30" s="10"/>
      <c r="G30" s="23"/>
      <c r="H30" s="23"/>
      <c r="I30" s="23"/>
      <c r="J30" s="23"/>
      <c r="K30" s="23"/>
      <c r="L30" s="23"/>
      <c r="M30" s="1"/>
      <c r="N30" s="10"/>
      <c r="S30" s="23"/>
    </row>
    <row r="31" spans="1:20" x14ac:dyDescent="0.25">
      <c r="A31" s="1"/>
      <c r="B31" s="10"/>
      <c r="C31" s="10"/>
      <c r="D31" s="14"/>
      <c r="E31" s="10"/>
      <c r="F31" s="10"/>
      <c r="G31" s="10"/>
      <c r="H31" s="10"/>
      <c r="I31" s="10"/>
      <c r="J31" s="10"/>
      <c r="K31" s="10"/>
      <c r="L31" s="10"/>
      <c r="M31" s="10"/>
      <c r="N31" s="10"/>
      <c r="S31" s="23"/>
    </row>
    <row r="32" spans="1:20" x14ac:dyDescent="0.25">
      <c r="A32" s="1"/>
      <c r="B32" s="10"/>
      <c r="C32" s="10"/>
      <c r="D32" s="10"/>
      <c r="E32" s="10"/>
      <c r="F32" s="10"/>
      <c r="G32" s="10">
        <f>G11+G15</f>
        <v>994230.72593999992</v>
      </c>
      <c r="H32" s="10"/>
      <c r="I32" s="10"/>
      <c r="J32" s="10"/>
      <c r="K32" s="10"/>
      <c r="L32" s="10"/>
      <c r="M32" s="10"/>
      <c r="N32" s="10"/>
      <c r="S32" s="23"/>
    </row>
    <row r="33" spans="1:20" x14ac:dyDescent="0.25">
      <c r="A33" s="1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S33" s="23"/>
    </row>
    <row r="34" spans="1:20" x14ac:dyDescent="0.25">
      <c r="A34" s="1"/>
      <c r="B34" s="10"/>
      <c r="G34" s="23"/>
      <c r="H34" s="23"/>
      <c r="I34" s="23"/>
      <c r="J34" s="23"/>
      <c r="K34" s="23"/>
      <c r="L34" s="23"/>
      <c r="M34" s="1"/>
      <c r="N34" s="10"/>
      <c r="S34" s="23"/>
    </row>
    <row r="35" spans="1:20" x14ac:dyDescent="0.25">
      <c r="A35" s="1"/>
      <c r="B35" s="10"/>
      <c r="G35" s="23"/>
      <c r="H35" s="23"/>
      <c r="I35" s="23"/>
      <c r="J35" s="23"/>
      <c r="K35" s="23"/>
      <c r="L35" s="23"/>
      <c r="M35" s="1"/>
      <c r="N35" s="10"/>
      <c r="S35" s="23"/>
    </row>
    <row r="36" spans="1:20" ht="18.75" customHeight="1" x14ac:dyDescent="0.25">
      <c r="A36" s="1"/>
      <c r="B36" s="11"/>
      <c r="G36" s="23"/>
      <c r="H36" s="23"/>
      <c r="I36" s="23"/>
      <c r="J36" s="23"/>
      <c r="K36" s="23"/>
      <c r="L36" s="23"/>
    </row>
    <row r="37" spans="1:20" x14ac:dyDescent="0.25">
      <c r="E37" s="11"/>
    </row>
    <row r="43" spans="1:20" x14ac:dyDescent="0.25">
      <c r="T43" s="66"/>
    </row>
    <row r="44" spans="1:20" x14ac:dyDescent="0.25">
      <c r="T44" s="66"/>
    </row>
    <row r="45" spans="1:20" x14ac:dyDescent="0.25">
      <c r="T45" s="66"/>
    </row>
    <row r="46" spans="1:20" x14ac:dyDescent="0.25">
      <c r="T46" s="66"/>
    </row>
    <row r="47" spans="1:20" x14ac:dyDescent="0.25">
      <c r="T47" s="66"/>
    </row>
    <row r="48" spans="1:20" x14ac:dyDescent="0.25">
      <c r="T48" s="66"/>
    </row>
    <row r="49" spans="20:20" x14ac:dyDescent="0.25">
      <c r="T49" s="66"/>
    </row>
    <row r="50" spans="20:20" x14ac:dyDescent="0.25">
      <c r="T50" s="66"/>
    </row>
    <row r="51" spans="20:20" ht="16.5" customHeight="1" x14ac:dyDescent="0.25">
      <c r="T51" s="66"/>
    </row>
    <row r="52" spans="20:20" x14ac:dyDescent="0.25">
      <c r="T52" s="66"/>
    </row>
    <row r="53" spans="20:20" x14ac:dyDescent="0.25">
      <c r="T53" s="66"/>
    </row>
    <row r="54" spans="20:20" x14ac:dyDescent="0.25">
      <c r="T54" s="66"/>
    </row>
    <row r="57" spans="20:20" x14ac:dyDescent="0.25">
      <c r="T57" s="41"/>
    </row>
    <row r="58" spans="20:20" x14ac:dyDescent="0.25">
      <c r="T58" s="41"/>
    </row>
    <row r="60" spans="20:20" x14ac:dyDescent="0.25">
      <c r="T60" s="41"/>
    </row>
    <row r="61" spans="20:20" x14ac:dyDescent="0.25">
      <c r="T61" s="41"/>
    </row>
    <row r="62" spans="20:20" x14ac:dyDescent="0.25">
      <c r="T62" s="41"/>
    </row>
    <row r="63" spans="20:20" x14ac:dyDescent="0.25">
      <c r="T63" s="41"/>
    </row>
    <row r="64" spans="20:20" x14ac:dyDescent="0.25">
      <c r="T64" s="41"/>
    </row>
    <row r="65" spans="20:20" x14ac:dyDescent="0.25">
      <c r="T65" s="41"/>
    </row>
    <row r="66" spans="20:20" x14ac:dyDescent="0.25">
      <c r="T66" s="41"/>
    </row>
    <row r="67" spans="20:20" x14ac:dyDescent="0.25">
      <c r="T67" s="41"/>
    </row>
    <row r="68" spans="20:20" x14ac:dyDescent="0.25">
      <c r="T68" s="41"/>
    </row>
    <row r="69" spans="20:20" x14ac:dyDescent="0.25">
      <c r="T69" s="41"/>
    </row>
    <row r="70" spans="20:20" x14ac:dyDescent="0.25">
      <c r="T70" s="41"/>
    </row>
    <row r="71" spans="20:20" x14ac:dyDescent="0.25">
      <c r="T71" s="41"/>
    </row>
    <row r="72" spans="20:20" x14ac:dyDescent="0.25">
      <c r="T72" s="72"/>
    </row>
    <row r="73" spans="20:20" x14ac:dyDescent="0.25">
      <c r="T73" s="72"/>
    </row>
    <row r="74" spans="20:20" x14ac:dyDescent="0.25">
      <c r="T74" s="72"/>
    </row>
    <row r="75" spans="20:20" x14ac:dyDescent="0.25">
      <c r="T75" s="72"/>
    </row>
    <row r="76" spans="20:20" x14ac:dyDescent="0.25">
      <c r="T76" s="72"/>
    </row>
    <row r="77" spans="20:20" x14ac:dyDescent="0.25">
      <c r="T77" s="72"/>
    </row>
    <row r="78" spans="20:20" x14ac:dyDescent="0.25">
      <c r="T78" s="72"/>
    </row>
    <row r="79" spans="20:20" x14ac:dyDescent="0.25">
      <c r="T79" s="72"/>
    </row>
    <row r="80" spans="20:20" x14ac:dyDescent="0.25">
      <c r="T80" s="72"/>
    </row>
    <row r="81" spans="20:20" x14ac:dyDescent="0.25">
      <c r="T81" s="72"/>
    </row>
    <row r="82" spans="20:20" x14ac:dyDescent="0.25">
      <c r="T82" s="72"/>
    </row>
    <row r="83" spans="20:20" x14ac:dyDescent="0.25">
      <c r="T83" s="72"/>
    </row>
    <row r="84" spans="20:20" ht="15" customHeight="1" x14ac:dyDescent="0.25">
      <c r="T84" s="72"/>
    </row>
    <row r="85" spans="20:20" x14ac:dyDescent="0.25">
      <c r="T85" s="72"/>
    </row>
    <row r="86" spans="20:20" x14ac:dyDescent="0.25">
      <c r="T86" s="72"/>
    </row>
    <row r="87" spans="20:20" x14ac:dyDescent="0.25">
      <c r="T87" s="72"/>
    </row>
    <row r="88" spans="20:20" x14ac:dyDescent="0.25">
      <c r="T88" s="72"/>
    </row>
    <row r="89" spans="20:20" x14ac:dyDescent="0.25">
      <c r="T89" s="72"/>
    </row>
    <row r="90" spans="20:20" x14ac:dyDescent="0.25">
      <c r="T90" s="72"/>
    </row>
    <row r="91" spans="20:20" x14ac:dyDescent="0.25">
      <c r="T91" s="72"/>
    </row>
    <row r="92" spans="20:20" x14ac:dyDescent="0.25">
      <c r="T92" s="72"/>
    </row>
    <row r="93" spans="20:20" x14ac:dyDescent="0.25">
      <c r="T93" s="72"/>
    </row>
    <row r="94" spans="20:20" x14ac:dyDescent="0.25">
      <c r="T94" s="72"/>
    </row>
    <row r="95" spans="20:20" x14ac:dyDescent="0.25">
      <c r="T95" s="72"/>
    </row>
    <row r="96" spans="20:20" x14ac:dyDescent="0.25">
      <c r="T96" s="72"/>
    </row>
    <row r="97" spans="20:20" x14ac:dyDescent="0.25">
      <c r="T97" s="72"/>
    </row>
    <row r="98" spans="20:20" x14ac:dyDescent="0.25">
      <c r="T98" s="72"/>
    </row>
    <row r="99" spans="20:20" x14ac:dyDescent="0.25">
      <c r="T99" s="72"/>
    </row>
    <row r="100" spans="20:20" x14ac:dyDescent="0.25">
      <c r="T100" s="72"/>
    </row>
    <row r="101" spans="20:20" x14ac:dyDescent="0.25">
      <c r="T101" s="72"/>
    </row>
    <row r="102" spans="20:20" x14ac:dyDescent="0.25">
      <c r="T102" s="72"/>
    </row>
    <row r="103" spans="20:20" x14ac:dyDescent="0.25">
      <c r="T103" s="72"/>
    </row>
    <row r="104" spans="20:20" x14ac:dyDescent="0.25">
      <c r="T104" s="72"/>
    </row>
    <row r="105" spans="20:20" x14ac:dyDescent="0.25">
      <c r="T105" s="72"/>
    </row>
    <row r="106" spans="20:20" x14ac:dyDescent="0.25">
      <c r="T106" s="72"/>
    </row>
    <row r="107" spans="20:20" x14ac:dyDescent="0.25">
      <c r="T107" s="72"/>
    </row>
    <row r="108" spans="20:20" x14ac:dyDescent="0.25">
      <c r="T108" s="72"/>
    </row>
    <row r="109" spans="20:20" x14ac:dyDescent="0.25">
      <c r="T109" s="72"/>
    </row>
    <row r="110" spans="20:20" x14ac:dyDescent="0.25">
      <c r="T110" s="72"/>
    </row>
    <row r="111" spans="20:20" x14ac:dyDescent="0.25">
      <c r="T111" s="72"/>
    </row>
    <row r="112" spans="20:20" x14ac:dyDescent="0.25">
      <c r="T112" s="72"/>
    </row>
    <row r="113" spans="20:20" x14ac:dyDescent="0.25">
      <c r="T113" s="72"/>
    </row>
    <row r="114" spans="20:20" x14ac:dyDescent="0.25">
      <c r="T114" s="72"/>
    </row>
    <row r="115" spans="20:20" x14ac:dyDescent="0.25">
      <c r="T115" s="72"/>
    </row>
    <row r="116" spans="20:20" x14ac:dyDescent="0.25">
      <c r="T116" s="72"/>
    </row>
    <row r="117" spans="20:20" x14ac:dyDescent="0.25">
      <c r="T117" s="72"/>
    </row>
    <row r="130" spans="3:14" x14ac:dyDescent="0.25">
      <c r="N130" s="41"/>
    </row>
    <row r="131" spans="3:14" x14ac:dyDescent="0.25">
      <c r="C131" s="41"/>
      <c r="D131" s="41"/>
      <c r="N131" s="41"/>
    </row>
    <row r="132" spans="3:14" x14ac:dyDescent="0.25">
      <c r="C132" s="43"/>
      <c r="D132" s="55"/>
      <c r="E132" s="60"/>
      <c r="N132" s="41"/>
    </row>
    <row r="133" spans="3:14" x14ac:dyDescent="0.25">
      <c r="C133" s="43"/>
      <c r="D133" s="55"/>
      <c r="E133" s="60"/>
      <c r="N133" s="41"/>
    </row>
    <row r="134" spans="3:14" x14ac:dyDescent="0.25">
      <c r="C134" s="43"/>
      <c r="D134" s="55"/>
      <c r="E134" s="60"/>
      <c r="N134" s="41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0" orientation="landscape" r:id="rId1"/>
  <headerFooter alignWithMargins="0">
    <oddFooter>&amp;RExhibit JW-9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Residential NonTOU</vt:lpstr>
      <vt:lpstr>Resid. - TOU</vt:lpstr>
      <vt:lpstr>Present and Proposed Rates</vt:lpstr>
      <vt:lpstr>R</vt:lpstr>
      <vt:lpstr>TOD</vt:lpstr>
      <vt:lpstr>C1</vt:lpstr>
      <vt:lpstr>C2</vt:lpstr>
      <vt:lpstr>IB</vt:lpstr>
      <vt:lpstr>E1</vt:lpstr>
      <vt:lpstr>L1</vt:lpstr>
      <vt:lpstr>S</vt:lpstr>
      <vt:lpstr>VB</vt:lpstr>
      <vt:lpstr>VC</vt:lpstr>
      <vt:lpstr>Act-vs-Calc</vt:lpstr>
      <vt:lpstr>ResIncr</vt:lpstr>
      <vt:lpstr>Billing Determ</vt:lpstr>
      <vt:lpstr>BD-VB-VC</vt:lpstr>
      <vt:lpstr>List</vt:lpstr>
      <vt:lpstr>Notice Table</vt:lpstr>
      <vt:lpstr>'Act-vs-Calc'!Print_Area</vt:lpstr>
      <vt:lpstr>'Billing Determ'!Print_Area</vt:lpstr>
      <vt:lpstr>'C1'!Print_Area</vt:lpstr>
      <vt:lpstr>'C2'!Print_Area</vt:lpstr>
      <vt:lpstr>'E1'!Print_Area</vt:lpstr>
      <vt:lpstr>IB!Print_Area</vt:lpstr>
      <vt:lpstr>'L1'!Print_Area</vt:lpstr>
      <vt:lpstr>List!Print_Area</vt:lpstr>
      <vt:lpstr>'Notice Table'!Print_Area</vt:lpstr>
      <vt:lpstr>'Present and Proposed Rates'!Print_Area</vt:lpstr>
      <vt:lpstr>'R'!Print_Area</vt:lpstr>
      <vt:lpstr>'Resid. - TOU'!Print_Area</vt:lpstr>
      <vt:lpstr>'Residential NonTOU'!Print_Area</vt:lpstr>
      <vt:lpstr>ResIncr!Print_Area</vt:lpstr>
      <vt:lpstr>S!Print_Area</vt:lpstr>
      <vt:lpstr>TOD!Print_Area</vt:lpstr>
      <vt:lpstr>VB!Print_Area</vt:lpstr>
      <vt:lpstr>VC!Print_Area</vt:lpstr>
      <vt:lpstr>ResIncr!Print_Titles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John Wolfram</cp:lastModifiedBy>
  <cp:lastPrinted>2025-03-24T19:08:27Z</cp:lastPrinted>
  <dcterms:created xsi:type="dcterms:W3CDTF">2000-07-10T18:54:31Z</dcterms:created>
  <dcterms:modified xsi:type="dcterms:W3CDTF">2025-03-24T19:08:41Z</dcterms:modified>
</cp:coreProperties>
</file>