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d.docs.live.net/2ac385686f0d07d2/Documents/CATALYST Consulting/Clients/CVE/2023 COSS ^0 Rates 2024-00xxx/COS ^0 Rates/"/>
    </mc:Choice>
  </mc:AlternateContent>
  <xr:revisionPtr revIDLastSave="121" documentId="8_{E49E5ABC-5DFC-440B-ABA2-F5743B4D975A}" xr6:coauthVersionLast="47" xr6:coauthVersionMax="47" xr10:uidLastSave="{62D61731-4214-48CD-813E-2CC093C93A5F}"/>
  <bookViews>
    <workbookView xWindow="-120" yWindow="-120" windowWidth="29040" windowHeight="15720" tabRatio="773" xr2:uid="{00000000-000D-0000-FFFF-FFFF00000000}"/>
  </bookViews>
  <sheets>
    <sheet name="RevReq" sheetId="64" r:id="rId1"/>
    <sheet name="Adj List" sheetId="48" r:id="rId2"/>
    <sheet name="Adj BS" sheetId="65" r:id="rId3"/>
    <sheet name="Adj IS" sheetId="36" r:id="rId4"/>
    <sheet name="1.01 FAC" sheetId="6" r:id="rId5"/>
    <sheet name="1.02 ES" sheetId="17" r:id="rId6"/>
    <sheet name="1.03 RC" sheetId="28" r:id="rId7"/>
    <sheet name="1.04 CUST" sheetId="33" r:id="rId8"/>
    <sheet name="1.05 Depr" sheetId="39" r:id="rId9"/>
    <sheet name="1.06 Donat&amp;Promo" sheetId="68" r:id="rId10"/>
    <sheet name="1.07 Misc" sheetId="75" r:id="rId11"/>
    <sheet name="1.08 Dir" sheetId="66" r:id="rId12"/>
    <sheet name="1.09 Wages" sheetId="79" r:id="rId13"/>
    <sheet name="1.10 Prof" sheetId="69" r:id="rId14"/>
    <sheet name="1.11 GTCC" sheetId="70" r:id="rId15"/>
    <sheet name="1.12 Int" sheetId="73" r:id="rId16"/>
    <sheet name="1.13 Life Ins" sheetId="63" r:id="rId17"/>
    <sheet name="1.14 ROW" sheetId="77" state="hidden" r:id="rId18"/>
    <sheet name="1.14 LPs" sheetId="80" r:id="rId19"/>
  </sheets>
  <definedNames>
    <definedName name="_xlnm.Print_Area" localSheetId="4">'1.01 FAC'!$A$1:$H$34</definedName>
    <definedName name="_xlnm.Print_Area" localSheetId="5">'1.02 ES'!$A$1:$H$34</definedName>
    <definedName name="_xlnm.Print_Area" localSheetId="6">'1.03 RC'!$A$1:$F$28</definedName>
    <definedName name="_xlnm.Print_Area" localSheetId="7">'1.04 CUST'!$A$1:$K$59</definedName>
    <definedName name="_xlnm.Print_Area" localSheetId="8">'1.05 Depr'!$A$1:$I$59</definedName>
    <definedName name="_xlnm.Print_Area" localSheetId="10">'1.07 Misc'!$A$1:$E$19</definedName>
    <definedName name="_xlnm.Print_Area" localSheetId="11">'1.08 Dir'!$A$1:$I$32</definedName>
    <definedName name="_xlnm.Print_Area" localSheetId="12">'1.09 Wages'!$A$1:$AC$107</definedName>
    <definedName name="_xlnm.Print_Area" localSheetId="13">'1.10 Prof'!$A$1:$J$53</definedName>
    <definedName name="_xlnm.Print_Area" localSheetId="14">'1.11 GTCC'!$A$1:$F$21</definedName>
    <definedName name="_xlnm.Print_Area" localSheetId="15">'1.12 Int'!$A$1:$K$55</definedName>
    <definedName name="_xlnm.Print_Area" localSheetId="16">'1.13 Life Ins'!$A$1:$I$99</definedName>
    <definedName name="_xlnm.Print_Area" localSheetId="18">'1.14 LPs'!$A$1:$G$52</definedName>
    <definedName name="_xlnm.Print_Area" localSheetId="17">'1.14 ROW'!$A$1:$C$16</definedName>
    <definedName name="_xlnm.Print_Area" localSheetId="2">'Adj BS'!$A$1:$F$64</definedName>
    <definedName name="_xlnm.Print_Area" localSheetId="3">'Adj IS'!$A$1:$V$42</definedName>
    <definedName name="_xlnm.Print_Area" localSheetId="1">'Adj List'!$A$1:$G$29</definedName>
    <definedName name="_xlnm.Print_Area" localSheetId="0">RevReq!$A$1:$F$61</definedName>
    <definedName name="_xlnm.Print_Titles" localSheetId="7">'1.04 CUST'!$1:$12</definedName>
    <definedName name="_xlnm.Print_Titles" localSheetId="8">'1.05 Depr'!$4:$10</definedName>
    <definedName name="_xlnm.Print_Titles" localSheetId="9">'1.06 Donat&amp;Promo'!$1:$7</definedName>
    <definedName name="_xlnm.Print_Titles" localSheetId="12">'1.09 Wages'!$1:$7</definedName>
    <definedName name="_xlnm.Print_Titles" localSheetId="16">'1.13 Life Ins'!$1:$11</definedName>
    <definedName name="_xlnm.Print_Titles" localSheetId="18">'1.14 LPs'!$1:$8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64" l="1"/>
  <c r="F45" i="64"/>
  <c r="E45" i="64"/>
  <c r="C46" i="64"/>
  <c r="A13" i="28"/>
  <c r="F60" i="64" l="1"/>
  <c r="F61" i="64" s="1"/>
  <c r="E63" i="64"/>
  <c r="F26" i="80" l="1"/>
  <c r="G26" i="80" s="1"/>
  <c r="G16" i="80"/>
  <c r="G17" i="80"/>
  <c r="G18" i="80"/>
  <c r="G19" i="80"/>
  <c r="G20" i="80"/>
  <c r="G21" i="80"/>
  <c r="G22" i="80"/>
  <c r="G23" i="80"/>
  <c r="G24" i="80"/>
  <c r="G25" i="80"/>
  <c r="E53" i="64"/>
  <c r="E49" i="64"/>
  <c r="E43" i="80" l="1"/>
  <c r="A7" i="80"/>
  <c r="F25" i="80" l="1"/>
  <c r="E25" i="80"/>
  <c r="E26" i="80" s="1"/>
  <c r="G21" i="48"/>
  <c r="Q16" i="36" l="1"/>
  <c r="Q9" i="36"/>
  <c r="A14" i="80"/>
  <c r="A15" i="80" s="1"/>
  <c r="A16" i="80" s="1"/>
  <c r="A17" i="80" s="1"/>
  <c r="A18" i="80" s="1"/>
  <c r="A19" i="80" s="1"/>
  <c r="A20" i="80" s="1"/>
  <c r="A21" i="80" s="1"/>
  <c r="A22" i="80" s="1"/>
  <c r="A23" i="80" s="1"/>
  <c r="A24" i="80" s="1"/>
  <c r="A25" i="80" s="1"/>
  <c r="A26" i="80" s="1"/>
  <c r="A27" i="80" s="1"/>
  <c r="A28" i="80" s="1"/>
  <c r="A29" i="80" s="1"/>
  <c r="A30" i="80" s="1"/>
  <c r="A31" i="80" s="1"/>
  <c r="A32" i="80" s="1"/>
  <c r="A33" i="80" s="1"/>
  <c r="A34" i="80" s="1"/>
  <c r="A35" i="80" s="1"/>
  <c r="A36" i="80" s="1"/>
  <c r="A37" i="80" s="1"/>
  <c r="A38" i="80" s="1"/>
  <c r="A39" i="80" s="1"/>
  <c r="A40" i="80" s="1"/>
  <c r="A41" i="80" s="1"/>
  <c r="A42" i="80" s="1"/>
  <c r="A43" i="80" s="1"/>
  <c r="A44" i="80" s="1"/>
  <c r="A45" i="80" s="1"/>
  <c r="A46" i="80" s="1"/>
  <c r="A47" i="80" s="1"/>
  <c r="A48" i="80" s="1"/>
  <c r="A49" i="80" s="1"/>
  <c r="G46" i="80"/>
  <c r="G35" i="80"/>
  <c r="G36" i="80"/>
  <c r="G37" i="80"/>
  <c r="G38" i="80"/>
  <c r="G39" i="80"/>
  <c r="G40" i="80"/>
  <c r="G41" i="80"/>
  <c r="G42" i="80"/>
  <c r="G15" i="80"/>
  <c r="F43" i="80"/>
  <c r="F45" i="80" s="1"/>
  <c r="F47" i="80" s="1"/>
  <c r="E28" i="80"/>
  <c r="A5" i="80"/>
  <c r="A4" i="80"/>
  <c r="F28" i="80" l="1"/>
  <c r="G43" i="80"/>
  <c r="E30" i="80"/>
  <c r="E45" i="80"/>
  <c r="F30" i="80" l="1"/>
  <c r="G28" i="80"/>
  <c r="E47" i="80"/>
  <c r="G47" i="80" s="1"/>
  <c r="E20" i="48" s="1"/>
  <c r="G45" i="80"/>
  <c r="F49" i="80" l="1"/>
  <c r="G30" i="80"/>
  <c r="D20" i="48" s="1"/>
  <c r="G20" i="48" s="1"/>
  <c r="P16" i="36"/>
  <c r="D13" i="64"/>
  <c r="E49" i="80"/>
  <c r="P9" i="36" l="1"/>
  <c r="D8" i="64"/>
  <c r="G49" i="80"/>
  <c r="D72" i="64" l="1"/>
  <c r="B72" i="64"/>
  <c r="C66" i="64"/>
  <c r="D70" i="64"/>
  <c r="D71" i="64"/>
  <c r="B73" i="64"/>
  <c r="B71" i="64"/>
  <c r="B70" i="64"/>
  <c r="B69" i="64"/>
  <c r="B68" i="64"/>
  <c r="B67" i="64"/>
  <c r="B66" i="64"/>
  <c r="A4" i="79" l="1"/>
  <c r="A3" i="79"/>
  <c r="AD84" i="79" l="1"/>
  <c r="AD13" i="79"/>
  <c r="AD14" i="79"/>
  <c r="AD15" i="79"/>
  <c r="AD16" i="79"/>
  <c r="AD17" i="79"/>
  <c r="AD18" i="79"/>
  <c r="AD19" i="79"/>
  <c r="AD20" i="79"/>
  <c r="AD21" i="79"/>
  <c r="AD22" i="79"/>
  <c r="AD23" i="79"/>
  <c r="AD26" i="79"/>
  <c r="AD27" i="79"/>
  <c r="AD28" i="79"/>
  <c r="AD29" i="79"/>
  <c r="AD30" i="79"/>
  <c r="AD31" i="79"/>
  <c r="AD32" i="79"/>
  <c r="AD33" i="79"/>
  <c r="AD34" i="79"/>
  <c r="AD35" i="79"/>
  <c r="AD36" i="79"/>
  <c r="AD37" i="79"/>
  <c r="AD38" i="79"/>
  <c r="AD39" i="79"/>
  <c r="AD40" i="79"/>
  <c r="AD41" i="79"/>
  <c r="AD42" i="79"/>
  <c r="AD43" i="79"/>
  <c r="AD44" i="79"/>
  <c r="AD45" i="79"/>
  <c r="AD50" i="79"/>
  <c r="AD51" i="79"/>
  <c r="AD52" i="79"/>
  <c r="AD53" i="79"/>
  <c r="AD54" i="79"/>
  <c r="AD55" i="79"/>
  <c r="AD56" i="79"/>
  <c r="AD57" i="79"/>
  <c r="AD58" i="79"/>
  <c r="AD59" i="79"/>
  <c r="AD60" i="79"/>
  <c r="AD61" i="79"/>
  <c r="AD62" i="79"/>
  <c r="AD63" i="79"/>
  <c r="AD64" i="79"/>
  <c r="AD65" i="79"/>
  <c r="AD66" i="79"/>
  <c r="AD67" i="79"/>
  <c r="AD68" i="79"/>
  <c r="AD69" i="79"/>
  <c r="AD73" i="79"/>
  <c r="AD76" i="79"/>
  <c r="AD77" i="79"/>
  <c r="AD80" i="79"/>
  <c r="AD81" i="79"/>
  <c r="AD82" i="79"/>
  <c r="AD12" i="79"/>
  <c r="T47" i="79" l="1"/>
  <c r="F10" i="79"/>
  <c r="A14" i="79"/>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M145" i="79"/>
  <c r="M144" i="79"/>
  <c r="M142" i="79"/>
  <c r="M133" i="79"/>
  <c r="M128" i="79"/>
  <c r="M121" i="79"/>
  <c r="M118" i="79"/>
  <c r="C13" i="77"/>
  <c r="Q6" i="36"/>
  <c r="P6" i="36"/>
  <c r="O6" i="36"/>
  <c r="N6" i="36"/>
  <c r="M6" i="36"/>
  <c r="L6" i="36"/>
  <c r="K6" i="36"/>
  <c r="E19" i="48"/>
  <c r="O23" i="36" s="1"/>
  <c r="E18" i="48"/>
  <c r="N28" i="36" s="1"/>
  <c r="E17" i="48"/>
  <c r="E16" i="48"/>
  <c r="E14" i="48"/>
  <c r="E13" i="48"/>
  <c r="E12" i="48"/>
  <c r="D7" i="48"/>
  <c r="E7" i="48"/>
  <c r="D8" i="48"/>
  <c r="E8" i="48"/>
  <c r="A13" i="73"/>
  <c r="A14" i="73" s="1"/>
  <c r="A15" i="73" s="1"/>
  <c r="A16" i="73" s="1"/>
  <c r="A17" i="73" s="1"/>
  <c r="A18" i="73" s="1"/>
  <c r="A19" i="73" s="1"/>
  <c r="A20" i="73" s="1"/>
  <c r="A21" i="73" s="1"/>
  <c r="A22" i="73" s="1"/>
  <c r="A23" i="73" s="1"/>
  <c r="A24" i="73" s="1"/>
  <c r="A25" i="73" s="1"/>
  <c r="A26" i="73" s="1"/>
  <c r="A27" i="73" s="1"/>
  <c r="A28" i="73" s="1"/>
  <c r="A29" i="73" s="1"/>
  <c r="A30" i="73" s="1"/>
  <c r="A31" i="73" s="1"/>
  <c r="A32" i="73" s="1"/>
  <c r="A33" i="73" s="1"/>
  <c r="A34" i="73" s="1"/>
  <c r="A35" i="73" s="1"/>
  <c r="A36" i="73" s="1"/>
  <c r="A37" i="73" s="1"/>
  <c r="A38" i="73" s="1"/>
  <c r="A39" i="73" s="1"/>
  <c r="A40" i="73" s="1"/>
  <c r="A41" i="73" s="1"/>
  <c r="A42" i="73" s="1"/>
  <c r="A43" i="73" s="1"/>
  <c r="A44" i="73" s="1"/>
  <c r="A45" i="73" s="1"/>
  <c r="A46" i="73" s="1"/>
  <c r="A47" i="73" s="1"/>
  <c r="A48" i="73" s="1"/>
  <c r="A49" i="73" s="1"/>
  <c r="A50" i="73" s="1"/>
  <c r="A51" i="73" s="1"/>
  <c r="A52" i="73" s="1"/>
  <c r="A42" i="69"/>
  <c r="I25" i="66"/>
  <c r="R14" i="79"/>
  <c r="M103" i="79"/>
  <c r="M101" i="79"/>
  <c r="M98" i="79"/>
  <c r="M97" i="79"/>
  <c r="M96" i="79"/>
  <c r="M95" i="79"/>
  <c r="M94" i="79"/>
  <c r="Z82" i="79"/>
  <c r="Y82" i="79"/>
  <c r="Q82" i="79"/>
  <c r="P82" i="79"/>
  <c r="O82" i="79"/>
  <c r="N82" i="79"/>
  <c r="M82" i="79"/>
  <c r="K82" i="79"/>
  <c r="I82" i="79"/>
  <c r="H82" i="79"/>
  <c r="C82" i="79"/>
  <c r="X81" i="79"/>
  <c r="AA81" i="79" s="1"/>
  <c r="AC81" i="79" s="1"/>
  <c r="V81" i="79"/>
  <c r="R81" i="79"/>
  <c r="X80" i="79"/>
  <c r="X82" i="79" s="1"/>
  <c r="W80" i="79"/>
  <c r="W82" i="79" s="1"/>
  <c r="V80" i="79"/>
  <c r="V82" i="79" s="1"/>
  <c r="R80" i="79"/>
  <c r="R82" i="79" s="1"/>
  <c r="Z77" i="79"/>
  <c r="Y77" i="79"/>
  <c r="Q77" i="79"/>
  <c r="P77" i="79"/>
  <c r="O77" i="79"/>
  <c r="N77" i="79"/>
  <c r="M77" i="79"/>
  <c r="K77" i="79"/>
  <c r="I77" i="79"/>
  <c r="H77" i="79"/>
  <c r="C77" i="79"/>
  <c r="X76" i="79"/>
  <c r="X77" i="79" s="1"/>
  <c r="W76" i="79"/>
  <c r="V76" i="79"/>
  <c r="V77" i="79" s="1"/>
  <c r="R76" i="79"/>
  <c r="R77" i="79" s="1"/>
  <c r="Y73" i="79"/>
  <c r="Q73" i="79"/>
  <c r="P73" i="79"/>
  <c r="O73" i="79"/>
  <c r="N73" i="79"/>
  <c r="M73" i="79"/>
  <c r="K73" i="79"/>
  <c r="I73" i="79"/>
  <c r="H73" i="79"/>
  <c r="C73" i="79"/>
  <c r="X72" i="79"/>
  <c r="W72" i="79"/>
  <c r="V72" i="79"/>
  <c r="AA72" i="79" s="1"/>
  <c r="R72" i="79"/>
  <c r="X71" i="79"/>
  <c r="W71" i="79"/>
  <c r="V71" i="79"/>
  <c r="R71" i="79"/>
  <c r="X70" i="79"/>
  <c r="W70" i="79"/>
  <c r="V70" i="79"/>
  <c r="R70" i="79"/>
  <c r="X69" i="79"/>
  <c r="W69" i="79"/>
  <c r="V69" i="79"/>
  <c r="R69" i="79"/>
  <c r="X68" i="79"/>
  <c r="W68" i="79"/>
  <c r="V68" i="79"/>
  <c r="AA68" i="79" s="1"/>
  <c r="R68" i="79"/>
  <c r="X67" i="79"/>
  <c r="W67" i="79"/>
  <c r="V67" i="79"/>
  <c r="R67" i="79"/>
  <c r="X66" i="79"/>
  <c r="W66" i="79"/>
  <c r="V66" i="79"/>
  <c r="AA66" i="79" s="1"/>
  <c r="R66" i="79"/>
  <c r="X65" i="79"/>
  <c r="W65" i="79"/>
  <c r="V65" i="79"/>
  <c r="R65" i="79"/>
  <c r="X64" i="79"/>
  <c r="AA64" i="79" s="1"/>
  <c r="R64" i="79"/>
  <c r="AA63" i="79"/>
  <c r="R63" i="79"/>
  <c r="X62" i="79"/>
  <c r="AA62" i="79" s="1"/>
  <c r="AC62" i="79" s="1"/>
  <c r="R62" i="79"/>
  <c r="X61" i="79"/>
  <c r="AA61" i="79" s="1"/>
  <c r="AC61" i="79" s="1"/>
  <c r="R61" i="79"/>
  <c r="X60" i="79"/>
  <c r="W60" i="79"/>
  <c r="V60" i="79"/>
  <c r="R60" i="79"/>
  <c r="X59" i="79"/>
  <c r="W59" i="79"/>
  <c r="V59" i="79"/>
  <c r="AA59" i="79" s="1"/>
  <c r="AC59" i="79" s="1"/>
  <c r="R59" i="79"/>
  <c r="X58" i="79"/>
  <c r="W58" i="79"/>
  <c r="V58" i="79"/>
  <c r="R58" i="79"/>
  <c r="X57" i="79"/>
  <c r="W57" i="79"/>
  <c r="V57" i="79"/>
  <c r="AA57" i="79" s="1"/>
  <c r="AC57" i="79" s="1"/>
  <c r="R57" i="79"/>
  <c r="X56" i="79"/>
  <c r="W56" i="79"/>
  <c r="V56" i="79"/>
  <c r="R56" i="79"/>
  <c r="X55" i="79"/>
  <c r="W55" i="79"/>
  <c r="V55" i="79"/>
  <c r="R55" i="79"/>
  <c r="X54" i="79"/>
  <c r="W54" i="79"/>
  <c r="V54" i="79"/>
  <c r="R54" i="79"/>
  <c r="X53" i="79"/>
  <c r="W53" i="79"/>
  <c r="V53" i="79"/>
  <c r="R53" i="79"/>
  <c r="X52" i="79"/>
  <c r="W52" i="79"/>
  <c r="V52" i="79"/>
  <c r="R52" i="79"/>
  <c r="X51" i="79"/>
  <c r="W51" i="79"/>
  <c r="V51" i="79"/>
  <c r="R51" i="79"/>
  <c r="X50" i="79"/>
  <c r="W50" i="79"/>
  <c r="V50" i="79"/>
  <c r="R50" i="79"/>
  <c r="D49" i="79"/>
  <c r="F49" i="79" s="1"/>
  <c r="H49" i="79" s="1"/>
  <c r="I49" i="79" s="1"/>
  <c r="J49" i="79" s="1"/>
  <c r="K49" i="79" s="1"/>
  <c r="M49" i="79" s="1"/>
  <c r="N49" i="79" s="1"/>
  <c r="O49" i="79" s="1"/>
  <c r="P49" i="79" s="1"/>
  <c r="Q49" i="79" s="1"/>
  <c r="R49" i="79" s="1"/>
  <c r="T49" i="79" s="1"/>
  <c r="V49" i="79" s="1"/>
  <c r="W49" i="79" s="1"/>
  <c r="X49" i="79" s="1"/>
  <c r="Y49" i="79" s="1"/>
  <c r="Z49" i="79" s="1"/>
  <c r="AA49" i="79" s="1"/>
  <c r="AC49" i="79" s="1"/>
  <c r="Z45" i="79"/>
  <c r="X45" i="79"/>
  <c r="W45" i="79"/>
  <c r="V45" i="79"/>
  <c r="R45" i="79"/>
  <c r="Z44" i="79"/>
  <c r="X44" i="79"/>
  <c r="R44" i="79"/>
  <c r="X43" i="79"/>
  <c r="AA43" i="79" s="1"/>
  <c r="R43" i="79"/>
  <c r="Z42" i="79"/>
  <c r="X42" i="79"/>
  <c r="W42" i="79"/>
  <c r="V42" i="79"/>
  <c r="R42" i="79"/>
  <c r="Z41" i="79"/>
  <c r="X41" i="79"/>
  <c r="W41" i="79"/>
  <c r="V41" i="79"/>
  <c r="R41" i="79"/>
  <c r="Z40" i="79"/>
  <c r="X40" i="79"/>
  <c r="W40" i="79"/>
  <c r="V40" i="79"/>
  <c r="R40" i="79"/>
  <c r="Z39" i="79"/>
  <c r="X39" i="79"/>
  <c r="W39" i="79"/>
  <c r="V39" i="79"/>
  <c r="R39" i="79"/>
  <c r="Z38" i="79"/>
  <c r="X38" i="79"/>
  <c r="W38" i="79"/>
  <c r="V38" i="79"/>
  <c r="R38" i="79"/>
  <c r="Z37" i="79"/>
  <c r="X37" i="79"/>
  <c r="W37" i="79"/>
  <c r="V37" i="79"/>
  <c r="R37" i="79"/>
  <c r="X36" i="79"/>
  <c r="AA36" i="79" s="1"/>
  <c r="R36" i="79"/>
  <c r="Z35" i="79"/>
  <c r="X35" i="79"/>
  <c r="W35" i="79"/>
  <c r="V35" i="79"/>
  <c r="R35" i="79"/>
  <c r="Z34" i="79"/>
  <c r="X34" i="79"/>
  <c r="W34" i="79"/>
  <c r="V34" i="79"/>
  <c r="R34" i="79"/>
  <c r="Z33" i="79"/>
  <c r="X33" i="79"/>
  <c r="W33" i="79"/>
  <c r="V33" i="79"/>
  <c r="R33" i="79"/>
  <c r="Z32" i="79"/>
  <c r="X32" i="79"/>
  <c r="W32" i="79"/>
  <c r="V32" i="79"/>
  <c r="R32" i="79"/>
  <c r="Z31" i="79"/>
  <c r="X31" i="79"/>
  <c r="W31" i="79"/>
  <c r="V31" i="79"/>
  <c r="R31" i="79"/>
  <c r="Z30" i="79"/>
  <c r="X30" i="79"/>
  <c r="W30" i="79"/>
  <c r="V30" i="79"/>
  <c r="R30" i="79"/>
  <c r="Z29" i="79"/>
  <c r="X29" i="79"/>
  <c r="W29" i="79"/>
  <c r="V29" i="79"/>
  <c r="R29" i="79"/>
  <c r="Z28" i="79"/>
  <c r="X28" i="79"/>
  <c r="W28" i="79"/>
  <c r="V28" i="79"/>
  <c r="AA28" i="79" s="1"/>
  <c r="AC28" i="79" s="1"/>
  <c r="R28" i="79"/>
  <c r="Z27" i="79"/>
  <c r="X27" i="79"/>
  <c r="W27" i="79"/>
  <c r="V27" i="79"/>
  <c r="R27" i="79"/>
  <c r="Z26" i="79"/>
  <c r="X26" i="79"/>
  <c r="W26" i="79"/>
  <c r="V26" i="79"/>
  <c r="R26" i="79"/>
  <c r="Z23" i="79"/>
  <c r="Y23" i="79"/>
  <c r="X23" i="79"/>
  <c r="W23" i="79"/>
  <c r="Q23" i="79"/>
  <c r="P23" i="79"/>
  <c r="O23" i="79"/>
  <c r="N23" i="79"/>
  <c r="M23" i="79"/>
  <c r="K23" i="79"/>
  <c r="J23" i="79"/>
  <c r="I23" i="79"/>
  <c r="H23" i="79"/>
  <c r="C23" i="79"/>
  <c r="V22" i="79"/>
  <c r="AA22" i="79" s="1"/>
  <c r="R22" i="79"/>
  <c r="V21" i="79"/>
  <c r="AA21" i="79" s="1"/>
  <c r="R21" i="79"/>
  <c r="V20" i="79"/>
  <c r="AA20" i="79" s="1"/>
  <c r="R20" i="79"/>
  <c r="V19" i="79"/>
  <c r="AA19" i="79" s="1"/>
  <c r="R19" i="79"/>
  <c r="V18" i="79"/>
  <c r="AA18" i="79" s="1"/>
  <c r="R18" i="79"/>
  <c r="V17" i="79"/>
  <c r="AA17" i="79" s="1"/>
  <c r="R17" i="79"/>
  <c r="V16" i="79"/>
  <c r="AA16" i="79" s="1"/>
  <c r="R16" i="79"/>
  <c r="V15" i="79"/>
  <c r="AA15" i="79" s="1"/>
  <c r="R15" i="79"/>
  <c r="V14" i="79"/>
  <c r="AA14" i="79" s="1"/>
  <c r="AA13" i="79"/>
  <c r="R13" i="79"/>
  <c r="A13" i="79"/>
  <c r="AA12" i="79"/>
  <c r="R12" i="79"/>
  <c r="D10" i="79"/>
  <c r="F51" i="63"/>
  <c r="G51" i="63" s="1"/>
  <c r="H51" i="63"/>
  <c r="D24" i="64" l="1"/>
  <c r="AA55" i="79"/>
  <c r="AC55" i="79" s="1"/>
  <c r="AA58" i="79"/>
  <c r="AC58" i="79" s="1"/>
  <c r="AA60" i="79"/>
  <c r="AC60" i="79" s="1"/>
  <c r="AC63" i="79"/>
  <c r="AC64" i="79"/>
  <c r="AA44" i="79"/>
  <c r="R73" i="79"/>
  <c r="AA29" i="79"/>
  <c r="AC29" i="79" s="1"/>
  <c r="AA39" i="79"/>
  <c r="AC39" i="79" s="1"/>
  <c r="O84" i="79"/>
  <c r="H10" i="79"/>
  <c r="I10" i="79" s="1"/>
  <c r="J10" i="79" s="1"/>
  <c r="K10" i="79" s="1"/>
  <c r="M10" i="79" s="1"/>
  <c r="N10" i="79" s="1"/>
  <c r="O10" i="79" s="1"/>
  <c r="P10" i="79" s="1"/>
  <c r="Q10" i="79" s="1"/>
  <c r="R10" i="79" s="1"/>
  <c r="T10" i="79" s="1"/>
  <c r="V10" i="79" s="1"/>
  <c r="W10" i="79" s="1"/>
  <c r="X10" i="79" s="1"/>
  <c r="Y10" i="79" s="1"/>
  <c r="Z10" i="79" s="1"/>
  <c r="AA10" i="79" s="1"/>
  <c r="AC10" i="79" s="1"/>
  <c r="C84" i="79"/>
  <c r="A50" i="79"/>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94" i="79" s="1"/>
  <c r="A95" i="79" s="1"/>
  <c r="A96" i="79" s="1"/>
  <c r="A97" i="79" s="1"/>
  <c r="A98" i="79" s="1"/>
  <c r="A99" i="79" s="1"/>
  <c r="A101" i="79" s="1"/>
  <c r="A102" i="79" s="1"/>
  <c r="A103" i="79" s="1"/>
  <c r="A104" i="79" s="1"/>
  <c r="A105" i="79" s="1"/>
  <c r="A107" i="79" s="1"/>
  <c r="AC12" i="79"/>
  <c r="AC19" i="79"/>
  <c r="L99" i="79"/>
  <c r="L138" i="79"/>
  <c r="N122" i="79" s="1"/>
  <c r="AC15" i="79"/>
  <c r="X73" i="79"/>
  <c r="X84" i="79" s="1"/>
  <c r="AC36" i="79"/>
  <c r="AA51" i="79"/>
  <c r="AC51" i="79" s="1"/>
  <c r="Y84" i="79"/>
  <c r="V73" i="79"/>
  <c r="AC43" i="79"/>
  <c r="W73" i="79"/>
  <c r="W84" i="79" s="1"/>
  <c r="Q84" i="79"/>
  <c r="AC16" i="79"/>
  <c r="AA30" i="79"/>
  <c r="AC30" i="79" s="1"/>
  <c r="AA27" i="79"/>
  <c r="AC27" i="79" s="1"/>
  <c r="AA37" i="79"/>
  <c r="AC37" i="79" s="1"/>
  <c r="AC44" i="79"/>
  <c r="AC68" i="79"/>
  <c r="AA76" i="79"/>
  <c r="AC76" i="79" s="1"/>
  <c r="AC17" i="79"/>
  <c r="AA33" i="79"/>
  <c r="AC33" i="79" s="1"/>
  <c r="AA40" i="79"/>
  <c r="AC40" i="79" s="1"/>
  <c r="AA52" i="79"/>
  <c r="AC52" i="79" s="1"/>
  <c r="AA56" i="79"/>
  <c r="AC56" i="79" s="1"/>
  <c r="AC22" i="79"/>
  <c r="AC72" i="79"/>
  <c r="AA41" i="79"/>
  <c r="AC41" i="79" s="1"/>
  <c r="AA65" i="79"/>
  <c r="AC65" i="79" s="1"/>
  <c r="AC18" i="79"/>
  <c r="AA34" i="79"/>
  <c r="AC34" i="79" s="1"/>
  <c r="AA45" i="79"/>
  <c r="AC45" i="79" s="1"/>
  <c r="AA69" i="79"/>
  <c r="AC69" i="79" s="1"/>
  <c r="AA31" i="79"/>
  <c r="AC31" i="79" s="1"/>
  <c r="AA53" i="79"/>
  <c r="AC53" i="79" s="1"/>
  <c r="M102" i="79"/>
  <c r="I84" i="79"/>
  <c r="AC20" i="79"/>
  <c r="AA38" i="79"/>
  <c r="AC38" i="79" s="1"/>
  <c r="AC66" i="79"/>
  <c r="AA70" i="79"/>
  <c r="AC70" i="79" s="1"/>
  <c r="AC13" i="79"/>
  <c r="AC21" i="79"/>
  <c r="AA32" i="79"/>
  <c r="AC32" i="79" s="1"/>
  <c r="AA50" i="79"/>
  <c r="AC50" i="79" s="1"/>
  <c r="AA54" i="79"/>
  <c r="AC54" i="79" s="1"/>
  <c r="N84" i="79"/>
  <c r="AA35" i="79"/>
  <c r="AC35" i="79" s="1"/>
  <c r="AA42" i="79"/>
  <c r="AC42" i="79" s="1"/>
  <c r="AA67" i="79"/>
  <c r="AC67" i="79" s="1"/>
  <c r="AA71" i="79"/>
  <c r="AC71" i="79" s="1"/>
  <c r="P84" i="79"/>
  <c r="AC14" i="79"/>
  <c r="R23" i="79"/>
  <c r="M84" i="79"/>
  <c r="K84" i="79"/>
  <c r="H84" i="79"/>
  <c r="L105" i="79"/>
  <c r="AA23" i="79"/>
  <c r="Z73" i="79"/>
  <c r="Z84" i="79" s="1"/>
  <c r="V23" i="79"/>
  <c r="AA80" i="79"/>
  <c r="AA26" i="79"/>
  <c r="W77" i="79"/>
  <c r="M104" i="79"/>
  <c r="I51" i="63"/>
  <c r="R84" i="79" l="1"/>
  <c r="N132" i="79"/>
  <c r="N117" i="79"/>
  <c r="N131" i="79"/>
  <c r="N125" i="79"/>
  <c r="N127" i="79"/>
  <c r="N118" i="79"/>
  <c r="N121" i="79"/>
  <c r="N104" i="79" s="1"/>
  <c r="N116" i="79"/>
  <c r="N101" i="79" s="1"/>
  <c r="N126" i="79"/>
  <c r="N133" i="79"/>
  <c r="N124" i="79"/>
  <c r="N120" i="79"/>
  <c r="N103" i="79" s="1"/>
  <c r="N138" i="79"/>
  <c r="N129" i="79"/>
  <c r="N128" i="79"/>
  <c r="N134" i="79"/>
  <c r="N97" i="79" s="1"/>
  <c r="N130" i="79"/>
  <c r="N135" i="79"/>
  <c r="N136" i="79"/>
  <c r="N137" i="79"/>
  <c r="N123" i="79"/>
  <c r="N119" i="79"/>
  <c r="L107" i="79"/>
  <c r="AA77" i="79"/>
  <c r="AC77" i="79" s="1"/>
  <c r="V84" i="79"/>
  <c r="AC23" i="79"/>
  <c r="AC26" i="79"/>
  <c r="AA73" i="79"/>
  <c r="AC73" i="79" s="1"/>
  <c r="AA82" i="79"/>
  <c r="AC80" i="79"/>
  <c r="N96" i="79" l="1"/>
  <c r="N94" i="79"/>
  <c r="N95" i="79"/>
  <c r="N102" i="79"/>
  <c r="N98" i="79"/>
  <c r="N105" i="79"/>
  <c r="AC82" i="79"/>
  <c r="AA84" i="79"/>
  <c r="AC84" i="79" s="1"/>
  <c r="AC86" i="79" s="1"/>
  <c r="N99" i="79" l="1"/>
  <c r="N107" i="79" s="1"/>
  <c r="R104" i="79"/>
  <c r="R95" i="79"/>
  <c r="R103" i="79"/>
  <c r="R98" i="79"/>
  <c r="R94" i="79"/>
  <c r="R102" i="79"/>
  <c r="R97" i="79"/>
  <c r="R101" i="79"/>
  <c r="R96" i="79"/>
  <c r="R105" i="79" l="1"/>
  <c r="R99" i="79"/>
  <c r="E15" i="48" s="1"/>
  <c r="R107" i="79" l="1"/>
  <c r="H54" i="63"/>
  <c r="F13" i="63"/>
  <c r="G13" i="63" s="1"/>
  <c r="F14" i="63"/>
  <c r="H14" i="63" s="1"/>
  <c r="F15" i="63"/>
  <c r="H15" i="63" s="1"/>
  <c r="F16" i="63"/>
  <c r="H16" i="63" s="1"/>
  <c r="F17" i="63"/>
  <c r="H17" i="63" s="1"/>
  <c r="F18" i="63"/>
  <c r="G18" i="63" s="1"/>
  <c r="F19" i="63"/>
  <c r="H19" i="63" s="1"/>
  <c r="F20" i="63"/>
  <c r="H20" i="63" s="1"/>
  <c r="F21" i="63"/>
  <c r="G21" i="63" s="1"/>
  <c r="F22" i="63"/>
  <c r="G22" i="63" s="1"/>
  <c r="F23" i="63"/>
  <c r="H23" i="63" s="1"/>
  <c r="F24" i="63"/>
  <c r="H24" i="63" s="1"/>
  <c r="F25" i="63"/>
  <c r="G25" i="63" s="1"/>
  <c r="F26" i="63"/>
  <c r="H26" i="63" s="1"/>
  <c r="F27" i="63"/>
  <c r="H27" i="63" s="1"/>
  <c r="F28" i="63"/>
  <c r="H28" i="63" s="1"/>
  <c r="F29" i="63"/>
  <c r="H29" i="63" s="1"/>
  <c r="F30" i="63"/>
  <c r="H30" i="63" s="1"/>
  <c r="F31" i="63"/>
  <c r="H31" i="63" s="1"/>
  <c r="F32" i="63"/>
  <c r="H32" i="63" s="1"/>
  <c r="F33" i="63"/>
  <c r="H33" i="63" s="1"/>
  <c r="F34" i="63"/>
  <c r="H34" i="63" s="1"/>
  <c r="F35" i="63"/>
  <c r="G35" i="63" s="1"/>
  <c r="F36" i="63"/>
  <c r="H36" i="63" s="1"/>
  <c r="F37" i="63"/>
  <c r="G37" i="63" s="1"/>
  <c r="F38" i="63"/>
  <c r="G38" i="63" s="1"/>
  <c r="F39" i="63"/>
  <c r="H39" i="63" s="1"/>
  <c r="F40" i="63"/>
  <c r="G40" i="63" s="1"/>
  <c r="F41" i="63"/>
  <c r="G41" i="63" s="1"/>
  <c r="F42" i="63"/>
  <c r="H42" i="63" s="1"/>
  <c r="F43" i="63"/>
  <c r="G43" i="63" s="1"/>
  <c r="F44" i="63"/>
  <c r="H44" i="63" s="1"/>
  <c r="F45" i="63"/>
  <c r="H45" i="63" s="1"/>
  <c r="F46" i="63"/>
  <c r="H46" i="63" s="1"/>
  <c r="F47" i="63"/>
  <c r="H47" i="63" s="1"/>
  <c r="F48" i="63"/>
  <c r="H48" i="63" s="1"/>
  <c r="F49" i="63"/>
  <c r="H49" i="63" s="1"/>
  <c r="F50" i="63"/>
  <c r="H50" i="63" s="1"/>
  <c r="F52" i="63"/>
  <c r="H52" i="63" s="1"/>
  <c r="F53" i="63"/>
  <c r="H53" i="63" s="1"/>
  <c r="F54" i="63"/>
  <c r="G54" i="63" s="1"/>
  <c r="F55" i="63"/>
  <c r="H55" i="63" s="1"/>
  <c r="F56" i="63"/>
  <c r="G56" i="63" s="1"/>
  <c r="F57" i="63"/>
  <c r="H57" i="63" s="1"/>
  <c r="F58" i="63"/>
  <c r="H58" i="63" s="1"/>
  <c r="F59" i="63"/>
  <c r="H59" i="63" s="1"/>
  <c r="F60" i="63"/>
  <c r="H60" i="63" s="1"/>
  <c r="F61" i="63"/>
  <c r="H61" i="63" s="1"/>
  <c r="I59" i="63" l="1"/>
  <c r="I57" i="63"/>
  <c r="I52" i="63"/>
  <c r="I17" i="63"/>
  <c r="I32" i="63"/>
  <c r="I15" i="63"/>
  <c r="I27" i="63"/>
  <c r="I34" i="63"/>
  <c r="I46" i="63"/>
  <c r="I30" i="63"/>
  <c r="I14" i="63"/>
  <c r="I42" i="63"/>
  <c r="I24" i="63"/>
  <c r="I36" i="63"/>
  <c r="I29" i="63"/>
  <c r="I54" i="63"/>
  <c r="H41" i="63"/>
  <c r="I41" i="63" s="1"/>
  <c r="G57" i="63"/>
  <c r="G24" i="63"/>
  <c r="G23" i="63"/>
  <c r="I23" i="63" s="1"/>
  <c r="G53" i="63"/>
  <c r="I53" i="63" s="1"/>
  <c r="G36" i="63"/>
  <c r="G20" i="63"/>
  <c r="I20" i="63" s="1"/>
  <c r="H21" i="63"/>
  <c r="I21" i="63" s="1"/>
  <c r="G19" i="63"/>
  <c r="I19" i="63" s="1"/>
  <c r="H25" i="63"/>
  <c r="I25" i="63" s="1"/>
  <c r="H40" i="63"/>
  <c r="I40" i="63" s="1"/>
  <c r="G39" i="63"/>
  <c r="I39" i="63" s="1"/>
  <c r="G52" i="63"/>
  <c r="H35" i="63"/>
  <c r="I35" i="63" s="1"/>
  <c r="G34" i="63"/>
  <c r="H18" i="63"/>
  <c r="I18" i="63" s="1"/>
  <c r="H22" i="63"/>
  <c r="I22" i="63" s="1"/>
  <c r="G50" i="63"/>
  <c r="I50" i="63" s="1"/>
  <c r="G49" i="63"/>
  <c r="I49" i="63" s="1"/>
  <c r="G33" i="63"/>
  <c r="I33" i="63" s="1"/>
  <c r="G17" i="63"/>
  <c r="H37" i="63"/>
  <c r="I37" i="63" s="1"/>
  <c r="G48" i="63"/>
  <c r="I48" i="63" s="1"/>
  <c r="G32" i="63"/>
  <c r="G16" i="63"/>
  <c r="I16" i="63" s="1"/>
  <c r="G55" i="63"/>
  <c r="I55" i="63" s="1"/>
  <c r="G47" i="63"/>
  <c r="I47" i="63" s="1"/>
  <c r="G31" i="63"/>
  <c r="I31" i="63" s="1"/>
  <c r="G15" i="63"/>
  <c r="G58" i="63"/>
  <c r="I58" i="63" s="1"/>
  <c r="G46" i="63"/>
  <c r="G30" i="63"/>
  <c r="G14" i="63"/>
  <c r="G29" i="63"/>
  <c r="H13" i="63"/>
  <c r="I13" i="63" s="1"/>
  <c r="H56" i="63"/>
  <c r="I56" i="63" s="1"/>
  <c r="H38" i="63"/>
  <c r="I38" i="63" s="1"/>
  <c r="G61" i="63"/>
  <c r="I61" i="63" s="1"/>
  <c r="G44" i="63"/>
  <c r="I44" i="63" s="1"/>
  <c r="G28" i="63"/>
  <c r="I28" i="63" s="1"/>
  <c r="G60" i="63"/>
  <c r="I60" i="63" s="1"/>
  <c r="G27" i="63"/>
  <c r="H43" i="63"/>
  <c r="I43" i="63" s="1"/>
  <c r="G45" i="63"/>
  <c r="I45" i="63" s="1"/>
  <c r="G59" i="63"/>
  <c r="G42" i="63"/>
  <c r="G26" i="63"/>
  <c r="I26" i="63" s="1"/>
  <c r="G18" i="39"/>
  <c r="I19" i="39"/>
  <c r="A13" i="75"/>
  <c r="F65" i="63"/>
  <c r="G65" i="63" s="1"/>
  <c r="F12" i="63"/>
  <c r="H12" i="63" s="1"/>
  <c r="H62" i="63" l="1"/>
  <c r="H65" i="63"/>
  <c r="I65" i="63" s="1"/>
  <c r="I39" i="73"/>
  <c r="I38" i="73"/>
  <c r="K38" i="73" s="1"/>
  <c r="I37" i="73"/>
  <c r="K37" i="73" s="1"/>
  <c r="I34" i="73"/>
  <c r="I24" i="73"/>
  <c r="I23" i="73"/>
  <c r="I22" i="73"/>
  <c r="I21" i="73"/>
  <c r="I20" i="73"/>
  <c r="I19" i="73"/>
  <c r="I18" i="73"/>
  <c r="I17" i="73"/>
  <c r="I16" i="73"/>
  <c r="I12" i="73"/>
  <c r="I14" i="69"/>
  <c r="G12" i="66" l="1"/>
  <c r="C14" i="77" l="1"/>
  <c r="A13" i="77"/>
  <c r="A14" i="77" s="1"/>
  <c r="F12" i="70" l="1"/>
  <c r="F14" i="70" s="1"/>
  <c r="F56" i="65"/>
  <c r="F57" i="65"/>
  <c r="F58" i="65"/>
  <c r="F59" i="65"/>
  <c r="F49" i="64"/>
  <c r="E40" i="64"/>
  <c r="E36" i="64"/>
  <c r="E34" i="64"/>
  <c r="E33" i="64"/>
  <c r="E32" i="64"/>
  <c r="E26" i="64"/>
  <c r="E25" i="64"/>
  <c r="E14" i="64"/>
  <c r="E15" i="64"/>
  <c r="E16" i="64"/>
  <c r="E17" i="64"/>
  <c r="E18" i="64"/>
  <c r="C9" i="64" l="1"/>
  <c r="E13" i="28"/>
  <c r="E15" i="28" s="1"/>
  <c r="E17" i="28" s="1"/>
  <c r="E21" i="28" s="1"/>
  <c r="H36" i="39"/>
  <c r="E9" i="64" l="1"/>
  <c r="E23" i="28"/>
  <c r="E9" i="48" s="1"/>
  <c r="D19" i="64" s="1"/>
  <c r="A13" i="63" l="1"/>
  <c r="A14" i="63" s="1"/>
  <c r="A15" i="63" s="1"/>
  <c r="F97" i="63"/>
  <c r="F91" i="63"/>
  <c r="A16" i="63" l="1"/>
  <c r="A17" i="63" s="1"/>
  <c r="A18" i="63" s="1"/>
  <c r="A19" i="63" s="1"/>
  <c r="A20" i="63" s="1"/>
  <c r="A21" i="63" s="1"/>
  <c r="A22" i="63" s="1"/>
  <c r="D67" i="63"/>
  <c r="D62" i="63"/>
  <c r="A23" i="63" l="1"/>
  <c r="A24" i="63" s="1"/>
  <c r="D69" i="63"/>
  <c r="I76" i="63"/>
  <c r="A25" i="63" l="1"/>
  <c r="A26" i="63" s="1"/>
  <c r="A27" i="63" s="1"/>
  <c r="A28" i="63" s="1"/>
  <c r="A29" i="63" s="1"/>
  <c r="A30" i="63" s="1"/>
  <c r="A31" i="63" s="1"/>
  <c r="A32" i="63" s="1"/>
  <c r="A33" i="63" s="1"/>
  <c r="A34" i="63" s="1"/>
  <c r="A35" i="63" s="1"/>
  <c r="A36" i="63" s="1"/>
  <c r="A37" i="63" s="1"/>
  <c r="A38" i="63" s="1"/>
  <c r="A39" i="63" s="1"/>
  <c r="A40" i="63" s="1"/>
  <c r="A41" i="63" s="1"/>
  <c r="A42" i="63" s="1"/>
  <c r="A43" i="63" s="1"/>
  <c r="A44" i="63" s="1"/>
  <c r="A45" i="63" s="1"/>
  <c r="A46" i="63" s="1"/>
  <c r="A47" i="63" s="1"/>
  <c r="A48" i="63" s="1"/>
  <c r="A49" i="63" s="1"/>
  <c r="Q4" i="36"/>
  <c r="A50" i="63" l="1"/>
  <c r="A52" i="63" l="1"/>
  <c r="A53" i="63" s="1"/>
  <c r="A54" i="63" s="1"/>
  <c r="A55" i="63" s="1"/>
  <c r="A56" i="63" s="1"/>
  <c r="A57" i="63" s="1"/>
  <c r="A58" i="63" s="1"/>
  <c r="A59" i="63" s="1"/>
  <c r="A60" i="63" s="1"/>
  <c r="A61" i="63" s="1"/>
  <c r="A62" i="63" s="1"/>
  <c r="B5" i="63"/>
  <c r="B4" i="63"/>
  <c r="A3" i="70"/>
  <c r="A63" i="63" l="1"/>
  <c r="A64" i="63" s="1"/>
  <c r="A65" i="63" s="1"/>
  <c r="A66" i="63" s="1"/>
  <c r="A67" i="63" s="1"/>
  <c r="A68" i="63" s="1"/>
  <c r="A69" i="63" s="1"/>
  <c r="A86" i="63" s="1"/>
  <c r="A87" i="63" s="1"/>
  <c r="A88" i="63" s="1"/>
  <c r="A89" i="63" s="1"/>
  <c r="A90" i="63" s="1"/>
  <c r="A91" i="63" s="1"/>
  <c r="A92" i="63" s="1"/>
  <c r="A93" i="63" s="1"/>
  <c r="A94" i="63" s="1"/>
  <c r="A95" i="63" s="1"/>
  <c r="A96" i="63" s="1"/>
  <c r="A97" i="63" s="1"/>
  <c r="A98" i="63" s="1"/>
  <c r="A99" i="63" s="1"/>
  <c r="A4" i="73"/>
  <c r="A3" i="73"/>
  <c r="A4" i="70"/>
  <c r="A4" i="69"/>
  <c r="A3" i="69"/>
  <c r="A5" i="66"/>
  <c r="A4" i="66"/>
  <c r="A4" i="75"/>
  <c r="A3" i="75"/>
  <c r="A4" i="68"/>
  <c r="A3" i="68"/>
  <c r="A4" i="39"/>
  <c r="A3" i="39"/>
  <c r="A5" i="33"/>
  <c r="A4" i="33"/>
  <c r="A4" i="28"/>
  <c r="A3" i="28"/>
  <c r="A5" i="17"/>
  <c r="A4" i="17"/>
  <c r="A5" i="6"/>
  <c r="A4" i="6"/>
  <c r="B1" i="36"/>
  <c r="A1" i="48"/>
  <c r="P4" i="36" l="1"/>
  <c r="O4" i="36"/>
  <c r="O40" i="36"/>
  <c r="O46" i="36" s="1"/>
  <c r="O24" i="36"/>
  <c r="O12" i="36"/>
  <c r="O44" i="36" s="1"/>
  <c r="J6" i="36"/>
  <c r="I6" i="36"/>
  <c r="H6" i="36"/>
  <c r="G6" i="36"/>
  <c r="F6" i="36"/>
  <c r="E6" i="36"/>
  <c r="D6" i="36"/>
  <c r="C6" i="36"/>
  <c r="I35" i="33" l="1"/>
  <c r="I25" i="33"/>
  <c r="I30" i="33" s="1"/>
  <c r="A1" i="65"/>
  <c r="G22" i="48"/>
  <c r="G23" i="48"/>
  <c r="G24" i="48"/>
  <c r="G25" i="48"/>
  <c r="G28" i="48"/>
  <c r="I27" i="33" l="1"/>
  <c r="I31" i="33" s="1"/>
  <c r="I36" i="33" l="1"/>
  <c r="G40" i="39" l="1"/>
  <c r="I40" i="39" s="1"/>
  <c r="E56" i="39" s="1"/>
  <c r="E36" i="39"/>
  <c r="D36" i="39"/>
  <c r="G34" i="39"/>
  <c r="I34" i="39" s="1"/>
  <c r="G33" i="39"/>
  <c r="I33" i="39" s="1"/>
  <c r="G32" i="39"/>
  <c r="I32" i="39" s="1"/>
  <c r="G31" i="39"/>
  <c r="I31" i="39" s="1"/>
  <c r="G30" i="39"/>
  <c r="I30" i="39" s="1"/>
  <c r="G29" i="39"/>
  <c r="I29" i="39" s="1"/>
  <c r="G28" i="39"/>
  <c r="I28" i="39" s="1"/>
  <c r="G27" i="39"/>
  <c r="I27" i="39" s="1"/>
  <c r="D23" i="39"/>
  <c r="H23" i="39"/>
  <c r="G22" i="39"/>
  <c r="I22" i="39" s="1"/>
  <c r="G21" i="39"/>
  <c r="I21" i="39" s="1"/>
  <c r="G20" i="39"/>
  <c r="I20" i="39" s="1"/>
  <c r="G19" i="39"/>
  <c r="I18" i="39"/>
  <c r="G17" i="39"/>
  <c r="I17" i="39" s="1"/>
  <c r="A12" i="28"/>
  <c r="A14" i="28" s="1"/>
  <c r="A15" i="28" s="1"/>
  <c r="A16" i="28" s="1"/>
  <c r="A17" i="28" s="1"/>
  <c r="A18" i="28" s="1"/>
  <c r="A19" i="28" s="1"/>
  <c r="A20" i="28" s="1"/>
  <c r="A21" i="28" s="1"/>
  <c r="A22" i="28" s="1"/>
  <c r="A23" i="28" s="1"/>
  <c r="E50" i="39" l="1"/>
  <c r="E52" i="39"/>
  <c r="E49" i="39"/>
  <c r="E51" i="39"/>
  <c r="E53" i="39"/>
  <c r="G36" i="39"/>
  <c r="E23" i="36" l="1"/>
  <c r="G9" i="48"/>
  <c r="E14" i="75"/>
  <c r="E16" i="75" s="1"/>
  <c r="A14" i="75"/>
  <c r="A15" i="75" s="1"/>
  <c r="A16" i="75" s="1"/>
  <c r="J44" i="73"/>
  <c r="G44" i="73"/>
  <c r="I43" i="73"/>
  <c r="K43" i="73" s="1"/>
  <c r="I42" i="73"/>
  <c r="J40" i="73"/>
  <c r="G40" i="73"/>
  <c r="K39" i="73"/>
  <c r="I36" i="73"/>
  <c r="K36" i="73" s="1"/>
  <c r="I35" i="73"/>
  <c r="K35" i="73" s="1"/>
  <c r="K34" i="73"/>
  <c r="I33" i="73"/>
  <c r="K33" i="73" s="1"/>
  <c r="I32" i="73"/>
  <c r="K32" i="73" s="1"/>
  <c r="I31" i="73"/>
  <c r="K31" i="73" s="1"/>
  <c r="I30" i="73"/>
  <c r="K30" i="73" s="1"/>
  <c r="I29" i="73"/>
  <c r="K29" i="73" s="1"/>
  <c r="I28" i="73"/>
  <c r="K28" i="73" s="1"/>
  <c r="I27" i="73"/>
  <c r="K27" i="73" s="1"/>
  <c r="I26" i="73"/>
  <c r="K26" i="73" s="1"/>
  <c r="I25" i="73"/>
  <c r="K25" i="73" s="1"/>
  <c r="K24" i="73"/>
  <c r="K23" i="73"/>
  <c r="K22" i="73"/>
  <c r="K21" i="73"/>
  <c r="K20" i="73"/>
  <c r="K19" i="73"/>
  <c r="K18" i="73"/>
  <c r="K17" i="73"/>
  <c r="K16" i="73"/>
  <c r="J13" i="73"/>
  <c r="G13" i="73"/>
  <c r="A12" i="73"/>
  <c r="F18" i="70"/>
  <c r="F17" i="48" s="1"/>
  <c r="I43" i="69"/>
  <c r="F43" i="69"/>
  <c r="F45" i="69" s="1"/>
  <c r="A11" i="69"/>
  <c r="A12" i="69" s="1"/>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3" i="69" s="1"/>
  <c r="A44" i="69" s="1"/>
  <c r="A45" i="69" s="1"/>
  <c r="A46" i="69" s="1"/>
  <c r="A47" i="69" s="1"/>
  <c r="G130" i="68"/>
  <c r="H19" i="68" s="1"/>
  <c r="G124" i="68"/>
  <c r="H18" i="68" s="1"/>
  <c r="G118" i="68"/>
  <c r="H17" i="68" s="1"/>
  <c r="G101" i="68"/>
  <c r="H16" i="68" s="1"/>
  <c r="G94" i="68"/>
  <c r="H15" i="68" s="1"/>
  <c r="G85" i="68"/>
  <c r="H14" i="68" s="1"/>
  <c r="G73" i="68"/>
  <c r="H13" i="68" s="1"/>
  <c r="G48" i="68"/>
  <c r="H12" i="68" s="1"/>
  <c r="A13" i="68"/>
  <c r="A14" i="68" s="1"/>
  <c r="A15" i="68" s="1"/>
  <c r="A16" i="68" s="1"/>
  <c r="A17" i="68" s="1"/>
  <c r="A18" i="68" s="1"/>
  <c r="A19" i="68" s="1"/>
  <c r="A20" i="68" s="1"/>
  <c r="A21" i="68" s="1"/>
  <c r="A22" i="68" s="1"/>
  <c r="A23" i="68" s="1"/>
  <c r="A24" i="68" s="1"/>
  <c r="A28" i="68" s="1"/>
  <c r="A29" i="68" s="1"/>
  <c r="A30" i="68" s="1"/>
  <c r="A31" i="68" s="1"/>
  <c r="A32" i="68" s="1"/>
  <c r="A33" i="68" s="1"/>
  <c r="A34" i="68" s="1"/>
  <c r="A35" i="68" s="1"/>
  <c r="A36" i="68" s="1"/>
  <c r="A37" i="68" s="1"/>
  <c r="A38" i="68" s="1"/>
  <c r="A39" i="68" s="1"/>
  <c r="A40" i="68" s="1"/>
  <c r="A41" i="68" s="1"/>
  <c r="A42" i="68" s="1"/>
  <c r="A43" i="68" s="1"/>
  <c r="A44" i="68" s="1"/>
  <c r="A45" i="68" s="1"/>
  <c r="A46" i="68" s="1"/>
  <c r="A47" i="68" s="1"/>
  <c r="D17" i="66"/>
  <c r="F63" i="65"/>
  <c r="F62" i="65"/>
  <c r="E60" i="65"/>
  <c r="E64" i="65" s="1"/>
  <c r="D60" i="65"/>
  <c r="F55" i="65"/>
  <c r="F54" i="65"/>
  <c r="F52" i="65"/>
  <c r="E50" i="65"/>
  <c r="D50" i="65"/>
  <c r="F49" i="65"/>
  <c r="F48" i="65"/>
  <c r="F47" i="65"/>
  <c r="F46" i="65"/>
  <c r="F45" i="65"/>
  <c r="E43" i="65"/>
  <c r="D43" i="65"/>
  <c r="F42" i="65"/>
  <c r="F41" i="65"/>
  <c r="F40" i="65"/>
  <c r="F39" i="65"/>
  <c r="F38" i="65"/>
  <c r="F33" i="65"/>
  <c r="F32" i="65"/>
  <c r="E30" i="65"/>
  <c r="D30" i="65"/>
  <c r="F29" i="65"/>
  <c r="F28" i="65"/>
  <c r="F27" i="65"/>
  <c r="F26" i="65"/>
  <c r="F25" i="65"/>
  <c r="F24" i="65"/>
  <c r="F23" i="65"/>
  <c r="F22" i="65"/>
  <c r="F21" i="65"/>
  <c r="F20" i="65"/>
  <c r="E18" i="65"/>
  <c r="D18" i="65"/>
  <c r="F17" i="65"/>
  <c r="F16" i="65"/>
  <c r="F15" i="65"/>
  <c r="F14" i="65"/>
  <c r="E12" i="65"/>
  <c r="D12" i="65"/>
  <c r="F11" i="65"/>
  <c r="F10" i="65"/>
  <c r="F9" i="65"/>
  <c r="F8" i="65"/>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32" i="65" s="1"/>
  <c r="A33" i="65" s="1"/>
  <c r="A34" i="65" s="1"/>
  <c r="A35" i="65" s="1"/>
  <c r="A36" i="65" s="1"/>
  <c r="A37" i="65" s="1"/>
  <c r="A38" i="65" s="1"/>
  <c r="A39" i="65" s="1"/>
  <c r="A40" i="65" s="1"/>
  <c r="A41" i="65" s="1"/>
  <c r="A42" i="65" s="1"/>
  <c r="A43" i="65" s="1"/>
  <c r="A44" i="65" s="1"/>
  <c r="A45" i="65" s="1"/>
  <c r="A46" i="65" s="1"/>
  <c r="A47" i="65" s="1"/>
  <c r="A48" i="65" s="1"/>
  <c r="A49" i="65" s="1"/>
  <c r="A50" i="65" s="1"/>
  <c r="A51" i="65" s="1"/>
  <c r="A52" i="65" s="1"/>
  <c r="A53" i="65" s="1"/>
  <c r="A54" i="65" s="1"/>
  <c r="A55" i="65" s="1"/>
  <c r="A56" i="65" s="1"/>
  <c r="A57" i="65" s="1"/>
  <c r="A58" i="65" s="1"/>
  <c r="A59" i="65" s="1"/>
  <c r="A60" i="65" s="1"/>
  <c r="A61" i="65" s="1"/>
  <c r="A62" i="65" s="1"/>
  <c r="A63" i="65" s="1"/>
  <c r="A64" i="65" s="1"/>
  <c r="D6" i="65"/>
  <c r="E6" i="65" s="1"/>
  <c r="C54" i="64"/>
  <c r="F53" i="64"/>
  <c r="C50" i="64"/>
  <c r="F40" i="64"/>
  <c r="F36" i="64"/>
  <c r="F34" i="64"/>
  <c r="F33" i="64"/>
  <c r="F32" i="64"/>
  <c r="F26" i="64"/>
  <c r="F25" i="64"/>
  <c r="C20" i="64"/>
  <c r="C28" i="64" s="1"/>
  <c r="F18" i="64"/>
  <c r="F17" i="64"/>
  <c r="F16" i="64"/>
  <c r="F15" i="64"/>
  <c r="F14" i="64"/>
  <c r="F9" i="64"/>
  <c r="A8" i="64"/>
  <c r="A9" i="64" s="1"/>
  <c r="A10" i="64" s="1"/>
  <c r="A11" i="64" s="1"/>
  <c r="A12" i="64" s="1"/>
  <c r="A13" i="64" s="1"/>
  <c r="A14" i="64" s="1"/>
  <c r="A15" i="64" s="1"/>
  <c r="A16" i="64" s="1"/>
  <c r="A17" i="64" s="1"/>
  <c r="A18" i="64" s="1"/>
  <c r="A19" i="64" s="1"/>
  <c r="A20" i="64" s="1"/>
  <c r="A21" i="64" s="1"/>
  <c r="A22" i="64" s="1"/>
  <c r="A23" i="64" s="1"/>
  <c r="A24" i="64" s="1"/>
  <c r="A25" i="64" s="1"/>
  <c r="A26" i="64" s="1"/>
  <c r="A27" i="64" s="1"/>
  <c r="A28" i="64" s="1"/>
  <c r="A29" i="64" s="1"/>
  <c r="A30" i="64" s="1"/>
  <c r="A31" i="64" s="1"/>
  <c r="A32" i="64" s="1"/>
  <c r="A33" i="64" s="1"/>
  <c r="A34" i="64" s="1"/>
  <c r="A35" i="64" s="1"/>
  <c r="A36" i="64" s="1"/>
  <c r="A37" i="64" s="1"/>
  <c r="A38" i="64" s="1"/>
  <c r="A39" i="64" s="1"/>
  <c r="A40" i="64" s="1"/>
  <c r="A41" i="64" s="1"/>
  <c r="A42" i="64" s="1"/>
  <c r="A43" i="64" s="1"/>
  <c r="A44" i="64" s="1"/>
  <c r="A45" i="64" s="1"/>
  <c r="A46" i="64" s="1"/>
  <c r="A47" i="64" s="1"/>
  <c r="A48" i="64" s="1"/>
  <c r="A50" i="64" s="1"/>
  <c r="A51" i="64" s="1"/>
  <c r="A52" i="64" s="1"/>
  <c r="A53" i="64" s="1"/>
  <c r="A54" i="64" s="1"/>
  <c r="A55" i="64" s="1"/>
  <c r="A56" i="64" s="1"/>
  <c r="A57" i="64" s="1"/>
  <c r="A58" i="64" s="1"/>
  <c r="A59" i="64" s="1"/>
  <c r="A60" i="64" s="1"/>
  <c r="C6" i="64"/>
  <c r="C67" i="64" l="1"/>
  <c r="C47" i="64"/>
  <c r="D35" i="64"/>
  <c r="F35" i="48" s="1"/>
  <c r="M38" i="36"/>
  <c r="J47" i="73"/>
  <c r="G47" i="73"/>
  <c r="A48" i="68"/>
  <c r="A50" i="68" s="1"/>
  <c r="A51" i="68" s="1"/>
  <c r="A52" i="68" s="1"/>
  <c r="A53" i="68" s="1"/>
  <c r="A54" i="68" s="1"/>
  <c r="A55" i="68" s="1"/>
  <c r="A56" i="68" s="1"/>
  <c r="A57" i="68" s="1"/>
  <c r="A58" i="68" s="1"/>
  <c r="A59" i="68" s="1"/>
  <c r="A60" i="68" s="1"/>
  <c r="A61" i="68" s="1"/>
  <c r="A62" i="68" s="1"/>
  <c r="A63" i="68" s="1"/>
  <c r="A64" i="68" s="1"/>
  <c r="D35" i="65"/>
  <c r="F12" i="65"/>
  <c r="G17" i="66"/>
  <c r="F17" i="66"/>
  <c r="E17" i="66"/>
  <c r="F18" i="65"/>
  <c r="C26" i="66"/>
  <c r="H20" i="68"/>
  <c r="H24" i="68" s="1"/>
  <c r="F30" i="65"/>
  <c r="F60" i="65"/>
  <c r="F43" i="65"/>
  <c r="C27" i="66"/>
  <c r="F47" i="69"/>
  <c r="E35" i="65"/>
  <c r="I17" i="66"/>
  <c r="I23" i="36"/>
  <c r="G13" i="48"/>
  <c r="N38" i="36"/>
  <c r="G18" i="48"/>
  <c r="C55" i="64"/>
  <c r="C51" i="64"/>
  <c r="C30" i="64"/>
  <c r="C68" i="64" s="1"/>
  <c r="C23" i="66"/>
  <c r="C17" i="66"/>
  <c r="F50" i="65"/>
  <c r="C25" i="66"/>
  <c r="C24" i="66"/>
  <c r="H17" i="66"/>
  <c r="D64" i="65"/>
  <c r="I13" i="73"/>
  <c r="K12" i="73"/>
  <c r="K13" i="73" s="1"/>
  <c r="I40" i="73"/>
  <c r="K40" i="73" s="1"/>
  <c r="I44" i="73"/>
  <c r="K44" i="73" s="1"/>
  <c r="K42" i="73"/>
  <c r="I47" i="73" l="1"/>
  <c r="A65" i="68"/>
  <c r="A66" i="68" s="1"/>
  <c r="A67" i="68" s="1"/>
  <c r="A68" i="68" s="1"/>
  <c r="A69" i="68" s="1"/>
  <c r="A70" i="68" s="1"/>
  <c r="A71" i="68" s="1"/>
  <c r="A72" i="68" s="1"/>
  <c r="F35" i="65"/>
  <c r="E35" i="64"/>
  <c r="F35" i="64" s="1"/>
  <c r="F64" i="65"/>
  <c r="M23" i="36"/>
  <c r="G17" i="48"/>
  <c r="J49" i="73"/>
  <c r="C29" i="66"/>
  <c r="H23" i="36"/>
  <c r="G12" i="48"/>
  <c r="C38" i="64"/>
  <c r="C43" i="64"/>
  <c r="C70" i="64" s="1"/>
  <c r="C41" i="64" l="1"/>
  <c r="C69" i="64"/>
  <c r="A75" i="68"/>
  <c r="A76" i="68" s="1"/>
  <c r="A77" i="68" s="1"/>
  <c r="A78" i="68" s="1"/>
  <c r="A79" i="68" s="1"/>
  <c r="A80" i="68" s="1"/>
  <c r="A81" i="68" s="1"/>
  <c r="A82" i="68" s="1"/>
  <c r="A83" i="68" s="1"/>
  <c r="A84" i="68" s="1"/>
  <c r="A73" i="68"/>
  <c r="I27" i="66"/>
  <c r="G14" i="48" s="1"/>
  <c r="C42" i="64"/>
  <c r="C71" i="64" s="1"/>
  <c r="C56" i="64"/>
  <c r="C72" i="64" s="1"/>
  <c r="K47" i="73"/>
  <c r="K52" i="73" s="1"/>
  <c r="I49" i="73"/>
  <c r="A87" i="68" l="1"/>
  <c r="A88" i="68" s="1"/>
  <c r="A89" i="68" s="1"/>
  <c r="A90" i="68" s="1"/>
  <c r="A91" i="68" s="1"/>
  <c r="A92" i="68" s="1"/>
  <c r="A93" i="68" s="1"/>
  <c r="A85" i="68"/>
  <c r="E24" i="64"/>
  <c r="I36" i="39"/>
  <c r="N4" i="36"/>
  <c r="M4" i="36"/>
  <c r="L4" i="36"/>
  <c r="K4" i="36"/>
  <c r="J4" i="36"/>
  <c r="I4" i="36"/>
  <c r="H4" i="36"/>
  <c r="G4" i="36"/>
  <c r="F4" i="36"/>
  <c r="E4" i="36"/>
  <c r="D4" i="36"/>
  <c r="C4" i="36"/>
  <c r="F66" i="63"/>
  <c r="H66" i="63" s="1"/>
  <c r="F64" i="63"/>
  <c r="H64" i="63" s="1"/>
  <c r="A94" i="68" l="1"/>
  <c r="A96" i="68" s="1"/>
  <c r="A97" i="68" s="1"/>
  <c r="A98" i="68" s="1"/>
  <c r="A99" i="68" s="1"/>
  <c r="A100" i="68" s="1"/>
  <c r="G12" i="63"/>
  <c r="G62" i="63" s="1"/>
  <c r="I62" i="63" s="1"/>
  <c r="G15" i="48"/>
  <c r="E50" i="64"/>
  <c r="E54" i="64"/>
  <c r="F24" i="64"/>
  <c r="G64" i="63"/>
  <c r="I64" i="63" s="1"/>
  <c r="G66" i="63"/>
  <c r="I66" i="63" s="1"/>
  <c r="A101" i="68" l="1"/>
  <c r="A103" i="68" s="1"/>
  <c r="A104" i="68" s="1"/>
  <c r="A105" i="68" s="1"/>
  <c r="A106" i="68" s="1"/>
  <c r="A107" i="68" s="1"/>
  <c r="A108" i="68" s="1"/>
  <c r="A109" i="68" s="1"/>
  <c r="A110" i="68" s="1"/>
  <c r="A111" i="68" s="1"/>
  <c r="A112" i="68" s="1"/>
  <c r="A113" i="68" s="1"/>
  <c r="A114" i="68" s="1"/>
  <c r="A115" i="68" s="1"/>
  <c r="A116" i="68" s="1"/>
  <c r="A117" i="68" s="1"/>
  <c r="I67" i="63"/>
  <c r="F50" i="64"/>
  <c r="F54" i="64"/>
  <c r="G16" i="48"/>
  <c r="I12" i="63"/>
  <c r="A120" i="68" l="1"/>
  <c r="A121" i="68" s="1"/>
  <c r="A122" i="68" s="1"/>
  <c r="A123" i="68" s="1"/>
  <c r="A124" i="68" s="1"/>
  <c r="A126" i="68" s="1"/>
  <c r="A127" i="68" s="1"/>
  <c r="A128" i="68" s="1"/>
  <c r="A129" i="68" s="1"/>
  <c r="A130" i="68" s="1"/>
  <c r="A118" i="68"/>
  <c r="I69" i="63"/>
  <c r="I74" i="63" s="1"/>
  <c r="I78" i="63" s="1"/>
  <c r="I80" i="63" s="1"/>
  <c r="L23" i="36"/>
  <c r="A12" i="39"/>
  <c r="A13" i="39" s="1"/>
  <c r="G95" i="63" l="1"/>
  <c r="G88" i="63"/>
  <c r="G89" i="63"/>
  <c r="G94" i="63"/>
  <c r="G87" i="63"/>
  <c r="G86" i="63"/>
  <c r="G96" i="63"/>
  <c r="G93" i="63"/>
  <c r="G90" i="63"/>
  <c r="A14" i="39"/>
  <c r="A15" i="39" s="1"/>
  <c r="G97" i="63" l="1"/>
  <c r="G91" i="63"/>
  <c r="A16" i="39"/>
  <c r="A17" i="39" s="1"/>
  <c r="G99" i="63" l="1"/>
  <c r="A18" i="39"/>
  <c r="A19" i="39" s="1"/>
  <c r="E19" i="64" l="1"/>
  <c r="F19" i="64" s="1"/>
  <c r="O31" i="36"/>
  <c r="G19" i="48"/>
  <c r="A20" i="39"/>
  <c r="A21" i="39" s="1"/>
  <c r="F25" i="6"/>
  <c r="E23" i="64" l="1"/>
  <c r="F23" i="64" s="1"/>
  <c r="O45" i="36"/>
  <c r="O47" i="36" s="1"/>
  <c r="O33" i="36"/>
  <c r="O42" i="36" s="1"/>
  <c r="A22" i="39"/>
  <c r="A23" i="39" s="1"/>
  <c r="O48" i="36" l="1"/>
  <c r="A24" i="39"/>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V18" i="36" l="1"/>
  <c r="V19" i="36"/>
  <c r="V20" i="36"/>
  <c r="V21" i="36"/>
  <c r="V22" i="36"/>
  <c r="D54" i="39" l="1"/>
  <c r="D57" i="39" s="1"/>
  <c r="D59" i="39" s="1"/>
  <c r="H37" i="39"/>
  <c r="H43" i="39" s="1"/>
  <c r="E23" i="39"/>
  <c r="G16" i="39"/>
  <c r="I16" i="39" s="1"/>
  <c r="G15" i="39"/>
  <c r="I15" i="39" s="1"/>
  <c r="G14" i="39"/>
  <c r="I14" i="39" s="1"/>
  <c r="I23" i="39" l="1"/>
  <c r="E37" i="39"/>
  <c r="E43" i="39" s="1"/>
  <c r="G23" i="39"/>
  <c r="D37" i="39"/>
  <c r="D43" i="39" s="1"/>
  <c r="E57" i="39"/>
  <c r="E54" i="39" l="1"/>
  <c r="I41" i="39" s="1"/>
  <c r="I37" i="39"/>
  <c r="G37" i="39"/>
  <c r="G43" i="39" s="1"/>
  <c r="I43" i="39" l="1"/>
  <c r="E11" i="48" s="1"/>
  <c r="D22" i="64" s="1"/>
  <c r="E59" i="39"/>
  <c r="K23" i="36"/>
  <c r="G26" i="36" l="1"/>
  <c r="G11" i="48"/>
  <c r="C14" i="17"/>
  <c r="C15" i="17" s="1"/>
  <c r="C16" i="17" s="1"/>
  <c r="C17" i="17" s="1"/>
  <c r="C18" i="17" s="1"/>
  <c r="C19" i="17" s="1"/>
  <c r="C20" i="17" s="1"/>
  <c r="C21" i="17" s="1"/>
  <c r="C22" i="17" s="1"/>
  <c r="C23" i="17" s="1"/>
  <c r="C24" i="17" s="1"/>
  <c r="C14" i="6"/>
  <c r="C15" i="6" s="1"/>
  <c r="C16" i="6" s="1"/>
  <c r="C17" i="6" s="1"/>
  <c r="C18" i="6" s="1"/>
  <c r="C19" i="6" s="1"/>
  <c r="C20" i="6" s="1"/>
  <c r="C21" i="6" s="1"/>
  <c r="C22" i="6" s="1"/>
  <c r="C23" i="6" s="1"/>
  <c r="C24" i="6" s="1"/>
  <c r="E22" i="64" l="1"/>
  <c r="D5" i="48"/>
  <c r="E5" i="48" s="1"/>
  <c r="F5" i="48" s="1"/>
  <c r="G5" i="48" s="1"/>
  <c r="F22" i="64" l="1"/>
  <c r="E46" i="64"/>
  <c r="V39" i="36"/>
  <c r="V37" i="36"/>
  <c r="V35" i="36"/>
  <c r="V30" i="36"/>
  <c r="V29" i="36"/>
  <c r="F46" i="64" l="1"/>
  <c r="U44" i="36"/>
  <c r="U40" i="36"/>
  <c r="U24" i="36"/>
  <c r="U31" i="36" s="1"/>
  <c r="U45" i="36" l="1"/>
  <c r="U47" i="36" s="1"/>
  <c r="U33" i="36"/>
  <c r="U42" i="36" s="1"/>
  <c r="U48" i="36" l="1"/>
  <c r="V27" i="36" l="1"/>
  <c r="V26" i="36" l="1"/>
  <c r="V28" i="36"/>
  <c r="S40" i="36" l="1"/>
  <c r="T40" i="36"/>
  <c r="R40" i="36"/>
  <c r="Q40" i="36"/>
  <c r="N40" i="36"/>
  <c r="N46" i="36" s="1"/>
  <c r="M40" i="36"/>
  <c r="M46" i="36" s="1"/>
  <c r="L40" i="36"/>
  <c r="L46" i="36" s="1"/>
  <c r="K40" i="36"/>
  <c r="K46" i="36" s="1"/>
  <c r="J40" i="36"/>
  <c r="J46" i="36" s="1"/>
  <c r="I40" i="36"/>
  <c r="I46" i="36" s="1"/>
  <c r="H40" i="36"/>
  <c r="H46" i="36" s="1"/>
  <c r="F40" i="36"/>
  <c r="F46" i="36" s="1"/>
  <c r="E40" i="36"/>
  <c r="E46" i="36" s="1"/>
  <c r="D40" i="36"/>
  <c r="D46" i="36" s="1"/>
  <c r="C40" i="36"/>
  <c r="C46" i="36" s="1"/>
  <c r="Q24" i="36"/>
  <c r="Q31" i="36" s="1"/>
  <c r="P24" i="36"/>
  <c r="P31" i="36" s="1"/>
  <c r="L24" i="36"/>
  <c r="L31" i="36" s="1"/>
  <c r="L45" i="36" s="1"/>
  <c r="K24" i="36"/>
  <c r="K31" i="36" s="1"/>
  <c r="K45" i="36" s="1"/>
  <c r="G24" i="36"/>
  <c r="G31" i="36" s="1"/>
  <c r="G45" i="36" s="1"/>
  <c r="Q12" i="36"/>
  <c r="P12" i="36"/>
  <c r="N12" i="36"/>
  <c r="M12" i="36"/>
  <c r="L12" i="36"/>
  <c r="K12" i="36"/>
  <c r="J12" i="36"/>
  <c r="I12" i="36"/>
  <c r="G12" i="36"/>
  <c r="E12" i="36"/>
  <c r="A8" i="36"/>
  <c r="A9" i="36" s="1"/>
  <c r="A10" i="36" s="1"/>
  <c r="A11" i="36" s="1"/>
  <c r="A12" i="36" s="1"/>
  <c r="A13" i="36" s="1"/>
  <c r="A14" i="36" s="1"/>
  <c r="G44" i="36" l="1"/>
  <c r="K44" i="36"/>
  <c r="K47" i="36" s="1"/>
  <c r="L44" i="36"/>
  <c r="L47" i="36" s="1"/>
  <c r="E44" i="36"/>
  <c r="I44" i="36"/>
  <c r="M44" i="36"/>
  <c r="Q45" i="36"/>
  <c r="P44" i="36"/>
  <c r="J44" i="36"/>
  <c r="N44" i="36"/>
  <c r="Q44" i="36"/>
  <c r="L33" i="36"/>
  <c r="L42" i="36" s="1"/>
  <c r="Q33" i="36"/>
  <c r="Q42" i="36" s="1"/>
  <c r="A15" i="36"/>
  <c r="A16" i="36" s="1"/>
  <c r="A17" i="36" s="1"/>
  <c r="A18" i="36" s="1"/>
  <c r="A19" i="36" s="1"/>
  <c r="A20" i="36" s="1"/>
  <c r="A21" i="36" s="1"/>
  <c r="A22" i="36" s="1"/>
  <c r="A23" i="36" s="1"/>
  <c r="A24" i="36" s="1"/>
  <c r="A25" i="36" s="1"/>
  <c r="A26" i="36" s="1"/>
  <c r="A27" i="36" s="1"/>
  <c r="A28" i="36" s="1"/>
  <c r="A29" i="36" s="1"/>
  <c r="A30" i="36" s="1"/>
  <c r="A31" i="36" s="1"/>
  <c r="A32" i="36" s="1"/>
  <c r="A33" i="36" s="1"/>
  <c r="G33" i="36"/>
  <c r="K33" i="36"/>
  <c r="K42" i="36" s="1"/>
  <c r="P33" i="36"/>
  <c r="L48" i="36" l="1"/>
  <c r="Q47" i="36"/>
  <c r="Q48" i="36" s="1"/>
  <c r="K48" i="36"/>
  <c r="A34" i="36"/>
  <c r="A35" i="36" s="1"/>
  <c r="A37" i="36" s="1"/>
  <c r="A38" i="36" s="1"/>
  <c r="A39" i="36" s="1"/>
  <c r="A40" i="36" s="1"/>
  <c r="A41" i="36" s="1"/>
  <c r="A42" i="36" s="1"/>
  <c r="K44" i="33" l="1"/>
  <c r="G56" i="33"/>
  <c r="F39" i="33" s="1"/>
  <c r="I39" i="33" s="1"/>
  <c r="I40" i="33" s="1"/>
  <c r="G35" i="33"/>
  <c r="H35" i="33"/>
  <c r="J35" i="33"/>
  <c r="F35" i="33"/>
  <c r="G39" i="33" l="1"/>
  <c r="H39" i="33" l="1"/>
  <c r="J39" i="33" l="1"/>
  <c r="G25" i="33" l="1"/>
  <c r="G27" i="33" s="1"/>
  <c r="H25" i="33"/>
  <c r="H27" i="33" s="1"/>
  <c r="J25" i="33"/>
  <c r="J30" i="33" s="1"/>
  <c r="F25" i="33"/>
  <c r="F27" i="33" s="1"/>
  <c r="F30" i="33" l="1"/>
  <c r="F31" i="33" s="1"/>
  <c r="F40" i="33" s="1"/>
  <c r="H30" i="33"/>
  <c r="H31" i="33" s="1"/>
  <c r="G30" i="33"/>
  <c r="G31" i="33" s="1"/>
  <c r="J27" i="33"/>
  <c r="J31" i="33" s="1"/>
  <c r="H40" i="33" l="1"/>
  <c r="H36" i="33"/>
  <c r="G36" i="33"/>
  <c r="G40" i="33"/>
  <c r="K31" i="33"/>
  <c r="F36" i="33"/>
  <c r="J36" i="33"/>
  <c r="J40" i="33"/>
  <c r="M24" i="36" l="1"/>
  <c r="M31" i="36" s="1"/>
  <c r="K40" i="33"/>
  <c r="K36" i="33"/>
  <c r="G46" i="33" l="1"/>
  <c r="G48" i="33" s="1"/>
  <c r="E10" i="48" s="1"/>
  <c r="F46" i="33"/>
  <c r="F48" i="33" s="1"/>
  <c r="D10" i="48" s="1"/>
  <c r="M45" i="36"/>
  <c r="M47" i="36" s="1"/>
  <c r="E24" i="36"/>
  <c r="E31" i="36" s="1"/>
  <c r="F29" i="48"/>
  <c r="T24" i="36"/>
  <c r="T31" i="36" s="1"/>
  <c r="N24" i="36"/>
  <c r="N31" i="36" s="1"/>
  <c r="M33" i="36"/>
  <c r="M42" i="36" s="1"/>
  <c r="I24" i="36"/>
  <c r="G10" i="48" l="1"/>
  <c r="F9" i="36"/>
  <c r="K46" i="33"/>
  <c r="K48" i="33" s="1"/>
  <c r="V15" i="36"/>
  <c r="J23" i="36"/>
  <c r="E45" i="36"/>
  <c r="E47" i="36" s="1"/>
  <c r="E33" i="36"/>
  <c r="E42" i="36" s="1"/>
  <c r="T45" i="36"/>
  <c r="I31" i="36"/>
  <c r="I45" i="36" s="1"/>
  <c r="I47" i="36" s="1"/>
  <c r="T12" i="36"/>
  <c r="N45" i="36"/>
  <c r="N47" i="36" s="1"/>
  <c r="N33" i="36"/>
  <c r="N42" i="36" s="1"/>
  <c r="M48" i="36"/>
  <c r="P40" i="36"/>
  <c r="F16" i="36" l="1"/>
  <c r="F24" i="36" s="1"/>
  <c r="F31" i="36" s="1"/>
  <c r="F45" i="36" s="1"/>
  <c r="P45" i="36"/>
  <c r="P47" i="36" s="1"/>
  <c r="P46" i="36"/>
  <c r="V9" i="36"/>
  <c r="F12" i="36"/>
  <c r="G40" i="36"/>
  <c r="V38" i="36"/>
  <c r="E48" i="36"/>
  <c r="J24" i="36"/>
  <c r="J31" i="36" s="1"/>
  <c r="V23" i="36"/>
  <c r="I33" i="36"/>
  <c r="T44" i="36"/>
  <c r="T47" i="36" s="1"/>
  <c r="T33" i="36"/>
  <c r="T42" i="36" s="1"/>
  <c r="N48" i="36"/>
  <c r="P42" i="36"/>
  <c r="V40" i="36" l="1"/>
  <c r="X40" i="36" s="1"/>
  <c r="G46" i="36"/>
  <c r="H24" i="36"/>
  <c r="H31" i="36" s="1"/>
  <c r="H45" i="36" s="1"/>
  <c r="V16" i="36"/>
  <c r="H12" i="36"/>
  <c r="V11" i="36"/>
  <c r="F44" i="36"/>
  <c r="F47" i="36" s="1"/>
  <c r="F33" i="36"/>
  <c r="F42" i="36" s="1"/>
  <c r="F38" i="48"/>
  <c r="J45" i="36"/>
  <c r="J47" i="36" s="1"/>
  <c r="J33" i="36"/>
  <c r="J42" i="36" s="1"/>
  <c r="G42" i="36"/>
  <c r="I42" i="36"/>
  <c r="T48" i="36"/>
  <c r="P48" i="36"/>
  <c r="H33" i="36" l="1"/>
  <c r="H42" i="36" s="1"/>
  <c r="H44" i="36"/>
  <c r="H47" i="36" s="1"/>
  <c r="F48" i="36"/>
  <c r="F39" i="48"/>
  <c r="J48" i="36"/>
  <c r="V46" i="36"/>
  <c r="X46" i="36" s="1"/>
  <c r="G47" i="36"/>
  <c r="G48" i="36" s="1"/>
  <c r="F36" i="48"/>
  <c r="I48" i="36"/>
  <c r="H48" i="36" l="1"/>
  <c r="H25" i="17"/>
  <c r="H27" i="17" s="1"/>
  <c r="H31" i="17" s="1"/>
  <c r="F25" i="17"/>
  <c r="F27" i="17" s="1"/>
  <c r="F31" i="17" s="1"/>
  <c r="H25" i="6"/>
  <c r="H27" i="6" s="1"/>
  <c r="H31" i="6" s="1"/>
  <c r="F27" i="6"/>
  <c r="F31" i="6" s="1"/>
  <c r="S12" i="36" l="1"/>
  <c r="E8" i="64"/>
  <c r="F8" i="64" s="1"/>
  <c r="C10" i="36"/>
  <c r="C12" i="36" s="1"/>
  <c r="C44" i="36" s="1"/>
  <c r="C17" i="36"/>
  <c r="C24" i="36" s="1"/>
  <c r="C31" i="36" s="1"/>
  <c r="G7" i="48"/>
  <c r="S24" i="36"/>
  <c r="S31" i="36" s="1"/>
  <c r="E13" i="64"/>
  <c r="S44" i="36"/>
  <c r="R24" i="36"/>
  <c r="R12" i="36"/>
  <c r="D29" i="48" l="1"/>
  <c r="S33" i="36"/>
  <c r="S42" i="36" s="1"/>
  <c r="D10" i="64"/>
  <c r="D66" i="64" s="1"/>
  <c r="D10" i="36"/>
  <c r="D12" i="36" s="1"/>
  <c r="D44" i="36" s="1"/>
  <c r="G8" i="48"/>
  <c r="G29" i="48" s="1"/>
  <c r="D20" i="64"/>
  <c r="D28" i="64" s="1"/>
  <c r="E29" i="48"/>
  <c r="C45" i="36"/>
  <c r="C47" i="36" s="1"/>
  <c r="C33" i="36"/>
  <c r="C42" i="36" s="1"/>
  <c r="D17" i="36"/>
  <c r="S45" i="36"/>
  <c r="S47" i="36"/>
  <c r="S48" i="36" s="1"/>
  <c r="R31" i="36"/>
  <c r="R33" i="36" s="1"/>
  <c r="R44" i="36"/>
  <c r="E35" i="48" l="1"/>
  <c r="D67" i="64"/>
  <c r="V12" i="36"/>
  <c r="D38" i="48" s="1"/>
  <c r="V10" i="36"/>
  <c r="E10" i="64"/>
  <c r="E66" i="64" s="1"/>
  <c r="D35" i="48"/>
  <c r="D36" i="48" s="1"/>
  <c r="D30" i="64"/>
  <c r="E20" i="64"/>
  <c r="E28" i="64" s="1"/>
  <c r="F13" i="64"/>
  <c r="C48" i="36"/>
  <c r="D24" i="36"/>
  <c r="V17" i="36"/>
  <c r="V44" i="36"/>
  <c r="R42" i="36"/>
  <c r="R45" i="36"/>
  <c r="E67" i="64" l="1"/>
  <c r="E47" i="64"/>
  <c r="D38" i="64"/>
  <c r="D68" i="64"/>
  <c r="F20" i="64"/>
  <c r="E51" i="64"/>
  <c r="E55" i="64"/>
  <c r="E30" i="64"/>
  <c r="E68" i="64" s="1"/>
  <c r="D39" i="48"/>
  <c r="E36" i="48"/>
  <c r="X44" i="36"/>
  <c r="D31" i="36"/>
  <c r="V24" i="36"/>
  <c r="X12" i="36"/>
  <c r="E31" i="48"/>
  <c r="R47" i="36"/>
  <c r="G35" i="48" l="1"/>
  <c r="G36" i="48" s="1"/>
  <c r="D69" i="64"/>
  <c r="F28" i="64"/>
  <c r="E43" i="64"/>
  <c r="E70" i="64" s="1"/>
  <c r="E38" i="64"/>
  <c r="D45" i="36"/>
  <c r="D33" i="36"/>
  <c r="V31" i="36"/>
  <c r="R48" i="36"/>
  <c r="E41" i="64" l="1"/>
  <c r="F67" i="64"/>
  <c r="F47" i="64"/>
  <c r="E69" i="64"/>
  <c r="F55" i="64"/>
  <c r="F51" i="64"/>
  <c r="E42" i="64"/>
  <c r="E71" i="64" s="1"/>
  <c r="E56" i="64"/>
  <c r="H67" i="64" s="1"/>
  <c r="D42" i="36"/>
  <c r="V42" i="36" s="1"/>
  <c r="V33" i="36"/>
  <c r="D47" i="36"/>
  <c r="V45" i="36"/>
  <c r="X45" i="36" s="1"/>
  <c r="X31" i="36"/>
  <c r="E38" i="48"/>
  <c r="E39" i="48" s="1"/>
  <c r="E72" i="64" l="1"/>
  <c r="F10" i="64"/>
  <c r="E57" i="64"/>
  <c r="D48" i="36"/>
  <c r="V47" i="36"/>
  <c r="X42" i="36"/>
  <c r="G38" i="48"/>
  <c r="G39" i="48" s="1"/>
  <c r="F66" i="64" l="1"/>
  <c r="F30" i="64"/>
  <c r="V48" i="36"/>
  <c r="X47" i="36"/>
  <c r="F68" i="64" l="1"/>
  <c r="F43" i="64"/>
  <c r="F70" i="64" s="1"/>
  <c r="F38" i="64"/>
  <c r="F41" i="64" l="1"/>
  <c r="F69" i="64"/>
  <c r="F42" i="64"/>
  <c r="F71" i="64" s="1"/>
  <c r="F58" i="64"/>
  <c r="F56" i="64"/>
  <c r="F72" i="64" s="1"/>
  <c r="F73" i="64" l="1"/>
  <c r="F59"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Frasure</author>
  </authors>
  <commentList>
    <comment ref="E15" authorId="0" shapeId="0" xr:uid="{46D2C7DA-761B-447A-B820-836B8A7B8EA8}">
      <text>
        <r>
          <rPr>
            <b/>
            <sz val="9"/>
            <color indexed="81"/>
            <rFont val="Tahoma"/>
            <family val="2"/>
          </rPr>
          <t>Brian Frasure:</t>
        </r>
        <r>
          <rPr>
            <sz val="9"/>
            <color indexed="81"/>
            <rFont val="Tahoma"/>
            <family val="2"/>
          </rPr>
          <t xml:space="preserve">
NO LONGER EMPLOYED</t>
        </r>
      </text>
    </comment>
    <comment ref="E18" authorId="0" shapeId="0" xr:uid="{23514BC1-C3C9-4809-9DA3-30E91687F9D7}">
      <text>
        <r>
          <rPr>
            <b/>
            <sz val="9"/>
            <color indexed="81"/>
            <rFont val="Tahoma"/>
            <family val="2"/>
          </rPr>
          <t>Brian Frasure:</t>
        </r>
        <r>
          <rPr>
            <sz val="9"/>
            <color indexed="81"/>
            <rFont val="Tahoma"/>
            <family val="2"/>
          </rPr>
          <t xml:space="preserve">
REHIRED 2017</t>
        </r>
      </text>
    </comment>
    <comment ref="E52" authorId="0" shapeId="0" xr:uid="{3FDFF0B1-B8D9-413F-A5C5-AF0DD70DC725}">
      <text>
        <r>
          <rPr>
            <b/>
            <sz val="9"/>
            <color indexed="81"/>
            <rFont val="Tahoma"/>
            <family val="2"/>
          </rPr>
          <t>Brian Frasure:</t>
        </r>
        <r>
          <rPr>
            <sz val="9"/>
            <color indexed="81"/>
            <rFont val="Tahoma"/>
            <family val="2"/>
          </rPr>
          <t xml:space="preserve">
NO LONGER EMPLOYED</t>
        </r>
      </text>
    </comment>
    <comment ref="E54" authorId="0" shapeId="0" xr:uid="{B1384499-D3F8-4A7E-BB76-4A8A7EC2079D}">
      <text>
        <r>
          <rPr>
            <b/>
            <sz val="9"/>
            <color indexed="81"/>
            <rFont val="Tahoma"/>
            <family val="2"/>
          </rPr>
          <t>Brian Frasure:</t>
        </r>
        <r>
          <rPr>
            <sz val="9"/>
            <color indexed="81"/>
            <rFont val="Tahoma"/>
            <family val="2"/>
          </rPr>
          <t xml:space="preserve">
NO LONGER EMPLOYED</t>
        </r>
      </text>
    </comment>
    <comment ref="E67" authorId="0" shapeId="0" xr:uid="{6E6B757B-2D7F-4C0B-8DFA-636590C343BE}">
      <text>
        <r>
          <rPr>
            <b/>
            <sz val="9"/>
            <color indexed="81"/>
            <rFont val="Tahoma"/>
            <family val="2"/>
          </rPr>
          <t>Brian Frasure:</t>
        </r>
        <r>
          <rPr>
            <sz val="9"/>
            <color indexed="81"/>
            <rFont val="Tahoma"/>
            <family val="2"/>
          </rPr>
          <t xml:space="preserve">
HIRED SEPTEMBER 2016</t>
        </r>
      </text>
    </comment>
    <comment ref="E76" authorId="0" shapeId="0" xr:uid="{032CAE62-34AE-4FD2-9692-DA6D159806CA}">
      <text>
        <r>
          <rPr>
            <b/>
            <sz val="9"/>
            <color indexed="81"/>
            <rFont val="Tahoma"/>
            <family val="2"/>
          </rPr>
          <t>Brian Frasure:</t>
        </r>
        <r>
          <rPr>
            <sz val="9"/>
            <color indexed="81"/>
            <rFont val="Tahoma"/>
            <family val="2"/>
          </rPr>
          <t xml:space="preserve">
NO LONGER EMPLOYED</t>
        </r>
      </text>
    </comment>
  </commentList>
</comments>
</file>

<file path=xl/sharedStrings.xml><?xml version="1.0" encoding="utf-8"?>
<sst xmlns="http://schemas.openxmlformats.org/spreadsheetml/2006/main" count="1112" uniqueCount="577">
  <si>
    <t>Line</t>
  </si>
  <si>
    <t>Description</t>
  </si>
  <si>
    <t>Sep</t>
  </si>
  <si>
    <t>Oct</t>
  </si>
  <si>
    <t>Nov</t>
  </si>
  <si>
    <t>Dec</t>
  </si>
  <si>
    <t>Jan</t>
  </si>
  <si>
    <t>Feb</t>
  </si>
  <si>
    <t>Mar</t>
  </si>
  <si>
    <t>Apr</t>
  </si>
  <si>
    <t>May</t>
  </si>
  <si>
    <t>Jun</t>
  </si>
  <si>
    <t>Jul</t>
  </si>
  <si>
    <t>Aug</t>
  </si>
  <si>
    <t>TOTAL</t>
  </si>
  <si>
    <t>Adjustment</t>
  </si>
  <si>
    <t>Year</t>
  </si>
  <si>
    <t>Month</t>
  </si>
  <si>
    <t>(1)</t>
  </si>
  <si>
    <t>(3)</t>
  </si>
  <si>
    <t>(2)</t>
  </si>
  <si>
    <t>#</t>
  </si>
  <si>
    <t>Subtotal</t>
  </si>
  <si>
    <t>Revenue</t>
  </si>
  <si>
    <t>Expense</t>
  </si>
  <si>
    <t>(4)</t>
  </si>
  <si>
    <t>Reference Schedule:  1.02</t>
  </si>
  <si>
    <t>Reference Schedule:  1.01</t>
  </si>
  <si>
    <t>Reference Schedule:  1.08</t>
  </si>
  <si>
    <t>Depreciation</t>
  </si>
  <si>
    <t>Rate Case Expenses</t>
  </si>
  <si>
    <t>G&amp;T Capital Credits</t>
  </si>
  <si>
    <t xml:space="preserve">Revenue </t>
  </si>
  <si>
    <t>Total Cost of Electric Service</t>
  </si>
  <si>
    <t>Non-Operating Margins - Interest</t>
  </si>
  <si>
    <t>Non-Operating Margins - Other</t>
  </si>
  <si>
    <t>Test Year Amount</t>
  </si>
  <si>
    <t>Pro Forma Year Amount</t>
  </si>
  <si>
    <t>This adjustment removes the FAC revenues and expenses from the test period.</t>
  </si>
  <si>
    <t>This adjustment removes the Envionmental Surcharge revenues and expenses from the test period.</t>
  </si>
  <si>
    <t>Item</t>
  </si>
  <si>
    <t>Total Amount</t>
  </si>
  <si>
    <t>Amortization Period (Years)</t>
  </si>
  <si>
    <t>Total</t>
  </si>
  <si>
    <t>Annual Amortization Amount</t>
  </si>
  <si>
    <t>This adjustment estimates the rate case costs amortized over a 3 year period, consistent with standard Commission practice.</t>
  </si>
  <si>
    <t>Year-End Customers</t>
  </si>
  <si>
    <t>(5)</t>
  </si>
  <si>
    <t>(6)</t>
  </si>
  <si>
    <t>(7)</t>
  </si>
  <si>
    <t>(8)</t>
  </si>
  <si>
    <t>Average</t>
  </si>
  <si>
    <t>Total kWh</t>
  </si>
  <si>
    <t>Average kWh</t>
  </si>
  <si>
    <t>Year-End kWh Adjustment</t>
  </si>
  <si>
    <t>Current Base Rate Revenue</t>
  </si>
  <si>
    <t>Average Revenue per kWh</t>
  </si>
  <si>
    <t>Year End Revenue Adj</t>
  </si>
  <si>
    <t>Revenue Adjustment</t>
  </si>
  <si>
    <t>Expense Adjustment</t>
  </si>
  <si>
    <t>Year End Expense Adj</t>
  </si>
  <si>
    <t>Total Purchased Power Expense</t>
  </si>
  <si>
    <t>Less Environmental Surcharge</t>
  </si>
  <si>
    <t>Less Fuel Adjustment Clause</t>
  </si>
  <si>
    <t>Adjusted Purchased Power Expense</t>
  </si>
  <si>
    <t>Total Purchased Power kWh</t>
  </si>
  <si>
    <t>End of Period Increase over Avg</t>
  </si>
  <si>
    <t>For Expense Adjustment:</t>
  </si>
  <si>
    <t>Avg Adj Purchase Exp per kWh</t>
  </si>
  <si>
    <t>Net Rev</t>
  </si>
  <si>
    <t>Interest on LTD</t>
  </si>
  <si>
    <t>TIER</t>
  </si>
  <si>
    <t>Operating Revenues</t>
  </si>
  <si>
    <t>Operating Expenses:</t>
  </si>
  <si>
    <t>Purchased Power</t>
  </si>
  <si>
    <t>Distribution Operations</t>
  </si>
  <si>
    <t>Distribution Maintenance</t>
  </si>
  <si>
    <t>Customer Accounts</t>
  </si>
  <si>
    <t>Customer Service</t>
  </si>
  <si>
    <t>Sales Expense</t>
  </si>
  <si>
    <t>A&amp;G</t>
  </si>
  <si>
    <t>Total O&amp;M Expense</t>
  </si>
  <si>
    <t xml:space="preserve">Depreciation </t>
  </si>
  <si>
    <t>Taxes - Other</t>
  </si>
  <si>
    <t>Interest - Other</t>
  </si>
  <si>
    <t>Other Deductions</t>
  </si>
  <si>
    <t>Utility Operating Margins</t>
  </si>
  <si>
    <t>Other Capital Credits</t>
  </si>
  <si>
    <t>Net Margins</t>
  </si>
  <si>
    <t>OTIER</t>
  </si>
  <si>
    <t>Rate</t>
  </si>
  <si>
    <t>Operating Revenues:</t>
  </si>
  <si>
    <t>Services</t>
  </si>
  <si>
    <t>Total Revenues</t>
  </si>
  <si>
    <t xml:space="preserve">        Base Rates</t>
  </si>
  <si>
    <t xml:space="preserve">    Total Operating Expenses</t>
  </si>
  <si>
    <t>Total Non-Operating Margins</t>
  </si>
  <si>
    <t>Interest on Long Term Debt</t>
  </si>
  <si>
    <t>Interest Expense - Other</t>
  </si>
  <si>
    <t>Base Rates</t>
  </si>
  <si>
    <t>Other Electric Revenue</t>
  </si>
  <si>
    <t>Distribution - Operations</t>
  </si>
  <si>
    <t>Distribution - Maintenance</t>
  </si>
  <si>
    <t>Consumer Accounts</t>
  </si>
  <si>
    <t>Sales</t>
  </si>
  <si>
    <t>Administrative and General</t>
  </si>
  <si>
    <t>Consulting - Catalyst Consulting LLC</t>
  </si>
  <si>
    <t>Actual Test Yr</t>
  </si>
  <si>
    <t>Pro Forma Test Yr</t>
  </si>
  <si>
    <t>Expense Adj</t>
  </si>
  <si>
    <t>Revenue Adj</t>
  </si>
  <si>
    <t>Net Adj</t>
  </si>
  <si>
    <t>Check</t>
  </si>
  <si>
    <t>Reference Schedule:  1.05</t>
  </si>
  <si>
    <t>Reference Schedule:  1.10</t>
  </si>
  <si>
    <t>Environmental Surcharge</t>
  </si>
  <si>
    <t xml:space="preserve">Fuel Adjustment Clause </t>
  </si>
  <si>
    <t>Transportation</t>
  </si>
  <si>
    <t>Meters</t>
  </si>
  <si>
    <t>Administrative &amp; General</t>
  </si>
  <si>
    <t>580-589</t>
  </si>
  <si>
    <t>Operations</t>
  </si>
  <si>
    <t>590-598</t>
  </si>
  <si>
    <t>Maintenance</t>
  </si>
  <si>
    <t>901-905</t>
  </si>
  <si>
    <t>920-935</t>
  </si>
  <si>
    <t>Pro Forma Adj</t>
  </si>
  <si>
    <t>A</t>
  </si>
  <si>
    <t>B</t>
  </si>
  <si>
    <t>Alloc</t>
  </si>
  <si>
    <t>Labor $</t>
  </si>
  <si>
    <t>Test Yr Ending Bal</t>
  </si>
  <si>
    <t>Normalized Expense</t>
  </si>
  <si>
    <t>Test Year Expense</t>
  </si>
  <si>
    <t>Acct #</t>
  </si>
  <si>
    <t>Fully Depr Items</t>
  </si>
  <si>
    <t>Distribution Plant</t>
  </si>
  <si>
    <t>Station equipment</t>
  </si>
  <si>
    <t>Poles, towers &amp; fixtures</t>
  </si>
  <si>
    <t>Overhead conductors &amp; devices</t>
  </si>
  <si>
    <t>Underground conductor &amp; devices</t>
  </si>
  <si>
    <t>Line transformers</t>
  </si>
  <si>
    <t>Land</t>
  </si>
  <si>
    <t>General Plant</t>
  </si>
  <si>
    <t>Transporation Charged to Clearing</t>
  </si>
  <si>
    <t>Allocation of Clearing to O&amp;M</t>
  </si>
  <si>
    <t>Depr $</t>
  </si>
  <si>
    <t>Distribution &amp; General Subtotal</t>
  </si>
  <si>
    <t>Total Operating Revenue</t>
  </si>
  <si>
    <t>Total Sales of Electric Energy</t>
  </si>
  <si>
    <t>Cash Receipts from Lenders</t>
  </si>
  <si>
    <t>Pro Forma Amount</t>
  </si>
  <si>
    <t>Variance</t>
  </si>
  <si>
    <t>Summary of Pro Forma Adjustments</t>
  </si>
  <si>
    <t>Fuel Adjustment Clause</t>
  </si>
  <si>
    <t>Non-Operating Income</t>
  </si>
  <si>
    <t>Net Margin</t>
  </si>
  <si>
    <t>This adjustment adjusts the test year expenses and revenues to reflect the number of customers at the end of the test year.</t>
  </si>
  <si>
    <t>Reference Schedule</t>
  </si>
  <si>
    <t>Summary of Adjustments to Test Year Statement of Operations</t>
  </si>
  <si>
    <t>Summary of Adjustments to Test Year Balance Sheet</t>
  </si>
  <si>
    <t>Assets and Other Debits</t>
  </si>
  <si>
    <t>Total Utility Plant in Service</t>
  </si>
  <si>
    <t>Construction Work in Progress</t>
  </si>
  <si>
    <t>Accum Provision for Depr and Amort</t>
  </si>
  <si>
    <t>Net Utility Plant</t>
  </si>
  <si>
    <t>Investment in Assoc Org - Patr Capital</t>
  </si>
  <si>
    <t>Investment in Assoc Org - Other Gen Fnd</t>
  </si>
  <si>
    <t>Investment in Assoc Org - Non Gen Fnd</t>
  </si>
  <si>
    <t>Other Investment</t>
  </si>
  <si>
    <t>Total Other Prop &amp; Investments</t>
  </si>
  <si>
    <t>Cash - General Funds</t>
  </si>
  <si>
    <t>Cash - Construction Fund Trust</t>
  </si>
  <si>
    <t>Special Deposits</t>
  </si>
  <si>
    <t>Temporary Investments</t>
  </si>
  <si>
    <t>Accts Receivable - Other (Net)</t>
  </si>
  <si>
    <t>Accts Receivable - Sales Energy (Net)</t>
  </si>
  <si>
    <t>Renewable Energy Credits</t>
  </si>
  <si>
    <t>Material &amp; Supplies - Elec &amp; Other</t>
  </si>
  <si>
    <t>Prepayments</t>
  </si>
  <si>
    <t>Other Current &amp; Accr Assets</t>
  </si>
  <si>
    <t>Total Current &amp; Accr Assets</t>
  </si>
  <si>
    <t>Other Regulatory Assets</t>
  </si>
  <si>
    <t>Other Deferred Debits</t>
  </si>
  <si>
    <t>Total Assets &amp; Other Debits</t>
  </si>
  <si>
    <t>Liabilities &amp; Other Credits</t>
  </si>
  <si>
    <t>Memberships</t>
  </si>
  <si>
    <t>Patronage Capital</t>
  </si>
  <si>
    <t>Operating Margins - Current Year</t>
  </si>
  <si>
    <t>Non-Operating Margins</t>
  </si>
  <si>
    <t>Other Margins &amp; Equities</t>
  </si>
  <si>
    <t>Total Margins &amp; Equities</t>
  </si>
  <si>
    <t>Long Term Debt - FFB - RUS GUAR</t>
  </si>
  <si>
    <t>Long Term Debt - Other (Net)</t>
  </si>
  <si>
    <t>Long Term Debt - RUS -Econ Dev - Net</t>
  </si>
  <si>
    <t>Total Long Term Debt</t>
  </si>
  <si>
    <t>Accum Operating Provisions</t>
  </si>
  <si>
    <t>Notes Payable</t>
  </si>
  <si>
    <t>Accounts Payable</t>
  </si>
  <si>
    <t>Consumer Deposits</t>
  </si>
  <si>
    <t>Other Current &amp; Accr Liabilities</t>
  </si>
  <si>
    <t>Total Current &amp; Accr Liabilities</t>
  </si>
  <si>
    <t>Regulatory Liabilities</t>
  </si>
  <si>
    <t>Other Deferred Credits</t>
  </si>
  <si>
    <t>Total Liabilities &amp; Other Credits</t>
  </si>
  <si>
    <t>Pro Forma Adjs</t>
  </si>
  <si>
    <t>Statement of Operations &amp; Revenue Requirement</t>
  </si>
  <si>
    <t>Income(Loss) from Equity Investments</t>
  </si>
  <si>
    <t>29a</t>
  </si>
  <si>
    <t>Income(Loss) from Equity Invstmts</t>
  </si>
  <si>
    <t>Target TIER</t>
  </si>
  <si>
    <t>Margins at Target TIER</t>
  </si>
  <si>
    <t>Revenue Requirement</t>
  </si>
  <si>
    <t>Revenue Deficiency (Excess)</t>
  </si>
  <si>
    <t>Target OTIER</t>
  </si>
  <si>
    <t>Margins at Target OTIER</t>
  </si>
  <si>
    <t>Life Insurance Premiums</t>
  </si>
  <si>
    <t xml:space="preserve">Test Period </t>
  </si>
  <si>
    <t>Depreciation Expense Normalization</t>
  </si>
  <si>
    <t>Actual Test Year</t>
  </si>
  <si>
    <t>Directors Expense</t>
  </si>
  <si>
    <t>Year-End Customer Normalization</t>
  </si>
  <si>
    <t>A+B</t>
  </si>
  <si>
    <t>Balance Sheet Accounts</t>
  </si>
  <si>
    <t>This adjustment normalizes depreciation expenses by replacing test year actual expenses with test year end balances, less any fully depreciated items, at approved depreciation rates.</t>
  </si>
  <si>
    <t>907-912</t>
  </si>
  <si>
    <t>Capital</t>
  </si>
  <si>
    <t>Pro Forma Adjustments</t>
  </si>
  <si>
    <t>Checks</t>
  </si>
  <si>
    <t>Sum from Rev Req page</t>
  </si>
  <si>
    <t>Sum from Adj IS page</t>
  </si>
  <si>
    <t>Var from Adj List</t>
  </si>
  <si>
    <t>Non Oper Adj</t>
  </si>
  <si>
    <t xml:space="preserve">Reference Schedule &gt;     </t>
  </si>
  <si>
    <t xml:space="preserve">Item  &gt;     </t>
  </si>
  <si>
    <t>Proposed Rates</t>
  </si>
  <si>
    <t>Reference Schedule:  1.06</t>
  </si>
  <si>
    <t>Reference Schedule:  1.07</t>
  </si>
  <si>
    <t>Wages &amp; Salaries</t>
  </si>
  <si>
    <t>C</t>
  </si>
  <si>
    <t>E</t>
  </si>
  <si>
    <t>F</t>
  </si>
  <si>
    <t>G</t>
  </si>
  <si>
    <t>This adjustment removes charitable donations, promotional advertising expenses, and dues from the revenue requirement consistent with standard Commission practices.</t>
  </si>
  <si>
    <t>Directors Expenses</t>
  </si>
  <si>
    <t>Creech</t>
  </si>
  <si>
    <t>This adjustment removes certain Director expenses consistent with recent Commission orders and standard Commission practices.</t>
  </si>
  <si>
    <t>Hours Worked</t>
  </si>
  <si>
    <t>Actual Test Year Wages</t>
  </si>
  <si>
    <t>Pro Forma Wages at 2,080 Hours</t>
  </si>
  <si>
    <t>Pro Forma Adjustment</t>
  </si>
  <si>
    <t>ID</t>
  </si>
  <si>
    <t>Actual ID</t>
  </si>
  <si>
    <t>Regular</t>
  </si>
  <si>
    <t>Overtime</t>
  </si>
  <si>
    <t>&lt; Hide &gt;</t>
  </si>
  <si>
    <t>Empl #</t>
  </si>
  <si>
    <t>Note</t>
  </si>
  <si>
    <t>Employee</t>
  </si>
  <si>
    <t>Life Insurance</t>
  </si>
  <si>
    <t>D</t>
  </si>
  <si>
    <t>Total Premium</t>
  </si>
  <si>
    <t>Lesser of $50k or Salary</t>
  </si>
  <si>
    <t>Amount to Exclude</t>
  </si>
  <si>
    <t>Allowed Total</t>
  </si>
  <si>
    <t>This adjustment removes Life insurance premiums for coverage above the lesser of an employee's annual salary or $50,000 from the test period.</t>
  </si>
  <si>
    <t>Rate Riders</t>
  </si>
  <si>
    <t xml:space="preserve">        Rate Riders</t>
  </si>
  <si>
    <t>Reference Schedule:  1.12</t>
  </si>
  <si>
    <t>Structures and improvements</t>
  </si>
  <si>
    <t>Tools, shop and garage</t>
  </si>
  <si>
    <t>Communications</t>
  </si>
  <si>
    <t>Miscellaneous</t>
  </si>
  <si>
    <t>CUMBERLAND VALLEY ELECTRIC</t>
  </si>
  <si>
    <t>Total Utility Plant</t>
  </si>
  <si>
    <t>Long Term Debt - RUS (Net)</t>
  </si>
  <si>
    <t>Long Term Debt - Other - RUS GUAR</t>
  </si>
  <si>
    <t>Current Maturities Long-Term Debt</t>
  </si>
  <si>
    <t>Current Maturities Long-Term Debt-Econ Dev</t>
  </si>
  <si>
    <t>Davis</t>
  </si>
  <si>
    <t>Vanover</t>
  </si>
  <si>
    <t>Hampton</t>
  </si>
  <si>
    <t>Moses</t>
  </si>
  <si>
    <t>Lewis</t>
  </si>
  <si>
    <t>Tolliver</t>
  </si>
  <si>
    <t>Health Insurance Paid by Directors</t>
  </si>
  <si>
    <t>Dental Insurance Paid by Directors</t>
  </si>
  <si>
    <t>NRECA Life Paid by Directors</t>
  </si>
  <si>
    <t>NRECA AD&amp;D Paid by Directors</t>
  </si>
  <si>
    <t>Items to be removed:</t>
  </si>
  <si>
    <t>Amount</t>
  </si>
  <si>
    <t>Total to be removed:</t>
  </si>
  <si>
    <t xml:space="preserve">Meters       </t>
  </si>
  <si>
    <t>Meters - Solid State</t>
  </si>
  <si>
    <t>Installations on customer premises</t>
  </si>
  <si>
    <t>Structures and improvements-R.S.</t>
  </si>
  <si>
    <t>Office furn and eqt</t>
  </si>
  <si>
    <t>Laboratory</t>
  </si>
  <si>
    <t>Power operated</t>
  </si>
  <si>
    <t>Donations, Promotional Advertising, Dues &amp; Other</t>
  </si>
  <si>
    <t>Account</t>
  </si>
  <si>
    <t>DONATIONS</t>
  </si>
  <si>
    <t>DONATIONS-SCHOLARSHIPS</t>
  </si>
  <si>
    <t>DONATIONS-MEMBERSHIPS, DUES</t>
  </si>
  <si>
    <t>GENERAL ADVERTISING EXP</t>
  </si>
  <si>
    <t>MISC GENERAL EXPENSE-OTHER</t>
  </si>
  <si>
    <t>MISC GENERAL EXPENSE-KY LIVING</t>
  </si>
  <si>
    <t>MISC GEN EXP-CAPITAL CREDITS</t>
  </si>
  <si>
    <t>MISC GEN EXP-ANNUAL MEETING</t>
  </si>
  <si>
    <t>Acct:</t>
  </si>
  <si>
    <t>DATE</t>
  </si>
  <si>
    <t>CHECK</t>
  </si>
  <si>
    <t>VENDOR NAME</t>
  </si>
  <si>
    <t>DEBIT</t>
  </si>
  <si>
    <t>DESCRIPTION</t>
  </si>
  <si>
    <t>DONATION</t>
  </si>
  <si>
    <t>SPECIAL OLYMPICS KENTUCKY</t>
  </si>
  <si>
    <t>SPECIAL OLYMPICS DONATION</t>
  </si>
  <si>
    <t>SPONSOR</t>
  </si>
  <si>
    <t>HARLAN COUNTY CHRISTIAN SCHOOL</t>
  </si>
  <si>
    <t>KNOX CO CHAMBER OF COMMERCE</t>
  </si>
  <si>
    <t>BANQUET</t>
  </si>
  <si>
    <t xml:space="preserve">     TOTAL</t>
  </si>
  <si>
    <t>SCHOLARSHIP</t>
  </si>
  <si>
    <t>UNIVERSITY OF KENTUCKY</t>
  </si>
  <si>
    <t>EASTERN KENTUCKY UNIVERSITY</t>
  </si>
  <si>
    <t>UNIVERSITY OF THE CUMBERLANDS</t>
  </si>
  <si>
    <t>ALICE LLOYD COLLEGE</t>
  </si>
  <si>
    <t>MEMBERSHIP</t>
  </si>
  <si>
    <t>KRUS</t>
  </si>
  <si>
    <t>AMOUNT</t>
  </si>
  <si>
    <t>RADIO SPOTS</t>
  </si>
  <si>
    <t>WEZJ/FM</t>
  </si>
  <si>
    <t>JOURNAL</t>
  </si>
  <si>
    <t/>
  </si>
  <si>
    <t>431A</t>
  </si>
  <si>
    <t xml:space="preserve">NRECA/KAEC </t>
  </si>
  <si>
    <t>DUES-ALLOC MONTHLY WFJ 431A</t>
  </si>
  <si>
    <t>NRUCFC</t>
  </si>
  <si>
    <t>INTEGRITY FUND CONTRIBUTION</t>
  </si>
  <si>
    <t>KY LIVING MAGAZINE</t>
  </si>
  <si>
    <t>ADJ PATRONAGE CC ALLOCATION</t>
  </si>
  <si>
    <t>430A</t>
  </si>
  <si>
    <t>SEE ANNUAL MEETING SUM</t>
  </si>
  <si>
    <t>ANN MTG EXP MONTHLY WFJ 430A</t>
  </si>
  <si>
    <t>Professional Services</t>
  </si>
  <si>
    <t>To Be</t>
  </si>
  <si>
    <t>Date</t>
  </si>
  <si>
    <t>Removed</t>
  </si>
  <si>
    <t>RETAINER FEE</t>
  </si>
  <si>
    <t>ACCOUNTING SERVICES</t>
  </si>
  <si>
    <t>LEGAL SERVICES</t>
  </si>
  <si>
    <t>INTANDEM, LLC</t>
  </si>
  <si>
    <t>CONSULTING SERVICES</t>
  </si>
  <si>
    <t>AUDIT</t>
  </si>
  <si>
    <t>This adjustment removes certain outside professional services costs from the test period, consistent with Commission practice.</t>
  </si>
  <si>
    <t>Reference Schedule:  1.13</t>
  </si>
  <si>
    <t>East Kentucky Power Cooperative</t>
  </si>
  <si>
    <t>This adjustment removes the G&amp;T Capital Credits from the test period, consistent with Commission practice.</t>
  </si>
  <si>
    <t>Count</t>
  </si>
  <si>
    <t>Vac P.Out</t>
  </si>
  <si>
    <t>Other</t>
  </si>
  <si>
    <t>Hourly Employees</t>
  </si>
  <si>
    <t xml:space="preserve"> </t>
  </si>
  <si>
    <t>Part Time  &amp; Summer Employees</t>
  </si>
  <si>
    <t>Retired Employees</t>
  </si>
  <si>
    <t>NOTES:</t>
  </si>
  <si>
    <t>No longer employed</t>
  </si>
  <si>
    <t>This adjustment normalizes wages and salaries to account for changes due to wage increases, promotions, retirements, terminations, or new hires for standard year of 2,080 hours.</t>
  </si>
  <si>
    <t>Labor Expense Summary</t>
  </si>
  <si>
    <t>907-910</t>
  </si>
  <si>
    <t>101-120</t>
  </si>
  <si>
    <t>Utility Plant</t>
  </si>
  <si>
    <t>131-174</t>
  </si>
  <si>
    <t>Current &amp; Accrued Assets</t>
  </si>
  <si>
    <t>181-190</t>
  </si>
  <si>
    <t>Deferred Debits</t>
  </si>
  <si>
    <t>231-283</t>
  </si>
  <si>
    <t>Current &amp; Accrued Liabilities</t>
  </si>
  <si>
    <t>Labor Expense Detail by Account</t>
  </si>
  <si>
    <t>No.</t>
  </si>
  <si>
    <t>Acct</t>
  </si>
  <si>
    <t>Labor Amt</t>
  </si>
  <si>
    <t>Share</t>
  </si>
  <si>
    <t>Construction Work In Progress</t>
  </si>
  <si>
    <t>Retirement Work In Prograss</t>
  </si>
  <si>
    <t>Other Accounts Receivable</t>
  </si>
  <si>
    <t>Stores</t>
  </si>
  <si>
    <t>Misc. Current / Accrued Liabilities</t>
  </si>
  <si>
    <t>Operation Supervision &amp; Engineering</t>
  </si>
  <si>
    <t>Overhead Lines</t>
  </si>
  <si>
    <t>Customer Installations</t>
  </si>
  <si>
    <t>Miscellaneous Distribution</t>
  </si>
  <si>
    <t>Maintenance Supervision &amp; Engineering</t>
  </si>
  <si>
    <t>Maintenance Overhead Lines</t>
  </si>
  <si>
    <t>Maintenance Transformers</t>
  </si>
  <si>
    <t>Maintenance Meters</t>
  </si>
  <si>
    <t>Miscellaneous Maintenance</t>
  </si>
  <si>
    <t>Meter Reading</t>
  </si>
  <si>
    <t>Consumer Records &amp; Collection</t>
  </si>
  <si>
    <t>908.00</t>
  </si>
  <si>
    <t>Consumer Assistance</t>
  </si>
  <si>
    <t>Office Supplies and Expenses</t>
  </si>
  <si>
    <t>Maintenance General Plant</t>
  </si>
  <si>
    <t xml:space="preserve">A - </t>
  </si>
  <si>
    <t>Allocation to Accounts</t>
  </si>
  <si>
    <t>Type of Debt Issued</t>
  </si>
  <si>
    <t>Date of Issue</t>
  </si>
  <si>
    <t>Date of Maturity</t>
  </si>
  <si>
    <t>Outstanding Amount</t>
  </si>
  <si>
    <t>Cost Rate to Maturity</t>
  </si>
  <si>
    <t>Pro Forma Interest Cost</t>
  </si>
  <si>
    <t>Test Year Interest Cost</t>
  </si>
  <si>
    <t>(9)</t>
  </si>
  <si>
    <t>RUS Loans</t>
  </si>
  <si>
    <t>1B300</t>
  </si>
  <si>
    <t>FFB Loans</t>
  </si>
  <si>
    <t>H0010</t>
  </si>
  <si>
    <t>H0015</t>
  </si>
  <si>
    <t>H0020</t>
  </si>
  <si>
    <t>H0025</t>
  </si>
  <si>
    <t>H0030</t>
  </si>
  <si>
    <t>H0035</t>
  </si>
  <si>
    <t>H0040</t>
  </si>
  <si>
    <t>H0045</t>
  </si>
  <si>
    <t>H0050</t>
  </si>
  <si>
    <t>H0055</t>
  </si>
  <si>
    <t>H0060</t>
  </si>
  <si>
    <t>H0065</t>
  </si>
  <si>
    <t>H0070</t>
  </si>
  <si>
    <t>H0075</t>
  </si>
  <si>
    <t>H0080</t>
  </si>
  <si>
    <t>H0085</t>
  </si>
  <si>
    <t>H0090</t>
  </si>
  <si>
    <t>H0095</t>
  </si>
  <si>
    <t>H0100</t>
  </si>
  <si>
    <t>F0105</t>
  </si>
  <si>
    <t>F0110</t>
  </si>
  <si>
    <t>F0115</t>
  </si>
  <si>
    <t>CoBank Loans</t>
  </si>
  <si>
    <t>Sub-Total</t>
  </si>
  <si>
    <t>Annualized Cost Rate</t>
  </si>
  <si>
    <t>Total Adjustment</t>
  </si>
  <si>
    <t xml:space="preserve">This adjustment normalizes the interest on Long-Term Debt.  Test year cost of debt is normalized to annualized cost rate (by multiplying the test year end debt amounts by the interest rate in effect at the end of the test year for each loan). </t>
  </si>
  <si>
    <t>Miscellaneous Expenses</t>
  </si>
  <si>
    <t>Delegates</t>
  </si>
  <si>
    <t>This adjustment removes costs related to Annual Meeting prizes, consistent with Commission practice.</t>
  </si>
  <si>
    <t>Donations, Advertising, Dues, &amp; Other</t>
  </si>
  <si>
    <t>Interest</t>
  </si>
  <si>
    <t>Sch I - Residential, Schools &amp; Churches</t>
  </si>
  <si>
    <t>Sch II - Small Commercial  Small Power</t>
  </si>
  <si>
    <t>Sch VII - Inclining Block Rate</t>
  </si>
  <si>
    <t>Sch IV-A - Large Power 50-2500 kW</t>
  </si>
  <si>
    <t>R</t>
  </si>
  <si>
    <t>C1</t>
  </si>
  <si>
    <t>C2</t>
  </si>
  <si>
    <t>IB</t>
  </si>
  <si>
    <t>L1</t>
  </si>
  <si>
    <t>Less Other Rate Mechanisms</t>
  </si>
  <si>
    <t>Coverage - 3x Salary</t>
  </si>
  <si>
    <t>H</t>
  </si>
  <si>
    <t>(E * 3)</t>
  </si>
  <si>
    <t>((G-F)/G)*C</t>
  </si>
  <si>
    <t xml:space="preserve">B - </t>
  </si>
  <si>
    <t>- No longer employed</t>
  </si>
  <si>
    <t>- Used Test Year Hours for Pro Forma Wages</t>
  </si>
  <si>
    <t>Reference Schedule:  1.03</t>
  </si>
  <si>
    <t>Reference Schedule:  1.04</t>
  </si>
  <si>
    <t>Reference Schedule:  1.09</t>
  </si>
  <si>
    <t>Reference Schedule:  1.11</t>
  </si>
  <si>
    <t>Total Expensed + Capitalized</t>
  </si>
  <si>
    <t xml:space="preserve">Expense Adjustment &gt; </t>
  </si>
  <si>
    <t>Line #</t>
  </si>
  <si>
    <t>Removed 100%; non-recurring.</t>
  </si>
  <si>
    <t>Notes</t>
  </si>
  <si>
    <t>Removed 2/3; related to union contract negotiation that occurs every three years</t>
  </si>
  <si>
    <t xml:space="preserve"> &lt; test year actuals</t>
  </si>
  <si>
    <t>Original Est</t>
  </si>
  <si>
    <t>For the 12 Months Ended December 31, 2023</t>
  </si>
  <si>
    <t>Legal - Honaker Law Office</t>
  </si>
  <si>
    <t>Right of Way</t>
  </si>
  <si>
    <t>Account 593</t>
  </si>
  <si>
    <t>Cost</t>
  </si>
  <si>
    <t>Test Year Right of Way expense</t>
  </si>
  <si>
    <t>Pro Forma Cost ($4,784/mile Overhead Cut and $305/mile Spray)</t>
  </si>
  <si>
    <t>This adjustment adds to expense for average yearly cost of 1/5 overhead line on system.</t>
  </si>
  <si>
    <t>Elimination of Emeritus Benefit</t>
  </si>
  <si>
    <t>KNOX COUNTY UNITE</t>
  </si>
  <si>
    <t>KCMS DANCE TEAM</t>
  </si>
  <si>
    <t>KENTUCKY ELECTRIC COOPERATIVES</t>
  </si>
  <si>
    <t>HARLAN COUNTY HIGH SCHOOL</t>
  </si>
  <si>
    <t>KCEOC COMM ACTION AGENCY</t>
  </si>
  <si>
    <t>WHITLEY COUNTY TOURISM BOARD</t>
  </si>
  <si>
    <t>PUTNEY FIRE DEPARTMENT</t>
  </si>
  <si>
    <t>RECLAIMING FUTURES</t>
  </si>
  <si>
    <t>EKY CRUSADERS</t>
  </si>
  <si>
    <t>HARLAN CO HIGH SCHOOL GOLF</t>
  </si>
  <si>
    <t>SOUTHEAST KENTUCKY EMPTY STOCKING FUND</t>
  </si>
  <si>
    <t>VOID CHECK #90537 FROM 8/30/2023</t>
  </si>
  <si>
    <t>SOUTHERN KY CHAMBER OF COMMERCE</t>
  </si>
  <si>
    <t>SOUTHEAST COMMUNITY COLLEGE</t>
  </si>
  <si>
    <t>VOID CHECK #84557</t>
  </si>
  <si>
    <t>SCHOLARSHIP REFUND</t>
  </si>
  <si>
    <t>CASH REGISTER</t>
  </si>
  <si>
    <t>KY ASSOCIATION FOR ECONOMIC DEV</t>
  </si>
  <si>
    <t>TRI-CITY CHAMBER OF COMMERC</t>
  </si>
  <si>
    <t>LEADERSHIP KENTUCKY FOUNDATION, INC</t>
  </si>
  <si>
    <t>TRI-CITIES HERITAGE DEV</t>
  </si>
  <si>
    <t>LEADERSHIP TRI-COUNTY</t>
  </si>
  <si>
    <t>W K D P</t>
  </si>
  <si>
    <t>THE FORTY &amp; EIGHTER 8 NEWS</t>
  </si>
  <si>
    <t>SPONSORSHIP FOR BANQUET</t>
  </si>
  <si>
    <t>BUSINESS CARDS</t>
  </si>
  <si>
    <t>8070A</t>
  </si>
  <si>
    <t>8097C</t>
  </si>
  <si>
    <t>PATRICK HAUSER, W</t>
  </si>
  <si>
    <t>FROST BROWN TODD LLC</t>
  </si>
  <si>
    <t>JONES, NALE &amp; MATTINGLY PLC</t>
  </si>
  <si>
    <t>HON. HOWARD MANN</t>
  </si>
  <si>
    <t>LEGAL SERVICES - CONT NEG</t>
  </si>
  <si>
    <t>F0120</t>
  </si>
  <si>
    <t>F0125</t>
  </si>
  <si>
    <t>Ending 2023 Rate</t>
  </si>
  <si>
    <t>Ending 2023 Salary</t>
  </si>
  <si>
    <t>Hired in 2024 (not included in 2023 amounts)</t>
  </si>
  <si>
    <t>Cumberland Valley Electric, Inc.</t>
  </si>
  <si>
    <t>Check 90178 VISA Prizes, Supplies &amp; Misc.</t>
  </si>
  <si>
    <t>Double Time</t>
  </si>
  <si>
    <t>- Hired in 2024</t>
  </si>
  <si>
    <t>- Employee Changed from Union to Non-Union</t>
  </si>
  <si>
    <t>Reference Schedule: 1.14</t>
  </si>
  <si>
    <t>Net Exp Adj &gt;</t>
  </si>
  <si>
    <t>Reported Amt</t>
  </si>
  <si>
    <t>Var</t>
  </si>
  <si>
    <t>Check vs PFA</t>
  </si>
  <si>
    <t>2024 Wage Rate</t>
  </si>
  <si>
    <t xml:space="preserve">&lt; Capitalized </t>
  </si>
  <si>
    <t>&lt; Total</t>
  </si>
  <si>
    <t>&lt; Expensed</t>
  </si>
  <si>
    <t xml:space="preserve">Total   </t>
  </si>
  <si>
    <t>Test Year</t>
  </si>
  <si>
    <t>Adj</t>
  </si>
  <si>
    <t>Adj Test Year</t>
  </si>
  <si>
    <t>Proposed</t>
  </si>
  <si>
    <t>Rate V-B</t>
  </si>
  <si>
    <t>Rate V-C</t>
  </si>
  <si>
    <t>FAC</t>
  </si>
  <si>
    <t>ES</t>
  </si>
  <si>
    <t>Wholesale Billings</t>
  </si>
  <si>
    <t>Total less FAC / ES</t>
  </si>
  <si>
    <t>This adjustment adjusts the test year expenses and revenues to reflect the departure of members on Large Power Rates V-B and V-C.</t>
  </si>
  <si>
    <t>Retail Revenues</t>
  </si>
  <si>
    <t>Demand Charge Contract</t>
  </si>
  <si>
    <t>Interruptible Credit</t>
  </si>
  <si>
    <t>Energy Charge</t>
  </si>
  <si>
    <t>Buy Thru Charges</t>
  </si>
  <si>
    <t>Buy Thru Credits</t>
  </si>
  <si>
    <t>Test Year Revenue</t>
  </si>
  <si>
    <t>Pro Forma Revenue</t>
  </si>
  <si>
    <t>Pro Forma Expense</t>
  </si>
  <si>
    <t>Effect on Margins</t>
  </si>
  <si>
    <t>Large Power Members</t>
  </si>
  <si>
    <t>Reference Schedule:  1.14</t>
  </si>
  <si>
    <t>Customer Charge</t>
  </si>
  <si>
    <t>Kwh Charge</t>
  </si>
  <si>
    <t>Demand Charge</t>
  </si>
  <si>
    <t>Fuel Charge</t>
  </si>
  <si>
    <t>Fuel Charge BTE</t>
  </si>
  <si>
    <t xml:space="preserve">Rate Min Up Charge </t>
  </si>
  <si>
    <t xml:space="preserve">Interruptible Credit </t>
  </si>
  <si>
    <t>Buy-Through Energy</t>
  </si>
  <si>
    <t>Buy-Through Credit</t>
  </si>
  <si>
    <t>Left on Table by Streamlined</t>
  </si>
  <si>
    <t>Proposed Increase with Rate Rounding $</t>
  </si>
  <si>
    <t>Target Increase $</t>
  </si>
  <si>
    <t>DSC</t>
  </si>
  <si>
    <t>Minimum DSC (RUS)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</si>
</sst>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_(* #,##0.00000_);_(* \(#,##0.00000\);_(* &quot;-&quot;??_);_(@_)"/>
    <numFmt numFmtId="168" formatCode="0.0%"/>
    <numFmt numFmtId="169" formatCode="\(#\)"/>
    <numFmt numFmtId="170" formatCode="###,###,###,###.00"/>
    <numFmt numFmtId="171" formatCode="\(#.00\)"/>
    <numFmt numFmtId="172" formatCode="0.000%"/>
    <numFmt numFmtId="173" formatCode="_(* #,##0.00_);_(* \(#,##0.00\);_(* &quot;-&quot;_);_(@_)"/>
    <numFmt numFmtId="174" formatCode="mm/dd/yy;@"/>
    <numFmt numFmtId="175" formatCode="&quot;$&quot;#,##0.00"/>
    <numFmt numFmtId="176" formatCode="0.0"/>
  </numFmts>
  <fonts count="37">
    <font>
      <sz val="11"/>
      <color theme="1"/>
      <name val="Calibri"/>
      <family val="2"/>
      <scheme val="minor"/>
    </font>
    <font>
      <sz val="11"/>
      <color theme="1"/>
      <name val="Calibri"/>
      <family val="2"/>
      <scheme val="minor"/>
    </font>
    <font>
      <sz val="10"/>
      <name val="Arial"/>
      <family val="2"/>
    </font>
    <font>
      <sz val="12"/>
      <color theme="1"/>
      <name val="Arial"/>
      <family val="2"/>
    </font>
    <font>
      <b/>
      <sz val="10"/>
      <color theme="1"/>
      <name val="Arial"/>
      <family val="2"/>
    </font>
    <font>
      <sz val="10"/>
      <color theme="1"/>
      <name val="Arial"/>
      <family val="2"/>
    </font>
    <font>
      <b/>
      <u/>
      <sz val="10"/>
      <name val="Arial"/>
      <family val="2"/>
    </font>
    <font>
      <sz val="11"/>
      <name val="Arial"/>
      <family val="2"/>
    </font>
    <font>
      <b/>
      <sz val="10"/>
      <color rgb="FFFF0000"/>
      <name val="Arial"/>
      <family val="2"/>
    </font>
    <font>
      <b/>
      <u/>
      <sz val="10"/>
      <color theme="1"/>
      <name val="Arial"/>
      <family val="2"/>
    </font>
    <font>
      <u/>
      <sz val="10"/>
      <color theme="1"/>
      <name val="Arial"/>
      <family val="2"/>
    </font>
    <font>
      <sz val="12"/>
      <name val="P-TIMES"/>
    </font>
    <font>
      <sz val="11"/>
      <name val="P-TIMES"/>
    </font>
    <font>
      <u/>
      <sz val="11"/>
      <name val="Arial"/>
      <family val="2"/>
    </font>
    <font>
      <u/>
      <sz val="10"/>
      <name val="Arial"/>
      <family val="2"/>
    </font>
    <font>
      <b/>
      <sz val="10"/>
      <name val="Arial"/>
      <family val="2"/>
    </font>
    <font>
      <sz val="11"/>
      <name val="Times New Roman"/>
      <family val="1"/>
    </font>
    <font>
      <sz val="10"/>
      <name val="MS Sans Serif"/>
      <family val="2"/>
    </font>
    <font>
      <sz val="10"/>
      <color rgb="FF0000CC"/>
      <name val="Arial"/>
      <family val="2"/>
    </font>
    <font>
      <b/>
      <sz val="11"/>
      <color theme="1"/>
      <name val="Calibri"/>
      <family val="2"/>
      <scheme val="minor"/>
    </font>
    <font>
      <b/>
      <sz val="11"/>
      <name val="Arial"/>
      <family val="2"/>
    </font>
    <font>
      <b/>
      <i/>
      <sz val="10"/>
      <color theme="1"/>
      <name val="Arial"/>
      <family val="2"/>
    </font>
    <font>
      <sz val="11"/>
      <name val="Calibri"/>
      <family val="2"/>
      <scheme val="minor"/>
    </font>
    <font>
      <b/>
      <sz val="11"/>
      <color theme="1"/>
      <name val="Arial"/>
      <family val="2"/>
    </font>
    <font>
      <sz val="11"/>
      <color theme="1"/>
      <name val="Arial"/>
      <family val="2"/>
    </font>
    <font>
      <b/>
      <sz val="9"/>
      <color indexed="81"/>
      <name val="Tahoma"/>
      <family val="2"/>
    </font>
    <font>
      <sz val="9"/>
      <color indexed="81"/>
      <name val="Tahoma"/>
      <family val="2"/>
    </font>
    <font>
      <b/>
      <sz val="11"/>
      <name val="Calibri"/>
      <family val="2"/>
      <scheme val="minor"/>
    </font>
    <font>
      <u/>
      <sz val="11"/>
      <color theme="1"/>
      <name val="Arial"/>
      <family val="2"/>
    </font>
    <font>
      <b/>
      <i/>
      <sz val="10"/>
      <name val="Arial"/>
      <family val="2"/>
    </font>
    <font>
      <i/>
      <sz val="10"/>
      <color rgb="FF7030A0"/>
      <name val="Arial"/>
      <family val="2"/>
    </font>
    <font>
      <sz val="10"/>
      <color rgb="FF7030A0"/>
      <name val="Arial"/>
      <family val="2"/>
    </font>
    <font>
      <i/>
      <sz val="10"/>
      <color theme="1"/>
      <name val="Arial"/>
      <family val="2"/>
    </font>
    <font>
      <i/>
      <sz val="8"/>
      <name val="Arial"/>
      <family val="2"/>
    </font>
    <font>
      <i/>
      <sz val="8"/>
      <name val="Calibri"/>
      <family val="2"/>
      <scheme val="minor"/>
    </font>
    <font>
      <sz val="10"/>
      <color rgb="FFFF0000"/>
      <name val="Arial"/>
      <family val="2"/>
    </font>
    <font>
      <i/>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right/>
      <top style="thin">
        <color theme="1"/>
      </top>
      <bottom/>
      <diagonal/>
    </border>
    <border>
      <left/>
      <right/>
      <top style="thin">
        <color theme="1"/>
      </top>
      <bottom style="double">
        <color theme="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43" fontId="1" fillId="0" borderId="0" applyFont="0" applyFill="0" applyBorder="0" applyAlignment="0" applyProtection="0"/>
    <xf numFmtId="0" fontId="3" fillId="0" borderId="0"/>
    <xf numFmtId="0" fontId="11" fillId="0" borderId="0"/>
    <xf numFmtId="9" fontId="1"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0" fontId="17"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cellStyleXfs>
  <cellXfs count="369">
    <xf numFmtId="0" fontId="0" fillId="0" borderId="0" xfId="0"/>
    <xf numFmtId="0" fontId="2" fillId="0" borderId="0" xfId="0" applyFont="1" applyAlignment="1">
      <alignment horizontal="center"/>
    </xf>
    <xf numFmtId="0" fontId="2" fillId="0" borderId="0" xfId="0" applyFont="1"/>
    <xf numFmtId="0" fontId="2" fillId="0" borderId="2" xfId="0" applyFont="1" applyBorder="1"/>
    <xf numFmtId="0" fontId="2" fillId="0" borderId="3" xfId="0" applyFont="1" applyBorder="1" applyAlignment="1">
      <alignment horizontal="center"/>
    </xf>
    <xf numFmtId="0" fontId="4" fillId="0" borderId="0" xfId="3" applyFont="1" applyAlignment="1">
      <alignment horizontal="right"/>
    </xf>
    <xf numFmtId="0" fontId="5" fillId="0" borderId="0" xfId="3" applyFont="1"/>
    <xf numFmtId="0" fontId="4" fillId="0" borderId="0" xfId="3" applyFont="1"/>
    <xf numFmtId="0" fontId="5" fillId="0" borderId="0" xfId="0" applyFont="1" applyAlignment="1">
      <alignment vertical="top" wrapText="1"/>
    </xf>
    <xf numFmtId="0" fontId="5" fillId="0" borderId="0" xfId="0" applyFont="1" applyAlignment="1">
      <alignment horizontal="center"/>
    </xf>
    <xf numFmtId="0" fontId="5" fillId="0" borderId="0" xfId="0" applyFont="1"/>
    <xf numFmtId="0" fontId="5" fillId="0" borderId="1" xfId="0" applyFont="1" applyBorder="1" applyAlignment="1">
      <alignment horizontal="center"/>
    </xf>
    <xf numFmtId="0" fontId="5" fillId="0" borderId="1" xfId="0" quotePrefix="1" applyFont="1" applyBorder="1" applyAlignment="1">
      <alignment horizontal="center"/>
    </xf>
    <xf numFmtId="164" fontId="5" fillId="0" borderId="0" xfId="1" applyNumberFormat="1" applyFont="1"/>
    <xf numFmtId="0" fontId="5" fillId="0" borderId="0" xfId="0" applyFont="1" applyAlignment="1">
      <alignment horizontal="left"/>
    </xf>
    <xf numFmtId="0" fontId="5" fillId="0" borderId="3" xfId="0" applyFont="1" applyBorder="1"/>
    <xf numFmtId="164" fontId="5" fillId="0" borderId="3" xfId="1" applyNumberFormat="1" applyFont="1" applyBorder="1"/>
    <xf numFmtId="164" fontId="5" fillId="0" borderId="0" xfId="1" applyNumberFormat="1" applyFont="1" applyBorder="1"/>
    <xf numFmtId="164" fontId="5" fillId="0" borderId="0" xfId="1" applyNumberFormat="1" applyFont="1" applyFill="1" applyBorder="1"/>
    <xf numFmtId="0" fontId="5" fillId="0" borderId="2" xfId="0" applyFont="1" applyBorder="1"/>
    <xf numFmtId="164" fontId="5" fillId="0" borderId="2" xfId="0" applyNumberFormat="1" applyFont="1" applyBorder="1"/>
    <xf numFmtId="164" fontId="5" fillId="0" borderId="2" xfId="1" applyNumberFormat="1" applyFont="1" applyBorder="1"/>
    <xf numFmtId="165" fontId="5" fillId="0" borderId="0" xfId="2" applyNumberFormat="1" applyFont="1"/>
    <xf numFmtId="165" fontId="5" fillId="0" borderId="0" xfId="2" applyNumberFormat="1" applyFont="1" applyFill="1"/>
    <xf numFmtId="164" fontId="5" fillId="0" borderId="0" xfId="0" applyNumberFormat="1" applyFont="1"/>
    <xf numFmtId="43" fontId="5" fillId="0" borderId="0" xfId="2" applyFont="1"/>
    <xf numFmtId="2" fontId="5" fillId="0" borderId="0" xfId="0" applyNumberFormat="1" applyFont="1" applyAlignment="1">
      <alignment horizontal="center"/>
    </xf>
    <xf numFmtId="0" fontId="5" fillId="0" borderId="0" xfId="0" applyFont="1" applyAlignment="1">
      <alignment horizontal="center" wrapText="1"/>
    </xf>
    <xf numFmtId="165" fontId="5" fillId="0" borderId="3" xfId="2" applyNumberFormat="1" applyFont="1" applyBorder="1"/>
    <xf numFmtId="165" fontId="5" fillId="0" borderId="0" xfId="2" applyNumberFormat="1" applyFont="1" applyBorder="1"/>
    <xf numFmtId="0" fontId="2" fillId="0" borderId="0" xfId="0" applyFont="1" applyAlignment="1">
      <alignment horizontal="left" vertical="center"/>
    </xf>
    <xf numFmtId="0" fontId="2" fillId="0" borderId="4" xfId="0" applyFont="1" applyBorder="1" applyAlignment="1">
      <alignment horizontal="center"/>
    </xf>
    <xf numFmtId="0" fontId="5" fillId="2" borderId="0" xfId="0" applyFont="1" applyFill="1"/>
    <xf numFmtId="164" fontId="5" fillId="0" borderId="3" xfId="1" applyNumberFormat="1" applyFont="1" applyFill="1" applyBorder="1"/>
    <xf numFmtId="165" fontId="2" fillId="0" borderId="0" xfId="2" applyNumberFormat="1" applyFont="1" applyFill="1"/>
    <xf numFmtId="0" fontId="10" fillId="0" borderId="0" xfId="0" applyFont="1" applyAlignment="1">
      <alignment horizontal="left"/>
    </xf>
    <xf numFmtId="164" fontId="2" fillId="0" borderId="0" xfId="1" applyNumberFormat="1" applyFont="1" applyBorder="1" applyProtection="1"/>
    <xf numFmtId="168" fontId="2" fillId="0" borderId="0" xfId="5" applyNumberFormat="1" applyFont="1" applyBorder="1" applyProtection="1"/>
    <xf numFmtId="0" fontId="2" fillId="0" borderId="0" xfId="0" applyFont="1" applyAlignment="1">
      <alignment horizontal="center" wrapText="1"/>
    </xf>
    <xf numFmtId="0" fontId="2" fillId="0" borderId="1" xfId="0" applyFont="1" applyBorder="1" applyAlignment="1">
      <alignment horizontal="center"/>
    </xf>
    <xf numFmtId="169" fontId="2" fillId="0" borderId="1" xfId="0" quotePrefix="1" applyNumberFormat="1" applyFont="1" applyBorder="1" applyAlignment="1">
      <alignment horizontal="center"/>
    </xf>
    <xf numFmtId="0" fontId="2" fillId="0" borderId="0" xfId="0" applyFont="1" applyAlignment="1">
      <alignment vertical="top" wrapText="1"/>
    </xf>
    <xf numFmtId="0" fontId="14" fillId="0" borderId="0" xfId="0" applyFont="1" applyAlignment="1">
      <alignment horizontal="left"/>
    </xf>
    <xf numFmtId="164" fontId="2" fillId="0" borderId="0" xfId="1" applyNumberFormat="1" applyFont="1" applyBorder="1" applyAlignment="1" applyProtection="1">
      <alignment horizontal="center"/>
    </xf>
    <xf numFmtId="0" fontId="2" fillId="0" borderId="3" xfId="0" applyFont="1" applyBorder="1"/>
    <xf numFmtId="0" fontId="2" fillId="0" borderId="2" xfId="0" applyFont="1" applyBorder="1" applyAlignment="1">
      <alignment horizontal="center"/>
    </xf>
    <xf numFmtId="168" fontId="2" fillId="0" borderId="2" xfId="5" applyNumberFormat="1" applyFont="1" applyBorder="1" applyProtection="1"/>
    <xf numFmtId="0" fontId="14" fillId="0" borderId="0" xfId="0" applyFont="1" applyAlignment="1">
      <alignment horizontal="right" wrapText="1"/>
    </xf>
    <xf numFmtId="0" fontId="5" fillId="0" borderId="0" xfId="0" applyFont="1" applyAlignment="1">
      <alignment horizontal="right"/>
    </xf>
    <xf numFmtId="37" fontId="7" fillId="0" borderId="0" xfId="4" applyNumberFormat="1" applyFont="1"/>
    <xf numFmtId="165" fontId="2" fillId="0" borderId="2" xfId="2" applyNumberFormat="1" applyFont="1" applyFill="1" applyBorder="1"/>
    <xf numFmtId="0" fontId="5" fillId="0" borderId="0" xfId="0" applyFont="1" applyAlignment="1">
      <alignment vertical="center"/>
    </xf>
    <xf numFmtId="169" fontId="2" fillId="0" borderId="0" xfId="0" quotePrefix="1" applyNumberFormat="1" applyFont="1" applyAlignment="1">
      <alignment horizontal="center"/>
    </xf>
    <xf numFmtId="0" fontId="4" fillId="0" borderId="0" xfId="0" applyFont="1" applyAlignment="1">
      <alignment horizontal="center"/>
    </xf>
    <xf numFmtId="165" fontId="2" fillId="0" borderId="3" xfId="2" applyNumberFormat="1" applyFont="1" applyFill="1" applyBorder="1"/>
    <xf numFmtId="0" fontId="0" fillId="0" borderId="0" xfId="0" applyAlignment="1">
      <alignment horizontal="center"/>
    </xf>
    <xf numFmtId="0" fontId="7" fillId="0" borderId="0" xfId="4" applyFont="1" applyAlignment="1">
      <alignment horizontal="centerContinuous"/>
    </xf>
    <xf numFmtId="0" fontId="7" fillId="0" borderId="0" xfId="4" applyFont="1" applyAlignment="1">
      <alignment horizontal="right"/>
    </xf>
    <xf numFmtId="0" fontId="7" fillId="0" borderId="0" xfId="4" applyFont="1"/>
    <xf numFmtId="0" fontId="12" fillId="0" borderId="0" xfId="4" applyFont="1"/>
    <xf numFmtId="0" fontId="7" fillId="0" borderId="0" xfId="4" applyFont="1" applyAlignment="1">
      <alignment horizontal="center"/>
    </xf>
    <xf numFmtId="0" fontId="12" fillId="0" borderId="0" xfId="4" applyFont="1" applyAlignment="1">
      <alignment horizontal="center"/>
    </xf>
    <xf numFmtId="2" fontId="7" fillId="0" borderId="0" xfId="4" applyNumberFormat="1" applyFont="1" applyAlignment="1">
      <alignment horizontal="center"/>
    </xf>
    <xf numFmtId="0" fontId="13" fillId="0" borderId="0" xfId="4" applyFont="1" applyAlignment="1">
      <alignment horizontal="centerContinuous"/>
    </xf>
    <xf numFmtId="0" fontId="7" fillId="0" borderId="1" xfId="4" applyFont="1" applyBorder="1" applyAlignment="1">
      <alignment horizontal="center" wrapText="1"/>
    </xf>
    <xf numFmtId="0" fontId="12" fillId="0" borderId="1" xfId="4" applyFont="1" applyBorder="1" applyAlignment="1">
      <alignment horizontal="center" wrapText="1"/>
    </xf>
    <xf numFmtId="0" fontId="13" fillId="0" borderId="0" xfId="4" applyFont="1"/>
    <xf numFmtId="165" fontId="7" fillId="0" borderId="0" xfId="2" applyNumberFormat="1" applyFont="1" applyFill="1"/>
    <xf numFmtId="37" fontId="7" fillId="0" borderId="1" xfId="4" applyNumberFormat="1" applyFont="1" applyBorder="1"/>
    <xf numFmtId="0" fontId="7" fillId="0" borderId="5" xfId="4" applyFont="1" applyBorder="1"/>
    <xf numFmtId="37" fontId="7" fillId="0" borderId="5" xfId="4" applyNumberFormat="1" applyFont="1" applyBorder="1"/>
    <xf numFmtId="37" fontId="7" fillId="0" borderId="0" xfId="4" applyNumberFormat="1" applyFont="1" applyAlignment="1">
      <alignment horizontal="right"/>
    </xf>
    <xf numFmtId="0" fontId="7" fillId="0" borderId="6" xfId="4" applyFont="1" applyBorder="1"/>
    <xf numFmtId="37" fontId="7" fillId="0" borderId="6" xfId="4" applyNumberFormat="1" applyFont="1" applyBorder="1"/>
    <xf numFmtId="0" fontId="20" fillId="0" borderId="0" xfId="4" applyFont="1" applyAlignment="1">
      <alignment horizontal="centerContinuous"/>
    </xf>
    <xf numFmtId="0" fontId="5" fillId="0" borderId="2" xfId="0" applyFont="1" applyBorder="1" applyAlignment="1">
      <alignment horizontal="center" vertical="center"/>
    </xf>
    <xf numFmtId="0" fontId="5" fillId="0" borderId="2" xfId="0" applyFont="1" applyBorder="1" applyAlignment="1">
      <alignment vertical="center"/>
    </xf>
    <xf numFmtId="165" fontId="5" fillId="0" borderId="2" xfId="2" applyNumberFormat="1" applyFont="1" applyBorder="1" applyAlignment="1">
      <alignment vertical="center"/>
    </xf>
    <xf numFmtId="168" fontId="2" fillId="0" borderId="0" xfId="5" applyNumberFormat="1" applyFont="1" applyFill="1" applyBorder="1" applyProtection="1"/>
    <xf numFmtId="168" fontId="2" fillId="0" borderId="3" xfId="5" applyNumberFormat="1" applyFont="1" applyFill="1" applyBorder="1" applyProtection="1"/>
    <xf numFmtId="0" fontId="15" fillId="0" borderId="1" xfId="0" applyFont="1" applyBorder="1" applyAlignment="1">
      <alignment horizontal="center"/>
    </xf>
    <xf numFmtId="169" fontId="15" fillId="0" borderId="1" xfId="0" quotePrefix="1" applyNumberFormat="1" applyFont="1" applyBorder="1" applyAlignment="1">
      <alignment horizontal="center"/>
    </xf>
    <xf numFmtId="0" fontId="19" fillId="0" borderId="0" xfId="0" applyFont="1"/>
    <xf numFmtId="0" fontId="4" fillId="0" borderId="0" xfId="0" applyFont="1"/>
    <xf numFmtId="165" fontId="2" fillId="0" borderId="0" xfId="2" applyNumberFormat="1" applyFont="1" applyProtection="1"/>
    <xf numFmtId="0" fontId="21" fillId="0" borderId="0" xfId="0" applyFont="1" applyAlignment="1">
      <alignment horizontal="left"/>
    </xf>
    <xf numFmtId="0" fontId="21" fillId="0" borderId="0" xfId="0" applyFont="1"/>
    <xf numFmtId="165" fontId="4" fillId="0" borderId="0" xfId="2" applyNumberFormat="1" applyFont="1" applyFill="1" applyAlignment="1"/>
    <xf numFmtId="165" fontId="4" fillId="0" borderId="0" xfId="2" applyNumberFormat="1" applyFont="1" applyFill="1" applyAlignment="1">
      <alignment horizontal="center"/>
    </xf>
    <xf numFmtId="165" fontId="2" fillId="0" borderId="3" xfId="2" applyNumberFormat="1" applyFont="1" applyBorder="1" applyProtection="1"/>
    <xf numFmtId="165" fontId="0" fillId="0" borderId="0" xfId="2" applyNumberFormat="1" applyFont="1" applyFill="1"/>
    <xf numFmtId="165" fontId="2" fillId="0" borderId="2" xfId="2" applyNumberFormat="1" applyFont="1" applyBorder="1" applyProtection="1"/>
    <xf numFmtId="0" fontId="15" fillId="0" borderId="0" xfId="0" applyFont="1"/>
    <xf numFmtId="165" fontId="2" fillId="0" borderId="8" xfId="2" applyNumberFormat="1" applyFont="1" applyFill="1" applyBorder="1"/>
    <xf numFmtId="43" fontId="2" fillId="0" borderId="0" xfId="2" applyFont="1" applyFill="1"/>
    <xf numFmtId="165" fontId="2" fillId="0" borderId="0" xfId="2" applyNumberFormat="1" applyFont="1" applyFill="1" applyBorder="1"/>
    <xf numFmtId="10" fontId="2" fillId="0" borderId="0" xfId="5" applyNumberFormat="1" applyFont="1" applyBorder="1" applyProtection="1"/>
    <xf numFmtId="0" fontId="15" fillId="0" borderId="0" xfId="0" applyFont="1" applyAlignment="1">
      <alignment horizontal="center"/>
    </xf>
    <xf numFmtId="43" fontId="2" fillId="0" borderId="0" xfId="2" applyFont="1" applyBorder="1" applyAlignment="1" applyProtection="1">
      <alignment horizontal="center"/>
    </xf>
    <xf numFmtId="43" fontId="2" fillId="0" borderId="8" xfId="2" applyFont="1" applyBorder="1" applyAlignment="1" applyProtection="1">
      <alignment horizontal="left"/>
    </xf>
    <xf numFmtId="0" fontId="2" fillId="0" borderId="8" xfId="0" applyFont="1" applyBorder="1"/>
    <xf numFmtId="0" fontId="7" fillId="0" borderId="1" xfId="4" applyFont="1" applyBorder="1" applyAlignment="1">
      <alignment horizontal="right" vertical="center"/>
    </xf>
    <xf numFmtId="37" fontId="5" fillId="0" borderId="0" xfId="0" applyNumberFormat="1" applyFont="1"/>
    <xf numFmtId="164" fontId="2" fillId="0" borderId="0" xfId="1" applyNumberFormat="1" applyFont="1" applyFill="1" applyBorder="1"/>
    <xf numFmtId="0" fontId="24" fillId="0" borderId="0" xfId="0" applyFont="1"/>
    <xf numFmtId="0" fontId="23" fillId="0" borderId="1" xfId="0" applyFont="1" applyBorder="1" applyAlignment="1">
      <alignment horizontal="center"/>
    </xf>
    <xf numFmtId="0" fontId="24" fillId="0" borderId="0" xfId="0" applyFont="1" applyAlignment="1">
      <alignment horizontal="left"/>
    </xf>
    <xf numFmtId="44" fontId="24" fillId="0" borderId="0" xfId="1" applyFont="1"/>
    <xf numFmtId="43" fontId="24" fillId="0" borderId="0" xfId="2" applyFont="1"/>
    <xf numFmtId="0" fontId="15" fillId="0" borderId="0" xfId="3" applyFont="1" applyAlignment="1">
      <alignment horizontal="right"/>
    </xf>
    <xf numFmtId="0" fontId="2" fillId="0" borderId="0" xfId="3" applyFont="1"/>
    <xf numFmtId="0" fontId="2" fillId="3" borderId="0" xfId="0" applyFont="1" applyFill="1" applyAlignment="1">
      <alignment horizontal="center"/>
    </xf>
    <xf numFmtId="0" fontId="2" fillId="4" borderId="0" xfId="0" applyFont="1" applyFill="1" applyAlignment="1">
      <alignment horizontal="center"/>
    </xf>
    <xf numFmtId="0" fontId="2" fillId="4" borderId="0" xfId="0" applyFont="1" applyFill="1" applyAlignment="1">
      <alignment horizontal="center" wrapText="1"/>
    </xf>
    <xf numFmtId="0" fontId="2" fillId="4" borderId="0" xfId="3" applyFont="1" applyFill="1" applyAlignment="1">
      <alignment horizontal="center"/>
    </xf>
    <xf numFmtId="169" fontId="2" fillId="3" borderId="1" xfId="0" quotePrefix="1" applyNumberFormat="1" applyFont="1" applyFill="1" applyBorder="1" applyAlignment="1">
      <alignment horizontal="center"/>
    </xf>
    <xf numFmtId="41" fontId="2" fillId="0" borderId="0" xfId="2" applyNumberFormat="1" applyFont="1"/>
    <xf numFmtId="0" fontId="2" fillId="0" borderId="0" xfId="0" applyFont="1" applyAlignment="1">
      <alignment horizontal="left"/>
    </xf>
    <xf numFmtId="2" fontId="2" fillId="0" borderId="0" xfId="0" applyNumberFormat="1" applyFont="1"/>
    <xf numFmtId="37" fontId="2" fillId="0" borderId="0" xfId="0" applyNumberFormat="1" applyFont="1"/>
    <xf numFmtId="164" fontId="2" fillId="0" borderId="0" xfId="1" applyNumberFormat="1" applyFont="1"/>
    <xf numFmtId="0" fontId="15" fillId="0" borderId="3" xfId="0" applyFont="1" applyBorder="1" applyAlignment="1">
      <alignment horizontal="center"/>
    </xf>
    <xf numFmtId="0" fontId="15" fillId="0" borderId="3" xfId="0" applyFont="1" applyBorder="1"/>
    <xf numFmtId="41" fontId="15" fillId="0" borderId="3" xfId="2" applyNumberFormat="1" applyFont="1" applyBorder="1"/>
    <xf numFmtId="38" fontId="15" fillId="0" borderId="3" xfId="2" applyNumberFormat="1" applyFont="1" applyBorder="1"/>
    <xf numFmtId="164" fontId="2" fillId="0" borderId="3" xfId="1" applyNumberFormat="1" applyFont="1" applyBorder="1"/>
    <xf numFmtId="164" fontId="24" fillId="0" borderId="0" xfId="1" applyNumberFormat="1" applyFont="1"/>
    <xf numFmtId="0" fontId="4" fillId="0" borderId="1" xfId="0" applyFont="1" applyBorder="1" applyAlignment="1">
      <alignment horizontal="center"/>
    </xf>
    <xf numFmtId="44" fontId="5" fillId="0" borderId="0" xfId="1" applyFont="1"/>
    <xf numFmtId="0" fontId="14" fillId="0" borderId="0" xfId="0" applyFont="1" applyAlignment="1">
      <alignment horizontal="center"/>
    </xf>
    <xf numFmtId="0" fontId="6" fillId="0" borderId="0" xfId="0" applyFont="1"/>
    <xf numFmtId="0" fontId="2" fillId="0" borderId="0" xfId="0" applyFont="1" applyAlignment="1">
      <alignment horizontal="right"/>
    </xf>
    <xf numFmtId="0" fontId="10" fillId="0" borderId="0" xfId="0" applyFont="1" applyAlignment="1">
      <alignment horizontal="right"/>
    </xf>
    <xf numFmtId="0" fontId="4" fillId="0" borderId="0" xfId="0" applyFont="1" applyAlignment="1">
      <alignment horizontal="center" wrapText="1"/>
    </xf>
    <xf numFmtId="0" fontId="4" fillId="0" borderId="1" xfId="0" applyFont="1" applyBorder="1" applyAlignment="1">
      <alignment horizontal="center" wrapText="1"/>
    </xf>
    <xf numFmtId="44" fontId="5" fillId="0" borderId="0" xfId="0" applyNumberFormat="1" applyFont="1"/>
    <xf numFmtId="44" fontId="5" fillId="0" borderId="0" xfId="1" applyFont="1" applyFill="1"/>
    <xf numFmtId="44" fontId="4" fillId="0" borderId="3" xfId="0" applyNumberFormat="1" applyFont="1" applyBorder="1"/>
    <xf numFmtId="10" fontId="2" fillId="0" borderId="3" xfId="5" applyNumberFormat="1" applyFont="1" applyFill="1" applyBorder="1" applyProtection="1"/>
    <xf numFmtId="2" fontId="2" fillId="0" borderId="0" xfId="2" applyNumberFormat="1" applyFont="1" applyBorder="1" applyAlignment="1" applyProtection="1">
      <alignment horizontal="center"/>
    </xf>
    <xf numFmtId="41" fontId="5" fillId="0" borderId="0" xfId="0" applyNumberFormat="1" applyFont="1"/>
    <xf numFmtId="0" fontId="5" fillId="0" borderId="3" xfId="0" applyFont="1" applyBorder="1" applyAlignment="1">
      <alignment horizontal="center"/>
    </xf>
    <xf numFmtId="1" fontId="2" fillId="0" borderId="0" xfId="2" applyNumberFormat="1" applyFont="1" applyBorder="1" applyAlignment="1" applyProtection="1">
      <alignment horizontal="center"/>
    </xf>
    <xf numFmtId="0" fontId="4" fillId="0" borderId="0" xfId="3" applyFont="1" applyAlignment="1">
      <alignment horizontal="center"/>
    </xf>
    <xf numFmtId="0" fontId="6" fillId="0" borderId="0" xfId="0" applyFont="1" applyAlignment="1">
      <alignment horizontal="center"/>
    </xf>
    <xf numFmtId="0" fontId="5" fillId="0" borderId="0" xfId="0" applyFont="1" applyAlignment="1">
      <alignment horizontal="left" vertical="top" wrapText="1"/>
    </xf>
    <xf numFmtId="0" fontId="28" fillId="0" borderId="0" xfId="0" applyFont="1"/>
    <xf numFmtId="44" fontId="24" fillId="0" borderId="3" xfId="1" applyFont="1" applyBorder="1"/>
    <xf numFmtId="0" fontId="23" fillId="0" borderId="1" xfId="0" applyFont="1" applyBorder="1"/>
    <xf numFmtId="44" fontId="24" fillId="0" borderId="0" xfId="2" applyNumberFormat="1" applyFont="1" applyBorder="1"/>
    <xf numFmtId="43" fontId="24" fillId="0" borderId="0" xfId="2" applyFont="1" applyBorder="1"/>
    <xf numFmtId="0" fontId="24" fillId="0" borderId="2" xfId="0" applyFont="1" applyBorder="1"/>
    <xf numFmtId="0" fontId="24" fillId="0" borderId="1" xfId="0" applyFont="1" applyBorder="1" applyAlignment="1">
      <alignment horizontal="left"/>
    </xf>
    <xf numFmtId="43" fontId="24" fillId="0" borderId="1" xfId="2" applyFont="1" applyBorder="1"/>
    <xf numFmtId="0" fontId="2" fillId="0" borderId="0" xfId="0" applyFont="1" applyAlignment="1">
      <alignment horizontal="center" vertical="center"/>
    </xf>
    <xf numFmtId="0" fontId="5" fillId="0" borderId="1" xfId="0" applyFont="1" applyBorder="1"/>
    <xf numFmtId="2" fontId="2" fillId="0" borderId="0" xfId="0" applyNumberFormat="1" applyFont="1" applyAlignment="1">
      <alignment horizontal="center"/>
    </xf>
    <xf numFmtId="2" fontId="4" fillId="0" borderId="0" xfId="0" applyNumberFormat="1" applyFont="1"/>
    <xf numFmtId="0" fontId="9" fillId="0" borderId="0" xfId="0" quotePrefix="1" applyFont="1" applyAlignment="1">
      <alignment horizontal="left"/>
    </xf>
    <xf numFmtId="170" fontId="9" fillId="0" borderId="0" xfId="0" quotePrefix="1" applyNumberFormat="1" applyFont="1"/>
    <xf numFmtId="0" fontId="5" fillId="0" borderId="0" xfId="0" quotePrefix="1" applyFont="1" applyAlignment="1">
      <alignment horizontal="left"/>
    </xf>
    <xf numFmtId="170" fontId="5" fillId="0" borderId="0" xfId="0" quotePrefix="1" applyNumberFormat="1" applyFont="1"/>
    <xf numFmtId="170" fontId="5" fillId="0" borderId="3" xfId="0" applyNumberFormat="1" applyFont="1" applyBorder="1"/>
    <xf numFmtId="170" fontId="5" fillId="0" borderId="0" xfId="0" applyNumberFormat="1" applyFont="1"/>
    <xf numFmtId="43" fontId="4" fillId="0" borderId="0" xfId="2" applyFont="1"/>
    <xf numFmtId="171" fontId="5" fillId="0" borderId="0" xfId="0" quotePrefix="1" applyNumberFormat="1" applyFont="1"/>
    <xf numFmtId="171" fontId="5" fillId="0" borderId="3" xfId="0" applyNumberFormat="1" applyFont="1" applyBorder="1"/>
    <xf numFmtId="43" fontId="4" fillId="0" borderId="0" xfId="2" applyFont="1" applyAlignment="1">
      <alignment horizontal="left"/>
    </xf>
    <xf numFmtId="14" fontId="2" fillId="0" borderId="0" xfId="0" quotePrefix="1" applyNumberFormat="1" applyFont="1" applyAlignment="1">
      <alignment horizontal="left"/>
    </xf>
    <xf numFmtId="0" fontId="2" fillId="0" borderId="0" xfId="0" quotePrefix="1" applyFont="1" applyAlignment="1">
      <alignment horizontal="left"/>
    </xf>
    <xf numFmtId="170" fontId="2" fillId="0" borderId="0" xfId="0" quotePrefix="1" applyNumberFormat="1" applyFont="1"/>
    <xf numFmtId="0" fontId="2" fillId="0" borderId="3" xfId="0" applyFont="1" applyBorder="1" applyAlignment="1">
      <alignment horizontal="left"/>
    </xf>
    <xf numFmtId="170" fontId="2" fillId="0" borderId="3" xfId="0" applyNumberFormat="1" applyFont="1" applyBorder="1"/>
    <xf numFmtId="170" fontId="2" fillId="0" borderId="0" xfId="0" applyNumberFormat="1" applyFont="1"/>
    <xf numFmtId="164" fontId="5" fillId="0" borderId="0" xfId="1" applyNumberFormat="1" applyFont="1" applyFill="1"/>
    <xf numFmtId="43" fontId="2" fillId="0" borderId="0" xfId="2" applyFont="1"/>
    <xf numFmtId="43" fontId="2" fillId="4" borderId="0" xfId="2" applyFont="1" applyFill="1"/>
    <xf numFmtId="41" fontId="2" fillId="0" borderId="0" xfId="2" applyNumberFormat="1" applyFont="1" applyFill="1"/>
    <xf numFmtId="164" fontId="2" fillId="0" borderId="0" xfId="0" applyNumberFormat="1" applyFont="1"/>
    <xf numFmtId="43" fontId="15" fillId="0" borderId="3" xfId="2" applyFont="1" applyBorder="1"/>
    <xf numFmtId="43" fontId="15" fillId="0" borderId="0" xfId="2" applyFont="1"/>
    <xf numFmtId="41" fontId="15" fillId="0" borderId="0" xfId="2" applyNumberFormat="1" applyFont="1"/>
    <xf numFmtId="165" fontId="15" fillId="0" borderId="3" xfId="2" applyNumberFormat="1" applyFont="1" applyBorder="1"/>
    <xf numFmtId="165" fontId="2" fillId="4" borderId="0" xfId="2" applyNumberFormat="1" applyFont="1" applyFill="1"/>
    <xf numFmtId="165" fontId="2" fillId="4" borderId="0" xfId="2" applyNumberFormat="1" applyFont="1" applyFill="1" applyAlignment="1">
      <alignment horizontal="center" wrapText="1"/>
    </xf>
    <xf numFmtId="165" fontId="2" fillId="4" borderId="0" xfId="2" applyNumberFormat="1" applyFont="1" applyFill="1" applyAlignment="1">
      <alignment horizontal="center"/>
    </xf>
    <xf numFmtId="164" fontId="2" fillId="0" borderId="0" xfId="1" applyNumberFormat="1" applyFont="1" applyFill="1"/>
    <xf numFmtId="0" fontId="2"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xf>
    <xf numFmtId="43" fontId="15" fillId="0" borderId="0" xfId="2" applyFont="1" applyAlignment="1">
      <alignment vertical="center"/>
    </xf>
    <xf numFmtId="43" fontId="2" fillId="4" borderId="0" xfId="2" applyFont="1" applyFill="1" applyAlignment="1">
      <alignment vertical="center"/>
    </xf>
    <xf numFmtId="41" fontId="15" fillId="0" borderId="0" xfId="2" applyNumberFormat="1" applyFont="1" applyAlignment="1">
      <alignment vertical="center"/>
    </xf>
    <xf numFmtId="0" fontId="2" fillId="4" borderId="0" xfId="0" applyFont="1" applyFill="1" applyAlignment="1">
      <alignment horizontal="center" vertical="center" wrapText="1"/>
    </xf>
    <xf numFmtId="38" fontId="15" fillId="0" borderId="0" xfId="2" applyNumberFormat="1" applyFont="1" applyAlignment="1">
      <alignment vertical="center"/>
    </xf>
    <xf numFmtId="0" fontId="2" fillId="4" borderId="0" xfId="3" applyFont="1" applyFill="1" applyAlignment="1">
      <alignment horizontal="center" vertical="center"/>
    </xf>
    <xf numFmtId="0" fontId="2" fillId="0" borderId="2" xfId="0" applyFont="1" applyBorder="1" applyAlignment="1">
      <alignment horizontal="center" vertical="center"/>
    </xf>
    <xf numFmtId="0" fontId="6" fillId="0" borderId="0" xfId="0" applyFont="1" applyAlignment="1">
      <alignment horizontal="right"/>
    </xf>
    <xf numFmtId="0" fontId="2" fillId="0" borderId="0" xfId="0" applyFont="1" applyAlignment="1">
      <alignment wrapText="1"/>
    </xf>
    <xf numFmtId="10" fontId="2" fillId="0" borderId="3" xfId="5" applyNumberFormat="1" applyFont="1" applyBorder="1" applyProtection="1"/>
    <xf numFmtId="164" fontId="2" fillId="0" borderId="3" xfId="0" applyNumberFormat="1" applyFont="1" applyBorder="1"/>
    <xf numFmtId="164" fontId="2" fillId="0" borderId="2" xfId="1" applyNumberFormat="1" applyFont="1" applyBorder="1" applyAlignment="1" applyProtection="1"/>
    <xf numFmtId="0" fontId="14" fillId="0" borderId="0" xfId="0" applyFont="1" applyAlignment="1">
      <alignment horizontal="right"/>
    </xf>
    <xf numFmtId="168" fontId="2" fillId="0" borderId="0" xfId="5" applyNumberFormat="1" applyFont="1"/>
    <xf numFmtId="2" fontId="2" fillId="0" borderId="0" xfId="0" quotePrefix="1" applyNumberFormat="1" applyFont="1" applyAlignment="1">
      <alignment horizontal="center"/>
    </xf>
    <xf numFmtId="168" fontId="2" fillId="0" borderId="3" xfId="5" applyNumberFormat="1" applyFont="1" applyBorder="1"/>
    <xf numFmtId="165" fontId="2" fillId="0" borderId="0" xfId="2" applyNumberFormat="1" applyFont="1"/>
    <xf numFmtId="0" fontId="10" fillId="0" borderId="0" xfId="0" applyFont="1" applyAlignment="1">
      <alignment horizontal="center"/>
    </xf>
    <xf numFmtId="10" fontId="5" fillId="0" borderId="0" xfId="5" applyNumberFormat="1" applyFont="1"/>
    <xf numFmtId="10" fontId="5" fillId="0" borderId="3" xfId="5" applyNumberFormat="1" applyFont="1" applyBorder="1"/>
    <xf numFmtId="0" fontId="5" fillId="0" borderId="2" xfId="0" applyFont="1" applyBorder="1" applyAlignment="1">
      <alignment horizontal="center"/>
    </xf>
    <xf numFmtId="165" fontId="5" fillId="0" borderId="2" xfId="2" applyNumberFormat="1" applyFont="1" applyBorder="1"/>
    <xf numFmtId="10" fontId="5" fillId="0" borderId="2" xfId="5" applyNumberFormat="1" applyFont="1" applyBorder="1"/>
    <xf numFmtId="17" fontId="2" fillId="0" borderId="0" xfId="0" applyNumberFormat="1" applyFont="1" applyAlignment="1">
      <alignment horizontal="center"/>
    </xf>
    <xf numFmtId="172" fontId="5" fillId="0" borderId="0" xfId="5" applyNumberFormat="1" applyFont="1"/>
    <xf numFmtId="172" fontId="5" fillId="0" borderId="0" xfId="5" applyNumberFormat="1" applyFont="1" applyAlignment="1">
      <alignment horizontal="right"/>
    </xf>
    <xf numFmtId="172" fontId="5" fillId="0" borderId="0" xfId="5" applyNumberFormat="1" applyFont="1" applyFill="1"/>
    <xf numFmtId="0" fontId="5" fillId="0" borderId="2" xfId="0" applyFont="1" applyBorder="1" applyAlignment="1">
      <alignment horizontal="left"/>
    </xf>
    <xf numFmtId="165" fontId="2" fillId="0" borderId="0" xfId="2" applyNumberFormat="1" applyFont="1" applyFill="1" applyAlignment="1">
      <alignment horizontal="center"/>
    </xf>
    <xf numFmtId="165" fontId="5" fillId="0" borderId="3" xfId="0" applyNumberFormat="1" applyFont="1" applyBorder="1"/>
    <xf numFmtId="0" fontId="18" fillId="0" borderId="0" xfId="0" applyFont="1"/>
    <xf numFmtId="164" fontId="24" fillId="0" borderId="0" xfId="2" applyNumberFormat="1" applyFont="1" applyBorder="1"/>
    <xf numFmtId="44" fontId="4" fillId="0" borderId="0" xfId="0" applyNumberFormat="1" applyFont="1"/>
    <xf numFmtId="44" fontId="4" fillId="0" borderId="0" xfId="1" applyFont="1" applyAlignment="1">
      <alignment horizontal="right"/>
    </xf>
    <xf numFmtId="0" fontId="2" fillId="0" borderId="0" xfId="0" quotePrefix="1" applyFont="1"/>
    <xf numFmtId="44" fontId="5" fillId="0" borderId="3" xfId="1" applyFont="1" applyBorder="1"/>
    <xf numFmtId="164" fontId="15" fillId="0" borderId="7" xfId="0" applyNumberFormat="1" applyFont="1" applyBorder="1"/>
    <xf numFmtId="0" fontId="2" fillId="0" borderId="3" xfId="0" applyFont="1" applyBorder="1" applyAlignment="1">
      <alignment horizontal="right"/>
    </xf>
    <xf numFmtId="43" fontId="2" fillId="0" borderId="0" xfId="2" applyFont="1" applyBorder="1"/>
    <xf numFmtId="43" fontId="5" fillId="0" borderId="3" xfId="2" applyFont="1" applyBorder="1"/>
    <xf numFmtId="0" fontId="2" fillId="0" borderId="2" xfId="0" applyFont="1" applyBorder="1" applyAlignment="1">
      <alignment horizontal="left" vertical="center"/>
    </xf>
    <xf numFmtId="165" fontId="4" fillId="0" borderId="7" xfId="2" applyNumberFormat="1" applyFont="1" applyBorder="1"/>
    <xf numFmtId="0" fontId="15" fillId="0" borderId="3" xfId="0" applyFont="1" applyBorder="1" applyAlignment="1">
      <alignment horizontal="left"/>
    </xf>
    <xf numFmtId="164" fontId="2" fillId="0" borderId="2" xfId="0" applyNumberFormat="1" applyFont="1" applyBorder="1" applyAlignment="1">
      <alignment vertical="center"/>
    </xf>
    <xf numFmtId="0" fontId="5" fillId="0" borderId="0" xfId="3" applyFont="1" applyAlignment="1">
      <alignment horizontal="center"/>
    </xf>
    <xf numFmtId="164" fontId="15" fillId="0" borderId="3" xfId="1" applyNumberFormat="1" applyFont="1" applyBorder="1"/>
    <xf numFmtId="164" fontId="15" fillId="0" borderId="0" xfId="1" applyNumberFormat="1" applyFont="1" applyAlignment="1">
      <alignment vertical="center"/>
    </xf>
    <xf numFmtId="164" fontId="2" fillId="0" borderId="3" xfId="1" applyNumberFormat="1" applyFont="1" applyFill="1" applyBorder="1"/>
    <xf numFmtId="0" fontId="2" fillId="0" borderId="1" xfId="0" quotePrefix="1" applyFont="1" applyBorder="1" applyAlignment="1">
      <alignment horizontal="center"/>
    </xf>
    <xf numFmtId="164" fontId="2" fillId="0" borderId="0" xfId="1" applyNumberFormat="1" applyFont="1" applyBorder="1"/>
    <xf numFmtId="0" fontId="2" fillId="0" borderId="4" xfId="0" applyFont="1" applyBorder="1"/>
    <xf numFmtId="164" fontId="2" fillId="0" borderId="4" xfId="1" applyNumberFormat="1" applyFont="1" applyBorder="1"/>
    <xf numFmtId="164" fontId="2" fillId="0" borderId="2" xfId="0" applyNumberFormat="1" applyFont="1" applyBorder="1"/>
    <xf numFmtId="10" fontId="2" fillId="0" borderId="0" xfId="5" applyNumberFormat="1" applyFont="1" applyFill="1" applyBorder="1" applyProtection="1"/>
    <xf numFmtId="0" fontId="2" fillId="0" borderId="8" xfId="0" applyFont="1" applyBorder="1" applyAlignment="1">
      <alignment horizontal="center"/>
    </xf>
    <xf numFmtId="43" fontId="30" fillId="0" borderId="0" xfId="2" applyFont="1" applyBorder="1" applyAlignment="1" applyProtection="1">
      <alignment horizontal="left"/>
    </xf>
    <xf numFmtId="0" fontId="31" fillId="0" borderId="0" xfId="0" applyFont="1"/>
    <xf numFmtId="0" fontId="30" fillId="0" borderId="0" xfId="0" applyFont="1"/>
    <xf numFmtId="168" fontId="2" fillId="0" borderId="0" xfId="5" applyNumberFormat="1" applyFont="1" applyFill="1"/>
    <xf numFmtId="164" fontId="15" fillId="0" borderId="2" xfId="1" applyNumberFormat="1" applyFont="1" applyBorder="1"/>
    <xf numFmtId="165" fontId="2" fillId="0" borderId="7" xfId="2" applyNumberFormat="1" applyFont="1" applyFill="1" applyBorder="1"/>
    <xf numFmtId="0" fontId="5" fillId="0" borderId="1" xfId="0" applyFont="1" applyBorder="1" applyAlignment="1">
      <alignment horizontal="left"/>
    </xf>
    <xf numFmtId="0" fontId="4" fillId="0" borderId="0" xfId="0" quotePrefix="1" applyFont="1" applyAlignment="1">
      <alignment horizontal="center"/>
    </xf>
    <xf numFmtId="164" fontId="5" fillId="0" borderId="0" xfId="1" quotePrefix="1" applyNumberFormat="1" applyFont="1" applyBorder="1" applyAlignment="1">
      <alignment horizontal="center"/>
    </xf>
    <xf numFmtId="0" fontId="5" fillId="0" borderId="0" xfId="0" quotePrefix="1" applyFont="1" applyAlignment="1">
      <alignment horizontal="center"/>
    </xf>
    <xf numFmtId="164" fontId="4" fillId="0" borderId="3" xfId="0" quotePrefix="1" applyNumberFormat="1" applyFont="1" applyBorder="1" applyAlignment="1">
      <alignment horizontal="center"/>
    </xf>
    <xf numFmtId="0" fontId="32" fillId="0" borderId="0" xfId="0" applyFont="1"/>
    <xf numFmtId="40" fontId="5" fillId="0" borderId="0" xfId="2" applyNumberFormat="1" applyFont="1" applyFill="1" applyBorder="1"/>
    <xf numFmtId="174" fontId="5" fillId="0" borderId="0" xfId="0" quotePrefix="1" applyNumberFormat="1" applyFont="1" applyAlignment="1">
      <alignment horizontal="left"/>
    </xf>
    <xf numFmtId="44" fontId="5" fillId="0" borderId="1" xfId="1" applyFont="1" applyFill="1" applyBorder="1"/>
    <xf numFmtId="4" fontId="2" fillId="0" borderId="0" xfId="0" applyNumberFormat="1" applyFont="1"/>
    <xf numFmtId="175" fontId="2" fillId="0" borderId="0" xfId="0" applyNumberFormat="1" applyFont="1"/>
    <xf numFmtId="4" fontId="2" fillId="0" borderId="0" xfId="3" applyNumberFormat="1" applyFont="1"/>
    <xf numFmtId="175" fontId="2" fillId="0" borderId="0" xfId="3" applyNumberFormat="1" applyFont="1"/>
    <xf numFmtId="0" fontId="2" fillId="5" borderId="0" xfId="0" applyFont="1" applyFill="1"/>
    <xf numFmtId="0" fontId="2" fillId="5" borderId="0" xfId="0" applyFont="1" applyFill="1" applyAlignment="1">
      <alignment horizontal="left"/>
    </xf>
    <xf numFmtId="43" fontId="2" fillId="5" borderId="0" xfId="2" applyFont="1" applyFill="1"/>
    <xf numFmtId="4" fontId="2" fillId="5" borderId="0" xfId="0" applyNumberFormat="1" applyFont="1" applyFill="1"/>
    <xf numFmtId="175" fontId="2" fillId="5" borderId="0" xfId="0" applyNumberFormat="1" applyFont="1" applyFill="1"/>
    <xf numFmtId="41" fontId="2" fillId="0" borderId="1" xfId="2" applyNumberFormat="1" applyFont="1" applyFill="1" applyBorder="1"/>
    <xf numFmtId="41" fontId="2" fillId="0" borderId="1" xfId="2" applyNumberFormat="1" applyFont="1" applyBorder="1"/>
    <xf numFmtId="0" fontId="15" fillId="4" borderId="0" xfId="3" applyFont="1" applyFill="1" applyAlignment="1">
      <alignment horizontal="center"/>
    </xf>
    <xf numFmtId="175" fontId="2" fillId="0" borderId="0" xfId="0" applyNumberFormat="1" applyFont="1" applyAlignment="1">
      <alignment vertical="center"/>
    </xf>
    <xf numFmtId="168" fontId="2" fillId="0" borderId="0" xfId="5" applyNumberFormat="1" applyFont="1" applyBorder="1"/>
    <xf numFmtId="0" fontId="5" fillId="0" borderId="3" xfId="0" quotePrefix="1" applyFont="1" applyBorder="1" applyAlignment="1">
      <alignment horizontal="left"/>
    </xf>
    <xf numFmtId="170" fontId="5" fillId="0" borderId="3" xfId="0" quotePrefix="1" applyNumberFormat="1" applyFont="1" applyBorder="1"/>
    <xf numFmtId="174" fontId="5" fillId="0" borderId="0" xfId="0" applyNumberFormat="1" applyFont="1"/>
    <xf numFmtId="4" fontId="5" fillId="0" borderId="0" xfId="0" applyNumberFormat="1" applyFont="1"/>
    <xf numFmtId="164" fontId="4" fillId="0" borderId="2" xfId="1" applyNumberFormat="1" applyFont="1" applyBorder="1"/>
    <xf numFmtId="164" fontId="4" fillId="0" borderId="2" xfId="0" applyNumberFormat="1" applyFont="1" applyBorder="1"/>
    <xf numFmtId="165" fontId="4" fillId="0" borderId="2" xfId="2" applyNumberFormat="1" applyFont="1" applyBorder="1"/>
    <xf numFmtId="164" fontId="23" fillId="0" borderId="2" xfId="2" applyNumberFormat="1" applyFont="1" applyBorder="1"/>
    <xf numFmtId="164" fontId="4" fillId="0" borderId="0" xfId="0" applyNumberFormat="1" applyFont="1"/>
    <xf numFmtId="165" fontId="5" fillId="0" borderId="0" xfId="2" applyNumberFormat="1" applyFont="1" applyAlignment="1">
      <alignment horizontal="right"/>
    </xf>
    <xf numFmtId="10" fontId="33" fillId="0" borderId="0" xfId="5" applyNumberFormat="1" applyFont="1" applyFill="1" applyAlignment="1">
      <alignment vertical="top"/>
    </xf>
    <xf numFmtId="176" fontId="2" fillId="0" borderId="0" xfId="0" applyNumberFormat="1" applyFont="1" applyAlignment="1">
      <alignment horizontal="center"/>
    </xf>
    <xf numFmtId="1" fontId="2" fillId="0" borderId="0" xfId="0" applyNumberFormat="1" applyFont="1" applyAlignment="1">
      <alignment horizontal="center"/>
    </xf>
    <xf numFmtId="1" fontId="2" fillId="0" borderId="0" xfId="0" quotePrefix="1" applyNumberFormat="1" applyFont="1" applyAlignment="1">
      <alignment horizontal="center"/>
    </xf>
    <xf numFmtId="41" fontId="2" fillId="0" borderId="0" xfId="2" applyNumberFormat="1" applyFont="1" applyFill="1" applyAlignment="1">
      <alignment horizontal="center"/>
    </xf>
    <xf numFmtId="0" fontId="2" fillId="0" borderId="0" xfId="2" applyNumberFormat="1" applyFont="1" applyFill="1" applyAlignment="1">
      <alignment horizontal="center"/>
    </xf>
    <xf numFmtId="173" fontId="2" fillId="0" borderId="0" xfId="2" applyNumberFormat="1" applyFont="1" applyFill="1"/>
    <xf numFmtId="41" fontId="15" fillId="0" borderId="3" xfId="2" applyNumberFormat="1" applyFont="1" applyFill="1" applyBorder="1"/>
    <xf numFmtId="165" fontId="15" fillId="0" borderId="0" xfId="2" applyNumberFormat="1" applyFont="1" applyAlignment="1">
      <alignment vertical="center"/>
    </xf>
    <xf numFmtId="0" fontId="24" fillId="0" borderId="3" xfId="0" applyFont="1" applyBorder="1"/>
    <xf numFmtId="9" fontId="2" fillId="5" borderId="0" xfId="5" applyFont="1" applyFill="1"/>
    <xf numFmtId="0" fontId="15" fillId="0" borderId="0" xfId="3" applyFont="1"/>
    <xf numFmtId="0" fontId="5" fillId="0" borderId="0" xfId="0" applyFont="1" applyAlignment="1">
      <alignment horizontal="left" indent="1"/>
    </xf>
    <xf numFmtId="0" fontId="9" fillId="0" borderId="0" xfId="0" applyFont="1" applyAlignment="1">
      <alignment horizontal="left" indent="1"/>
    </xf>
    <xf numFmtId="0" fontId="35" fillId="0" borderId="0" xfId="0" applyFont="1"/>
    <xf numFmtId="0" fontId="5" fillId="6" borderId="0" xfId="0" applyFont="1" applyFill="1"/>
    <xf numFmtId="164" fontId="5" fillId="6" borderId="0" xfId="1" applyNumberFormat="1" applyFont="1" applyFill="1"/>
    <xf numFmtId="0" fontId="15" fillId="0" borderId="0" xfId="0" applyFont="1" applyAlignment="1">
      <alignment horizontal="center" wrapText="1"/>
    </xf>
    <xf numFmtId="165" fontId="22" fillId="0" borderId="0" xfId="0" applyNumberFormat="1" applyFont="1"/>
    <xf numFmtId="0" fontId="22" fillId="0" borderId="0" xfId="0" applyFont="1"/>
    <xf numFmtId="10" fontId="34" fillId="0" borderId="0" xfId="5" applyNumberFormat="1" applyFont="1" applyFill="1" applyAlignment="1">
      <alignment vertical="top"/>
    </xf>
    <xf numFmtId="10" fontId="2" fillId="0" borderId="0" xfId="0" applyNumberFormat="1" applyFont="1" applyAlignment="1">
      <alignment horizontal="right"/>
    </xf>
    <xf numFmtId="10" fontId="2" fillId="0" borderId="0" xfId="5" applyNumberFormat="1" applyFont="1" applyFill="1"/>
    <xf numFmtId="0" fontId="8" fillId="0" borderId="0" xfId="0" applyFont="1" applyAlignment="1">
      <alignment horizontal="right"/>
    </xf>
    <xf numFmtId="165" fontId="2" fillId="0" borderId="0" xfId="2" applyNumberFormat="1" applyFont="1" applyFill="1" applyProtection="1"/>
    <xf numFmtId="165" fontId="2" fillId="0" borderId="3" xfId="2" applyNumberFormat="1" applyFont="1" applyFill="1" applyBorder="1" applyProtection="1"/>
    <xf numFmtId="165" fontId="2" fillId="0" borderId="2" xfId="2" applyNumberFormat="1" applyFont="1" applyFill="1" applyBorder="1" applyProtection="1"/>
    <xf numFmtId="165" fontId="2" fillId="0" borderId="0" xfId="2" applyNumberFormat="1" applyFont="1" applyFill="1" applyBorder="1" applyProtection="1"/>
    <xf numFmtId="164" fontId="15" fillId="0" borderId="2" xfId="0" applyNumberFormat="1" applyFont="1" applyBorder="1"/>
    <xf numFmtId="165" fontId="2" fillId="0" borderId="0" xfId="0" applyNumberFormat="1" applyFont="1"/>
    <xf numFmtId="166" fontId="2" fillId="0" borderId="0" xfId="1" applyNumberFormat="1" applyFont="1" applyFill="1" applyBorder="1"/>
    <xf numFmtId="167" fontId="2" fillId="0" borderId="0" xfId="2" applyNumberFormat="1" applyFont="1" applyFill="1" applyBorder="1"/>
    <xf numFmtId="164" fontId="2" fillId="0" borderId="4" xfId="1" applyNumberFormat="1" applyFont="1" applyFill="1" applyBorder="1"/>
    <xf numFmtId="164" fontId="15" fillId="0" borderId="1" xfId="1" applyNumberFormat="1" applyFont="1" applyFill="1" applyBorder="1" applyAlignment="1">
      <alignment horizontal="right"/>
    </xf>
    <xf numFmtId="164" fontId="15" fillId="0" borderId="2" xfId="1" applyNumberFormat="1" applyFont="1" applyFill="1" applyBorder="1"/>
    <xf numFmtId="164" fontId="2" fillId="0" borderId="2" xfId="1" applyNumberFormat="1" applyFont="1" applyFill="1" applyBorder="1"/>
    <xf numFmtId="0" fontId="15" fillId="0" borderId="1" xfId="0" applyFont="1" applyBorder="1"/>
    <xf numFmtId="41" fontId="2" fillId="0" borderId="0" xfId="0" applyNumberFormat="1" applyFont="1"/>
    <xf numFmtId="10" fontId="2" fillId="0" borderId="0" xfId="0" applyNumberFormat="1" applyFont="1"/>
    <xf numFmtId="41" fontId="2" fillId="0" borderId="3" xfId="0" applyNumberFormat="1" applyFont="1" applyBorder="1"/>
    <xf numFmtId="168" fontId="2" fillId="0" borderId="0" xfId="0" applyNumberFormat="1" applyFont="1"/>
    <xf numFmtId="173" fontId="2" fillId="0" borderId="3" xfId="0" applyNumberFormat="1" applyFont="1" applyBorder="1"/>
    <xf numFmtId="41" fontId="2" fillId="0" borderId="8" xfId="0" applyNumberFormat="1" applyFont="1" applyBorder="1"/>
    <xf numFmtId="10" fontId="2" fillId="0" borderId="8" xfId="0" applyNumberFormat="1" applyFont="1" applyBorder="1"/>
    <xf numFmtId="164" fontId="2" fillId="0" borderId="8" xfId="1" applyNumberFormat="1" applyFont="1" applyFill="1" applyBorder="1"/>
    <xf numFmtId="41" fontId="2" fillId="0" borderId="2" xfId="0" applyNumberFormat="1" applyFont="1" applyBorder="1"/>
    <xf numFmtId="41" fontId="15" fillId="0" borderId="2" xfId="0" applyNumberFormat="1" applyFont="1" applyBorder="1"/>
    <xf numFmtId="164" fontId="2" fillId="0" borderId="0" xfId="1" applyNumberFormat="1" applyFont="1" applyFill="1" applyBorder="1" applyProtection="1"/>
    <xf numFmtId="164" fontId="2" fillId="0" borderId="7" xfId="1" applyNumberFormat="1" applyFont="1" applyFill="1" applyBorder="1" applyAlignment="1" applyProtection="1">
      <alignment horizontal="center"/>
    </xf>
    <xf numFmtId="164" fontId="2" fillId="0" borderId="0" xfId="1" applyNumberFormat="1" applyFont="1" applyFill="1" applyBorder="1" applyAlignment="1" applyProtection="1">
      <alignment horizontal="center"/>
    </xf>
    <xf numFmtId="44" fontId="2" fillId="0" borderId="0" xfId="1" applyFont="1" applyFill="1"/>
    <xf numFmtId="164" fontId="2" fillId="0" borderId="3" xfId="1" applyNumberFormat="1" applyFont="1" applyFill="1" applyBorder="1" applyAlignment="1" applyProtection="1">
      <alignment horizontal="center"/>
    </xf>
    <xf numFmtId="168" fontId="2" fillId="0" borderId="2" xfId="5" applyNumberFormat="1" applyFont="1" applyFill="1" applyBorder="1" applyProtection="1"/>
    <xf numFmtId="164" fontId="2" fillId="0" borderId="2" xfId="1" applyNumberFormat="1" applyFont="1" applyFill="1" applyBorder="1" applyAlignment="1" applyProtection="1">
      <alignment horizontal="center"/>
    </xf>
    <xf numFmtId="0" fontId="36" fillId="0" borderId="0" xfId="0" applyFont="1" applyAlignment="1">
      <alignment horizontal="right"/>
    </xf>
    <xf numFmtId="41" fontId="36" fillId="0" borderId="0" xfId="0" applyNumberFormat="1" applyFont="1"/>
    <xf numFmtId="41" fontId="36" fillId="0" borderId="3" xfId="0" applyNumberFormat="1" applyFont="1" applyBorder="1"/>
    <xf numFmtId="44" fontId="2" fillId="0" borderId="0" xfId="0" applyNumberFormat="1" applyFont="1"/>
    <xf numFmtId="164" fontId="2" fillId="0" borderId="0" xfId="1" applyNumberFormat="1" applyFont="1" applyProtection="1"/>
    <xf numFmtId="0" fontId="29" fillId="0" borderId="0" xfId="0" applyFont="1" applyAlignment="1">
      <alignment horizontal="right"/>
    </xf>
    <xf numFmtId="0" fontId="27" fillId="0" borderId="0" xfId="0" applyFont="1"/>
    <xf numFmtId="0" fontId="14" fillId="0" borderId="0" xfId="0" applyFont="1"/>
    <xf numFmtId="43" fontId="22" fillId="0" borderId="0" xfId="0" applyNumberFormat="1" applyFont="1"/>
    <xf numFmtId="165" fontId="2" fillId="0" borderId="0" xfId="0" applyNumberFormat="1" applyFont="1" applyAlignment="1">
      <alignment vertical="top"/>
    </xf>
    <xf numFmtId="168" fontId="22" fillId="0" borderId="0" xfId="5" applyNumberFormat="1" applyFont="1" applyFill="1"/>
    <xf numFmtId="0" fontId="2" fillId="0" borderId="0" xfId="0" applyFont="1" applyAlignment="1">
      <alignment vertical="top"/>
    </xf>
    <xf numFmtId="0" fontId="2" fillId="0" borderId="0" xfId="0" applyFont="1" applyAlignment="1">
      <alignment horizontal="left" indent="1"/>
    </xf>
    <xf numFmtId="0" fontId="22" fillId="0" borderId="0" xfId="0" applyFont="1" applyAlignment="1">
      <alignment horizontal="center"/>
    </xf>
    <xf numFmtId="9" fontId="2" fillId="0" borderId="0" xfId="5" applyFont="1" applyFill="1"/>
    <xf numFmtId="43" fontId="22" fillId="0" borderId="0" xfId="2" applyFont="1"/>
    <xf numFmtId="0" fontId="4" fillId="0" borderId="0" xfId="0" applyFont="1" applyAlignment="1">
      <alignment horizontal="center"/>
    </xf>
    <xf numFmtId="0" fontId="20" fillId="0" borderId="0" xfId="4" applyFont="1" applyAlignment="1">
      <alignment horizontal="center"/>
    </xf>
    <xf numFmtId="0" fontId="4" fillId="0" borderId="0" xfId="3" applyFont="1" applyAlignment="1">
      <alignment horizontal="center"/>
    </xf>
    <xf numFmtId="0" fontId="6" fillId="0" borderId="0" xfId="0" applyFont="1" applyAlignment="1">
      <alignment horizontal="center"/>
    </xf>
    <xf numFmtId="0" fontId="5" fillId="0" borderId="0" xfId="0" applyFont="1" applyAlignment="1">
      <alignment horizontal="left" vertical="top" wrapText="1"/>
    </xf>
    <xf numFmtId="0" fontId="15" fillId="0" borderId="0" xfId="3" applyFont="1" applyAlignment="1">
      <alignment horizontal="center"/>
    </xf>
    <xf numFmtId="0" fontId="2" fillId="0" borderId="0" xfId="0" applyFont="1" applyAlignment="1">
      <alignment horizontal="center"/>
    </xf>
    <xf numFmtId="164" fontId="2" fillId="0" borderId="0" xfId="1" applyNumberFormat="1" applyFont="1" applyBorder="1" applyAlignment="1" applyProtection="1">
      <alignment horizontal="center"/>
    </xf>
    <xf numFmtId="0" fontId="2" fillId="0" borderId="0" xfId="0" applyFont="1" applyAlignment="1">
      <alignment horizontal="left" vertical="top" wrapText="1"/>
    </xf>
    <xf numFmtId="0" fontId="5" fillId="0" borderId="0" xfId="0" applyFont="1" applyAlignment="1">
      <alignment horizontal="center" vertical="top" wrapText="1"/>
    </xf>
    <xf numFmtId="0" fontId="2" fillId="0" borderId="0" xfId="0" applyFont="1" applyAlignment="1">
      <alignment horizontal="center" wrapText="1"/>
    </xf>
    <xf numFmtId="0" fontId="2" fillId="0" borderId="1" xfId="0" applyFont="1" applyBorder="1" applyAlignment="1">
      <alignment horizontal="center"/>
    </xf>
    <xf numFmtId="164" fontId="2" fillId="0" borderId="3" xfId="1" applyNumberFormat="1" applyFont="1" applyBorder="1" applyAlignment="1" applyProtection="1">
      <alignment horizontal="center"/>
    </xf>
    <xf numFmtId="164" fontId="2" fillId="0" borderId="2" xfId="1" applyNumberFormat="1" applyFont="1" applyBorder="1" applyAlignment="1" applyProtection="1">
      <alignment horizontal="center"/>
    </xf>
    <xf numFmtId="0" fontId="5" fillId="0" borderId="0" xfId="0" applyFont="1" applyAlignment="1">
      <alignment horizontal="left" wrapText="1"/>
    </xf>
  </cellXfs>
  <cellStyles count="13">
    <cellStyle name="Comma" xfId="2" builtinId="3"/>
    <cellStyle name="Comma 2" xfId="6" xr:uid="{00000000-0005-0000-0000-000001000000}"/>
    <cellStyle name="Comma 3" xfId="9" xr:uid="{00000000-0005-0000-0000-000002000000}"/>
    <cellStyle name="Currency" xfId="1" builtinId="4"/>
    <cellStyle name="Currency 2" xfId="7" xr:uid="{00000000-0005-0000-0000-000004000000}"/>
    <cellStyle name="Currency 3" xfId="10" xr:uid="{00000000-0005-0000-0000-000005000000}"/>
    <cellStyle name="Normal" xfId="0" builtinId="0"/>
    <cellStyle name="Normal 2" xfId="3" xr:uid="{00000000-0005-0000-0000-000007000000}"/>
    <cellStyle name="Normal 3" xfId="4" xr:uid="{00000000-0005-0000-0000-000008000000}"/>
    <cellStyle name="Normal 4" xfId="8" xr:uid="{00000000-0005-0000-0000-000009000000}"/>
    <cellStyle name="Normal 5" xfId="11" xr:uid="{00000000-0005-0000-0000-00000A000000}"/>
    <cellStyle name="Percent" xfId="5" builtinId="5"/>
    <cellStyle name="Percent 2" xfId="12" xr:uid="{00000000-0005-0000-0000-00000C000000}"/>
  </cellStyles>
  <dxfs count="16">
    <dxf>
      <font>
        <color rgb="FF006100"/>
      </font>
      <fill>
        <patternFill>
          <bgColor rgb="FFC6EFCE"/>
        </patternFill>
      </fill>
    </dxf>
    <dxf>
      <font>
        <color rgb="FFC00000"/>
      </font>
      <fill>
        <patternFill>
          <bgColor theme="5" tint="0.59996337778862885"/>
        </patternFill>
      </fill>
    </dxf>
    <dxf>
      <font>
        <color rgb="FF006100"/>
      </font>
      <fill>
        <patternFill>
          <bgColor rgb="FFC6EFCE"/>
        </patternFill>
      </fill>
    </dxf>
    <dxf>
      <font>
        <color rgb="FFC00000"/>
      </font>
      <fill>
        <patternFill>
          <bgColor theme="5" tint="0.59996337778862885"/>
        </patternFill>
      </fill>
    </dxf>
    <dxf>
      <font>
        <color rgb="FF006100"/>
      </font>
      <fill>
        <patternFill>
          <bgColor rgb="FFC6EFCE"/>
        </patternFill>
      </fill>
    </dxf>
    <dxf>
      <font>
        <color rgb="FFC00000"/>
      </font>
      <fill>
        <patternFill>
          <bgColor theme="5" tint="0.59996337778862885"/>
        </patternFill>
      </fill>
    </dxf>
    <dxf>
      <font>
        <color rgb="FF006100"/>
      </font>
      <fill>
        <patternFill>
          <bgColor rgb="FFC6EFCE"/>
        </patternFill>
      </fill>
    </dxf>
    <dxf>
      <font>
        <color rgb="FFC00000"/>
      </font>
      <fill>
        <patternFill>
          <bgColor theme="5" tint="0.59996337778862885"/>
        </patternFill>
      </fill>
    </dxf>
    <dxf>
      <font>
        <color rgb="FF006100"/>
      </font>
      <fill>
        <patternFill>
          <bgColor rgb="FFC6EFCE"/>
        </patternFill>
      </fill>
    </dxf>
    <dxf>
      <font>
        <color rgb="FFC00000"/>
      </font>
      <fill>
        <patternFill>
          <bgColor theme="5" tint="0.59996337778862885"/>
        </patternFill>
      </fill>
    </dxf>
    <dxf>
      <font>
        <color rgb="FF006100"/>
      </font>
      <fill>
        <patternFill>
          <bgColor rgb="FFC6EFCE"/>
        </patternFill>
      </fill>
    </dxf>
    <dxf>
      <font>
        <color rgb="FFC00000"/>
      </font>
      <fill>
        <patternFill>
          <bgColor theme="5" tint="0.59996337778862885"/>
        </patternFill>
      </fill>
    </dxf>
    <dxf>
      <font>
        <color rgb="FF006100"/>
      </font>
      <fill>
        <patternFill>
          <bgColor rgb="FFC6EFCE"/>
        </patternFill>
      </fill>
    </dxf>
    <dxf>
      <font>
        <color rgb="FFC00000"/>
      </font>
      <fill>
        <patternFill>
          <bgColor theme="5" tint="0.59996337778862885"/>
        </patternFill>
      </fill>
    </dxf>
    <dxf>
      <font>
        <color rgb="FF006100"/>
      </font>
      <fill>
        <patternFill>
          <bgColor rgb="FFC6EFCE"/>
        </patternFill>
      </fill>
    </dxf>
    <dxf>
      <font>
        <color rgb="FFC00000"/>
      </font>
      <fill>
        <patternFill>
          <bgColor theme="5" tint="0.59996337778862885"/>
        </patternFill>
      </fill>
    </dxf>
  </dxfs>
  <tableStyles count="0" defaultTableStyle="TableStyleMedium2" defaultPivotStyle="PivotStyleLight16"/>
  <colors>
    <mruColors>
      <color rgb="FFCCFF99"/>
      <color rgb="FF0000CC"/>
      <color rgb="FFFF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5"/>
  <sheetViews>
    <sheetView tabSelected="1" view="pageBreakPreview" topLeftCell="A35" zoomScaleNormal="100" zoomScaleSheetLayoutView="100" workbookViewId="0">
      <selection activeCell="B49" sqref="B49"/>
    </sheetView>
  </sheetViews>
  <sheetFormatPr defaultColWidth="9.140625" defaultRowHeight="15"/>
  <cols>
    <col min="1" max="1" width="9.140625" style="351"/>
    <col min="2" max="2" width="32.5703125" style="303" bestFit="1" customWidth="1"/>
    <col min="3" max="3" width="12.42578125" style="303" customWidth="1"/>
    <col min="4" max="4" width="13.140625" style="303" customWidth="1"/>
    <col min="5" max="6" width="13.42578125" style="303" customWidth="1"/>
    <col min="7" max="7" width="15.5703125" style="303" bestFit="1" customWidth="1"/>
    <col min="8" max="8" width="13.42578125" style="303" customWidth="1"/>
    <col min="9" max="9" width="11.28515625" style="303" bestFit="1" customWidth="1"/>
    <col min="10" max="16384" width="9.140625" style="303"/>
  </cols>
  <sheetData>
    <row r="1" spans="1:9">
      <c r="A1" s="92" t="s">
        <v>273</v>
      </c>
      <c r="B1" s="92"/>
      <c r="C1" s="92"/>
      <c r="D1" s="92"/>
      <c r="E1" s="92"/>
      <c r="F1" s="343"/>
      <c r="H1" s="343"/>
    </row>
    <row r="2" spans="1:9">
      <c r="A2" s="92" t="s">
        <v>206</v>
      </c>
      <c r="B2" s="92"/>
      <c r="C2" s="92"/>
      <c r="D2" s="92"/>
      <c r="E2" s="92"/>
      <c r="F2" s="92"/>
      <c r="H2" s="92"/>
    </row>
    <row r="3" spans="1:9">
      <c r="A3" s="92" t="s">
        <v>478</v>
      </c>
      <c r="B3" s="92"/>
      <c r="C3" s="92"/>
      <c r="D3" s="92"/>
      <c r="E3" s="92"/>
      <c r="F3" s="92"/>
      <c r="H3" s="92"/>
    </row>
    <row r="4" spans="1:9">
      <c r="A4" s="1"/>
      <c r="B4" s="2"/>
      <c r="C4" s="97"/>
      <c r="D4" s="97"/>
      <c r="E4" s="97"/>
      <c r="F4" s="2"/>
      <c r="H4" s="2"/>
    </row>
    <row r="5" spans="1:9" ht="41.25" customHeight="1">
      <c r="A5" s="97" t="s">
        <v>0</v>
      </c>
      <c r="B5" s="97" t="s">
        <v>1</v>
      </c>
      <c r="C5" s="301" t="s">
        <v>219</v>
      </c>
      <c r="D5" s="301" t="s">
        <v>227</v>
      </c>
      <c r="E5" s="301" t="s">
        <v>108</v>
      </c>
      <c r="F5" s="301" t="s">
        <v>235</v>
      </c>
      <c r="H5" s="2"/>
    </row>
    <row r="6" spans="1:9" s="344" customFormat="1">
      <c r="A6" s="80" t="s">
        <v>21</v>
      </c>
      <c r="B6" s="81">
        <v>1</v>
      </c>
      <c r="C6" s="81">
        <f>B6+1</f>
        <v>2</v>
      </c>
      <c r="D6" s="81" t="s">
        <v>19</v>
      </c>
      <c r="E6" s="81" t="s">
        <v>25</v>
      </c>
      <c r="F6" s="81" t="s">
        <v>47</v>
      </c>
      <c r="G6" s="303"/>
      <c r="H6" s="2"/>
      <c r="I6" s="303"/>
    </row>
    <row r="7" spans="1:9">
      <c r="A7" s="1">
        <v>1</v>
      </c>
      <c r="B7" s="345" t="s">
        <v>72</v>
      </c>
      <c r="C7" s="302"/>
      <c r="D7" s="302"/>
      <c r="E7" s="302"/>
      <c r="F7" s="302"/>
      <c r="H7" s="2"/>
    </row>
    <row r="8" spans="1:9">
      <c r="A8" s="1">
        <f>A7+1</f>
        <v>2</v>
      </c>
      <c r="B8" s="2" t="s">
        <v>149</v>
      </c>
      <c r="C8" s="34">
        <v>56345655.280000001</v>
      </c>
      <c r="D8" s="34">
        <f>'Adj List'!D7+'Adj List'!D8+'Adj List'!D10+'Adj List'!D20</f>
        <v>-17253277.719999999</v>
      </c>
      <c r="E8" s="34">
        <f>C8+D8</f>
        <v>39092377.560000002</v>
      </c>
      <c r="F8" s="34">
        <f>E8+E58</f>
        <v>41342377.560000002</v>
      </c>
      <c r="H8" s="2"/>
    </row>
    <row r="9" spans="1:9">
      <c r="A9" s="1">
        <f t="shared" ref="A9:A60" si="0">A8+1</f>
        <v>3</v>
      </c>
      <c r="B9" s="2" t="s">
        <v>100</v>
      </c>
      <c r="C9" s="34">
        <f>485893+158485+1484253+10600</f>
        <v>2139231</v>
      </c>
      <c r="D9" s="34">
        <v>0</v>
      </c>
      <c r="E9" s="34">
        <f>C9+D9</f>
        <v>2139231</v>
      </c>
      <c r="F9" s="34">
        <f>E9</f>
        <v>2139231</v>
      </c>
      <c r="H9" s="2"/>
    </row>
    <row r="10" spans="1:9">
      <c r="A10" s="1">
        <f t="shared" si="0"/>
        <v>4</v>
      </c>
      <c r="B10" s="44" t="s">
        <v>148</v>
      </c>
      <c r="C10" s="54">
        <v>58484886</v>
      </c>
      <c r="D10" s="54">
        <f>SUM(D8:D9)</f>
        <v>-17253277.719999999</v>
      </c>
      <c r="E10" s="54">
        <f>SUM(E8:E9)</f>
        <v>41231608.560000002</v>
      </c>
      <c r="F10" s="54">
        <f>SUM(F8:F9)</f>
        <v>43481608.560000002</v>
      </c>
      <c r="H10" s="2"/>
      <c r="I10" s="346"/>
    </row>
    <row r="11" spans="1:9">
      <c r="A11" s="1">
        <f t="shared" si="0"/>
        <v>5</v>
      </c>
      <c r="B11" s="2"/>
      <c r="C11" s="34"/>
      <c r="D11" s="34"/>
      <c r="E11" s="34"/>
      <c r="F11" s="34"/>
      <c r="H11" s="2"/>
    </row>
    <row r="12" spans="1:9">
      <c r="A12" s="1">
        <f t="shared" si="0"/>
        <v>6</v>
      </c>
      <c r="B12" s="345" t="s">
        <v>73</v>
      </c>
      <c r="C12" s="34"/>
      <c r="D12" s="34"/>
      <c r="E12" s="34"/>
      <c r="F12" s="34"/>
      <c r="H12" s="2"/>
    </row>
    <row r="13" spans="1:9">
      <c r="A13" s="1">
        <f t="shared" si="0"/>
        <v>7</v>
      </c>
      <c r="B13" s="2" t="s">
        <v>74</v>
      </c>
      <c r="C13" s="34">
        <v>43384255</v>
      </c>
      <c r="D13" s="34">
        <f>'Adj List'!E7+'Adj List'!E8+'Adj List'!E10+'Adj List'!E20</f>
        <v>-16535799.27</v>
      </c>
      <c r="E13" s="34">
        <f t="shared" ref="E13:E19" si="1">C13+D13</f>
        <v>26848455.73</v>
      </c>
      <c r="F13" s="34">
        <f>E13</f>
        <v>26848455.73</v>
      </c>
      <c r="H13" s="2"/>
    </row>
    <row r="14" spans="1:9">
      <c r="A14" s="1">
        <f t="shared" si="0"/>
        <v>8</v>
      </c>
      <c r="B14" s="2" t="s">
        <v>75</v>
      </c>
      <c r="C14" s="34">
        <v>1811290</v>
      </c>
      <c r="D14" s="34">
        <v>0</v>
      </c>
      <c r="E14" s="34">
        <f t="shared" si="1"/>
        <v>1811290</v>
      </c>
      <c r="F14" s="34">
        <f t="shared" ref="F14:F19" si="2">E14</f>
        <v>1811290</v>
      </c>
      <c r="H14" s="2"/>
    </row>
    <row r="15" spans="1:9">
      <c r="A15" s="1">
        <f t="shared" si="0"/>
        <v>9</v>
      </c>
      <c r="B15" s="2" t="s">
        <v>76</v>
      </c>
      <c r="C15" s="34">
        <v>3841379</v>
      </c>
      <c r="D15" s="34">
        <v>0</v>
      </c>
      <c r="E15" s="34">
        <f t="shared" si="1"/>
        <v>3841379</v>
      </c>
      <c r="F15" s="34">
        <f t="shared" si="2"/>
        <v>3841379</v>
      </c>
      <c r="H15" s="2"/>
    </row>
    <row r="16" spans="1:9">
      <c r="A16" s="1">
        <f t="shared" si="0"/>
        <v>10</v>
      </c>
      <c r="B16" s="2" t="s">
        <v>77</v>
      </c>
      <c r="C16" s="34">
        <v>1720339</v>
      </c>
      <c r="D16" s="34">
        <v>0</v>
      </c>
      <c r="E16" s="34">
        <f t="shared" si="1"/>
        <v>1720339</v>
      </c>
      <c r="F16" s="34">
        <f t="shared" si="2"/>
        <v>1720339</v>
      </c>
      <c r="H16" s="2"/>
    </row>
    <row r="17" spans="1:9">
      <c r="A17" s="1">
        <f t="shared" si="0"/>
        <v>11</v>
      </c>
      <c r="B17" s="2" t="s">
        <v>78</v>
      </c>
      <c r="C17" s="34">
        <v>170531</v>
      </c>
      <c r="D17" s="34">
        <v>0</v>
      </c>
      <c r="E17" s="34">
        <f t="shared" si="1"/>
        <v>170531</v>
      </c>
      <c r="F17" s="34">
        <f t="shared" si="2"/>
        <v>170531</v>
      </c>
      <c r="H17" s="2"/>
    </row>
    <row r="18" spans="1:9">
      <c r="A18" s="1">
        <f t="shared" si="0"/>
        <v>12</v>
      </c>
      <c r="B18" s="2" t="s">
        <v>79</v>
      </c>
      <c r="C18" s="34">
        <v>0</v>
      </c>
      <c r="D18" s="34">
        <v>0</v>
      </c>
      <c r="E18" s="34">
        <f t="shared" si="1"/>
        <v>0</v>
      </c>
      <c r="F18" s="34">
        <f t="shared" si="2"/>
        <v>0</v>
      </c>
      <c r="H18" s="2"/>
    </row>
    <row r="19" spans="1:9">
      <c r="A19" s="1">
        <f t="shared" si="0"/>
        <v>13</v>
      </c>
      <c r="B19" s="2" t="s">
        <v>80</v>
      </c>
      <c r="C19" s="34">
        <v>1851617</v>
      </c>
      <c r="D19" s="34">
        <f>'Adj List'!E9+'Adj List'!E12+'Adj List'!E13+'Adj List'!E14+'Adj List'!E15+'Adj List'!E16+'Adj List'!E19</f>
        <v>-156508.17410976527</v>
      </c>
      <c r="E19" s="34">
        <f t="shared" si="1"/>
        <v>1695108.8258902347</v>
      </c>
      <c r="F19" s="34">
        <f t="shared" si="2"/>
        <v>1695108.8258902347</v>
      </c>
      <c r="H19" s="2"/>
    </row>
    <row r="20" spans="1:9">
      <c r="A20" s="1">
        <f t="shared" si="0"/>
        <v>14</v>
      </c>
      <c r="B20" s="44" t="s">
        <v>81</v>
      </c>
      <c r="C20" s="54">
        <f>SUM(C13:C19)</f>
        <v>52779411</v>
      </c>
      <c r="D20" s="54">
        <f>SUM(D13:D19)</f>
        <v>-16692307.444109764</v>
      </c>
      <c r="E20" s="54">
        <f>SUM(E13:E19)</f>
        <v>36087103.55589024</v>
      </c>
      <c r="F20" s="54">
        <f>SUM(F13:F19)</f>
        <v>36087103.55589024</v>
      </c>
      <c r="H20" s="2"/>
    </row>
    <row r="21" spans="1:9">
      <c r="A21" s="1">
        <f t="shared" si="0"/>
        <v>15</v>
      </c>
      <c r="C21" s="34"/>
      <c r="D21" s="34"/>
      <c r="E21" s="34"/>
      <c r="F21" s="34"/>
      <c r="H21" s="2"/>
    </row>
    <row r="22" spans="1:9">
      <c r="A22" s="1">
        <f t="shared" si="0"/>
        <v>16</v>
      </c>
      <c r="B22" s="2" t="s">
        <v>82</v>
      </c>
      <c r="C22" s="34">
        <v>4344707</v>
      </c>
      <c r="D22" s="34">
        <f>'Adj List'!E11</f>
        <v>148112.03999999998</v>
      </c>
      <c r="E22" s="34">
        <f>C22+D22</f>
        <v>4492819.04</v>
      </c>
      <c r="F22" s="34">
        <f>E22</f>
        <v>4492819.04</v>
      </c>
      <c r="H22" s="2"/>
    </row>
    <row r="23" spans="1:9">
      <c r="A23" s="1">
        <f t="shared" si="0"/>
        <v>17</v>
      </c>
      <c r="B23" s="2" t="s">
        <v>83</v>
      </c>
      <c r="C23" s="34">
        <v>48535</v>
      </c>
      <c r="D23" s="34">
        <v>0</v>
      </c>
      <c r="E23" s="34">
        <f>C23+D23</f>
        <v>48535</v>
      </c>
      <c r="F23" s="34">
        <f>E23</f>
        <v>48535</v>
      </c>
      <c r="H23" s="2"/>
    </row>
    <row r="24" spans="1:9">
      <c r="A24" s="1">
        <f t="shared" si="0"/>
        <v>18</v>
      </c>
      <c r="B24" s="2" t="s">
        <v>70</v>
      </c>
      <c r="C24" s="34">
        <v>1884903</v>
      </c>
      <c r="D24" s="34">
        <f>'Adj List'!E18</f>
        <v>-130541.4700000002</v>
      </c>
      <c r="E24" s="34">
        <f>C24+D24</f>
        <v>1754361.5299999998</v>
      </c>
      <c r="F24" s="34">
        <f>E24</f>
        <v>1754361.5299999998</v>
      </c>
      <c r="H24" s="2"/>
    </row>
    <row r="25" spans="1:9">
      <c r="A25" s="1">
        <f t="shared" si="0"/>
        <v>19</v>
      </c>
      <c r="B25" s="2" t="s">
        <v>84</v>
      </c>
      <c r="C25" s="34">
        <v>142967</v>
      </c>
      <c r="D25" s="34">
        <v>0</v>
      </c>
      <c r="E25" s="34">
        <f>C25+D25</f>
        <v>142967</v>
      </c>
      <c r="F25" s="34">
        <f>E25</f>
        <v>142967</v>
      </c>
      <c r="H25" s="2"/>
    </row>
    <row r="26" spans="1:9">
      <c r="A26" s="1">
        <f t="shared" si="0"/>
        <v>20</v>
      </c>
      <c r="B26" s="2" t="s">
        <v>85</v>
      </c>
      <c r="C26" s="34">
        <v>11207</v>
      </c>
      <c r="D26" s="34">
        <v>0</v>
      </c>
      <c r="E26" s="34">
        <f>C26+D26</f>
        <v>11207</v>
      </c>
      <c r="F26" s="34">
        <f>E26</f>
        <v>11207</v>
      </c>
      <c r="H26" s="2"/>
    </row>
    <row r="27" spans="1:9">
      <c r="A27" s="1">
        <f t="shared" si="0"/>
        <v>21</v>
      </c>
      <c r="C27" s="34"/>
      <c r="D27" s="34"/>
      <c r="E27" s="34"/>
      <c r="F27" s="34"/>
      <c r="H27" s="2"/>
    </row>
    <row r="28" spans="1:9">
      <c r="A28" s="1">
        <f t="shared" si="0"/>
        <v>22</v>
      </c>
      <c r="B28" s="100" t="s">
        <v>33</v>
      </c>
      <c r="C28" s="93">
        <f>SUM(C20:C26)</f>
        <v>59211730</v>
      </c>
      <c r="D28" s="93">
        <f>SUM(D20:D26)</f>
        <v>-16674736.874109766</v>
      </c>
      <c r="E28" s="93">
        <f>SUM(E20:E26)</f>
        <v>42536993.12589024</v>
      </c>
      <c r="F28" s="93">
        <f>SUM(F20:F26)</f>
        <v>42536993.12589024</v>
      </c>
      <c r="H28" s="2"/>
      <c r="I28" s="302"/>
    </row>
    <row r="29" spans="1:9">
      <c r="A29" s="1">
        <f t="shared" si="0"/>
        <v>23</v>
      </c>
      <c r="C29" s="34"/>
      <c r="D29" s="34"/>
      <c r="E29" s="34"/>
      <c r="F29" s="34"/>
      <c r="H29" s="2"/>
    </row>
    <row r="30" spans="1:9" ht="15.75" thickBot="1">
      <c r="A30" s="1">
        <f t="shared" si="0"/>
        <v>24</v>
      </c>
      <c r="B30" s="3" t="s">
        <v>86</v>
      </c>
      <c r="C30" s="50">
        <f>C10-C28</f>
        <v>-726844</v>
      </c>
      <c r="D30" s="50">
        <f>D10-D28</f>
        <v>-578540.84589023329</v>
      </c>
      <c r="E30" s="50">
        <f>E10-E28</f>
        <v>-1305384.5658902377</v>
      </c>
      <c r="F30" s="50">
        <f>F10-F28</f>
        <v>944615.43410976231</v>
      </c>
      <c r="H30" s="2"/>
    </row>
    <row r="31" spans="1:9" ht="15.75" thickTop="1">
      <c r="A31" s="1">
        <f t="shared" si="0"/>
        <v>25</v>
      </c>
      <c r="C31" s="34"/>
      <c r="D31" s="34"/>
      <c r="E31" s="34"/>
      <c r="F31" s="34"/>
      <c r="H31" s="2"/>
    </row>
    <row r="32" spans="1:9">
      <c r="A32" s="1">
        <f t="shared" si="0"/>
        <v>26</v>
      </c>
      <c r="B32" s="2" t="s">
        <v>34</v>
      </c>
      <c r="C32" s="34">
        <v>562638</v>
      </c>
      <c r="D32" s="34">
        <v>0</v>
      </c>
      <c r="E32" s="34">
        <f>C32+D32</f>
        <v>562638</v>
      </c>
      <c r="F32" s="34">
        <f>E32</f>
        <v>562638</v>
      </c>
      <c r="H32" s="2"/>
    </row>
    <row r="33" spans="1:15">
      <c r="A33" s="1">
        <f t="shared" si="0"/>
        <v>27</v>
      </c>
      <c r="B33" s="2" t="s">
        <v>207</v>
      </c>
      <c r="C33" s="34">
        <v>0</v>
      </c>
      <c r="D33" s="34">
        <v>0</v>
      </c>
      <c r="E33" s="34">
        <f>C33+D33</f>
        <v>0</v>
      </c>
      <c r="F33" s="34">
        <f>E33</f>
        <v>0</v>
      </c>
      <c r="H33" s="2"/>
    </row>
    <row r="34" spans="1:15">
      <c r="A34" s="1">
        <f t="shared" si="0"/>
        <v>28</v>
      </c>
      <c r="B34" s="2" t="s">
        <v>35</v>
      </c>
      <c r="C34" s="34">
        <v>0</v>
      </c>
      <c r="D34" s="34">
        <v>0</v>
      </c>
      <c r="E34" s="34">
        <f>C34+D34</f>
        <v>0</v>
      </c>
      <c r="F34" s="34">
        <f>E34</f>
        <v>0</v>
      </c>
      <c r="H34" s="2"/>
    </row>
    <row r="35" spans="1:15">
      <c r="A35" s="1">
        <f t="shared" si="0"/>
        <v>29</v>
      </c>
      <c r="B35" s="2" t="s">
        <v>31</v>
      </c>
      <c r="C35" s="34">
        <v>739072</v>
      </c>
      <c r="D35" s="34">
        <f>'Adj List'!F17</f>
        <v>-739072</v>
      </c>
      <c r="E35" s="34">
        <f>C35+D35</f>
        <v>0</v>
      </c>
      <c r="F35" s="34">
        <f>E35</f>
        <v>0</v>
      </c>
      <c r="H35" s="2"/>
    </row>
    <row r="36" spans="1:15">
      <c r="A36" s="1">
        <f t="shared" si="0"/>
        <v>30</v>
      </c>
      <c r="B36" s="2" t="s">
        <v>87</v>
      </c>
      <c r="C36" s="34">
        <v>137752</v>
      </c>
      <c r="D36" s="34">
        <v>0</v>
      </c>
      <c r="E36" s="34">
        <f>C36+D36</f>
        <v>137752</v>
      </c>
      <c r="F36" s="34">
        <f>E36</f>
        <v>137752</v>
      </c>
      <c r="H36" s="2"/>
    </row>
    <row r="37" spans="1:15">
      <c r="A37" s="1">
        <f t="shared" si="0"/>
        <v>31</v>
      </c>
      <c r="B37" s="2"/>
      <c r="C37" s="34"/>
      <c r="D37" s="34"/>
      <c r="E37" s="34"/>
      <c r="F37" s="34"/>
      <c r="H37" s="2"/>
    </row>
    <row r="38" spans="1:15" ht="15.75" thickBot="1">
      <c r="A38" s="1">
        <f t="shared" si="0"/>
        <v>32</v>
      </c>
      <c r="B38" s="3" t="s">
        <v>88</v>
      </c>
      <c r="C38" s="50">
        <f>C30+SUM(C32:C36)</f>
        <v>712618</v>
      </c>
      <c r="D38" s="50">
        <f>D30+SUM(D32:D36)</f>
        <v>-1317612.8458902333</v>
      </c>
      <c r="E38" s="50">
        <f>E30+SUM(E32:E36)</f>
        <v>-604994.56589023769</v>
      </c>
      <c r="F38" s="50">
        <f>F30+SUM(F32:F36)</f>
        <v>1645005.4341097623</v>
      </c>
      <c r="H38" s="2"/>
      <c r="O38" s="353"/>
    </row>
    <row r="39" spans="1:15" ht="15.75" thickTop="1">
      <c r="A39" s="1">
        <f t="shared" si="0"/>
        <v>33</v>
      </c>
      <c r="B39" s="2"/>
      <c r="C39" s="34"/>
      <c r="D39" s="34"/>
      <c r="E39" s="34"/>
      <c r="F39" s="34"/>
      <c r="H39" s="2"/>
    </row>
    <row r="40" spans="1:15">
      <c r="A40" s="1">
        <f t="shared" si="0"/>
        <v>34</v>
      </c>
      <c r="B40" s="2" t="s">
        <v>150</v>
      </c>
      <c r="C40" s="34">
        <v>6011</v>
      </c>
      <c r="D40" s="34">
        <v>0</v>
      </c>
      <c r="E40" s="34">
        <f>C40+D40</f>
        <v>6011</v>
      </c>
      <c r="F40" s="34">
        <f>D40+E40</f>
        <v>6011</v>
      </c>
      <c r="H40" s="2"/>
    </row>
    <row r="41" spans="1:15">
      <c r="A41" s="1">
        <f t="shared" si="0"/>
        <v>35</v>
      </c>
      <c r="B41" s="2" t="s">
        <v>575</v>
      </c>
      <c r="C41" s="94">
        <f>(C22+C24+C38)/3952645</f>
        <v>1.7563499884254721</v>
      </c>
      <c r="D41" s="94"/>
      <c r="E41" s="94">
        <f>(E22+E24+E38)/3952645</f>
        <v>1.427445673494524</v>
      </c>
      <c r="F41" s="94">
        <f>(F22+F24+F38)/3952645</f>
        <v>1.9966847526427904</v>
      </c>
      <c r="H41" s="2"/>
    </row>
    <row r="42" spans="1:15">
      <c r="A42" s="1">
        <f t="shared" si="0"/>
        <v>36</v>
      </c>
      <c r="B42" s="2" t="s">
        <v>71</v>
      </c>
      <c r="C42" s="94">
        <f>(C38+C24)/C24</f>
        <v>1.3780661392124687</v>
      </c>
      <c r="D42" s="94"/>
      <c r="E42" s="94">
        <f>(E38+E24)/E24</f>
        <v>0.65514829438249378</v>
      </c>
      <c r="F42" s="94">
        <f>(F38+F24)/F24</f>
        <v>1.9376661571630349</v>
      </c>
      <c r="H42" s="2"/>
    </row>
    <row r="43" spans="1:15">
      <c r="A43" s="1">
        <f t="shared" si="0"/>
        <v>37</v>
      </c>
      <c r="B43" s="2" t="s">
        <v>89</v>
      </c>
      <c r="C43" s="94">
        <f>(C30+C40+C24)/C24</f>
        <v>0.61757554632784817</v>
      </c>
      <c r="D43" s="94"/>
      <c r="E43" s="94">
        <f>(E30+E40+E24)/E24</f>
        <v>0.25934675169818738</v>
      </c>
      <c r="F43" s="94">
        <f>(F30+F40+F24)/F24</f>
        <v>1.5418646144787285</v>
      </c>
      <c r="H43" s="2"/>
    </row>
    <row r="44" spans="1:15" ht="14.25" customHeight="1">
      <c r="A44" s="1">
        <f t="shared" si="0"/>
        <v>38</v>
      </c>
      <c r="B44" s="2"/>
      <c r="H44" s="2"/>
    </row>
    <row r="45" spans="1:15">
      <c r="A45" s="1">
        <f t="shared" si="0"/>
        <v>39</v>
      </c>
      <c r="B45" s="2" t="s">
        <v>576</v>
      </c>
      <c r="C45" s="94">
        <v>1.25</v>
      </c>
      <c r="D45" s="94"/>
      <c r="E45" s="94">
        <f>C45</f>
        <v>1.25</v>
      </c>
      <c r="F45" s="94">
        <f>E45</f>
        <v>1.25</v>
      </c>
      <c r="H45" s="2"/>
    </row>
    <row r="46" spans="1:15">
      <c r="A46" s="1">
        <f t="shared" si="0"/>
        <v>40</v>
      </c>
      <c r="B46" s="2" t="s">
        <v>211</v>
      </c>
      <c r="C46" s="34">
        <f>C45*3952645-C22-C24</f>
        <v>-1288803.75</v>
      </c>
      <c r="D46" s="34"/>
      <c r="E46" s="34">
        <f>E45*3952645-E22-E24</f>
        <v>-1306374.3199999998</v>
      </c>
      <c r="F46" s="34">
        <f>F45*3952645-F22-F24</f>
        <v>-1306374.3199999998</v>
      </c>
      <c r="H46" s="2"/>
    </row>
    <row r="47" spans="1:15">
      <c r="A47" s="1">
        <f t="shared" si="0"/>
        <v>41</v>
      </c>
      <c r="B47" s="2" t="s">
        <v>212</v>
      </c>
      <c r="C47" s="34">
        <f>C28+C46</f>
        <v>57922926.25</v>
      </c>
      <c r="D47" s="34"/>
      <c r="E47" s="34">
        <f>E28+E46</f>
        <v>41230618.80589024</v>
      </c>
      <c r="F47" s="34">
        <f>F28+F46</f>
        <v>41230618.80589024</v>
      </c>
      <c r="H47" s="2"/>
    </row>
    <row r="48" spans="1:15">
      <c r="A48" s="1">
        <f t="shared" si="0"/>
        <v>42</v>
      </c>
      <c r="B48" s="2"/>
      <c r="C48" s="248"/>
      <c r="D48" s="34"/>
      <c r="E48" s="284"/>
      <c r="F48" s="34"/>
    </row>
    <row r="49" spans="1:9">
      <c r="A49" s="1">
        <f t="shared" si="0"/>
        <v>43</v>
      </c>
      <c r="B49" s="2" t="s">
        <v>210</v>
      </c>
      <c r="C49" s="94">
        <v>2</v>
      </c>
      <c r="D49" s="94"/>
      <c r="E49" s="94">
        <f>C49</f>
        <v>2</v>
      </c>
      <c r="F49" s="94">
        <f>E49</f>
        <v>2</v>
      </c>
      <c r="H49" s="2"/>
    </row>
    <row r="50" spans="1:9">
      <c r="A50" s="1">
        <f t="shared" si="0"/>
        <v>44</v>
      </c>
      <c r="B50" s="2" t="s">
        <v>211</v>
      </c>
      <c r="C50" s="34">
        <f>C49*C24-C24</f>
        <v>1884903</v>
      </c>
      <c r="D50" s="34"/>
      <c r="E50" s="34">
        <f>E49*E24-E24</f>
        <v>1754361.5299999998</v>
      </c>
      <c r="F50" s="34">
        <f>F49*F24-F24</f>
        <v>1754361.5299999998</v>
      </c>
      <c r="H50" s="2"/>
    </row>
    <row r="51" spans="1:9">
      <c r="A51" s="1">
        <f t="shared" si="0"/>
        <v>45</v>
      </c>
      <c r="B51" s="2" t="s">
        <v>212</v>
      </c>
      <c r="C51" s="34">
        <f>C28+C50</f>
        <v>61096633</v>
      </c>
      <c r="D51" s="34"/>
      <c r="E51" s="34">
        <f>E28+E50</f>
        <v>44291354.655890241</v>
      </c>
      <c r="F51" s="34">
        <f>F28+F50</f>
        <v>44291354.655890241</v>
      </c>
      <c r="H51" s="2"/>
    </row>
    <row r="52" spans="1:9">
      <c r="A52" s="1">
        <f t="shared" si="0"/>
        <v>46</v>
      </c>
      <c r="B52" s="2"/>
      <c r="C52" s="248"/>
      <c r="D52" s="34"/>
      <c r="E52" s="284"/>
      <c r="F52" s="34"/>
    </row>
    <row r="53" spans="1:9">
      <c r="A53" s="1">
        <f t="shared" si="0"/>
        <v>47</v>
      </c>
      <c r="B53" s="2" t="s">
        <v>214</v>
      </c>
      <c r="C53" s="94">
        <v>1.85</v>
      </c>
      <c r="D53" s="94"/>
      <c r="E53" s="94">
        <f>C53</f>
        <v>1.85</v>
      </c>
      <c r="F53" s="94">
        <f>E53</f>
        <v>1.85</v>
      </c>
    </row>
    <row r="54" spans="1:9">
      <c r="A54" s="1">
        <f t="shared" si="0"/>
        <v>48</v>
      </c>
      <c r="B54" s="2" t="s">
        <v>215</v>
      </c>
      <c r="C54" s="34">
        <f>C53*C24-C24-C40+SUM(C32:C36)</f>
        <v>3035618.5500000003</v>
      </c>
      <c r="D54" s="34"/>
      <c r="E54" s="34">
        <f>E53*E24-E24-E40+SUM(E32:E36)</f>
        <v>2185586.3004999999</v>
      </c>
      <c r="F54" s="34">
        <f>F53*F24-F24-F40+SUM(F32:F36)</f>
        <v>2185586.3004999999</v>
      </c>
      <c r="H54" s="2"/>
    </row>
    <row r="55" spans="1:9">
      <c r="A55" s="1">
        <f t="shared" si="0"/>
        <v>49</v>
      </c>
      <c r="B55" s="2" t="s">
        <v>212</v>
      </c>
      <c r="C55" s="34">
        <f>C28+C54</f>
        <v>62247348.549999997</v>
      </c>
      <c r="D55" s="34"/>
      <c r="E55" s="34">
        <f>E28+E54</f>
        <v>44722579.426390238</v>
      </c>
      <c r="F55" s="34">
        <f>F28+F54</f>
        <v>44722579.426390238</v>
      </c>
      <c r="I55" s="302"/>
    </row>
    <row r="56" spans="1:9">
      <c r="A56" s="1">
        <f t="shared" si="0"/>
        <v>50</v>
      </c>
      <c r="B56" s="2" t="s">
        <v>213</v>
      </c>
      <c r="C56" s="34">
        <f>C54-C38</f>
        <v>2323000.5500000003</v>
      </c>
      <c r="D56" s="34"/>
      <c r="E56" s="250">
        <f>E54-E38</f>
        <v>2790580.8663902376</v>
      </c>
      <c r="F56" s="34">
        <f>F54-F38</f>
        <v>540580.86639023758</v>
      </c>
      <c r="G56" s="347"/>
      <c r="H56" s="313"/>
    </row>
    <row r="57" spans="1:9">
      <c r="A57" s="1">
        <f t="shared" si="0"/>
        <v>51</v>
      </c>
      <c r="C57" s="348"/>
      <c r="D57" s="34"/>
      <c r="E57" s="304">
        <f>E56/C8</f>
        <v>4.9526105473845818E-2</v>
      </c>
      <c r="F57" s="34"/>
      <c r="G57" s="349"/>
      <c r="H57" s="2"/>
    </row>
    <row r="58" spans="1:9">
      <c r="A58" s="1">
        <f t="shared" si="0"/>
        <v>52</v>
      </c>
      <c r="B58" s="2" t="s">
        <v>574</v>
      </c>
      <c r="E58" s="95">
        <v>2250000</v>
      </c>
      <c r="F58" s="95">
        <f>F38-E38</f>
        <v>2250000</v>
      </c>
      <c r="H58" s="2"/>
    </row>
    <row r="59" spans="1:9">
      <c r="A59" s="1">
        <f t="shared" si="0"/>
        <v>53</v>
      </c>
      <c r="B59" s="2"/>
      <c r="E59" s="305"/>
      <c r="F59" s="322">
        <f>F58/C8</f>
        <v>3.9932093944404654E-2</v>
      </c>
    </row>
    <row r="60" spans="1:9">
      <c r="A60" s="1">
        <f t="shared" si="0"/>
        <v>54</v>
      </c>
      <c r="B60" s="2" t="s">
        <v>573</v>
      </c>
      <c r="E60" s="95">
        <v>2248438</v>
      </c>
      <c r="F60" s="95">
        <f>E60</f>
        <v>2248438</v>
      </c>
    </row>
    <row r="61" spans="1:9">
      <c r="A61" s="1"/>
      <c r="B61" s="2"/>
      <c r="E61" s="305"/>
      <c r="F61" s="322">
        <f>F60/C8</f>
        <v>3.9904372197408583E-2</v>
      </c>
      <c r="H61" s="2"/>
    </row>
    <row r="62" spans="1:9">
      <c r="F62" s="348"/>
      <c r="H62" s="2"/>
    </row>
    <row r="63" spans="1:9" ht="125.25" customHeight="1">
      <c r="E63" s="302">
        <f>0.04*C8</f>
        <v>2253826.2112000003</v>
      </c>
      <c r="F63" s="302"/>
      <c r="H63" s="2"/>
    </row>
    <row r="64" spans="1:9">
      <c r="H64" s="2"/>
    </row>
    <row r="65" spans="1:8">
      <c r="A65" s="129" t="s">
        <v>21</v>
      </c>
      <c r="B65" s="345" t="s">
        <v>40</v>
      </c>
      <c r="C65" s="129" t="s">
        <v>540</v>
      </c>
      <c r="D65" s="129" t="s">
        <v>541</v>
      </c>
      <c r="E65" s="129" t="s">
        <v>542</v>
      </c>
      <c r="F65" s="129" t="s">
        <v>543</v>
      </c>
      <c r="H65" s="2"/>
    </row>
    <row r="66" spans="1:8">
      <c r="A66" s="351">
        <v>1</v>
      </c>
      <c r="B66" s="2" t="str">
        <f>B10</f>
        <v>Total Operating Revenue</v>
      </c>
      <c r="C66" s="186">
        <f>C10</f>
        <v>58484886</v>
      </c>
      <c r="D66" s="186">
        <f>D10</f>
        <v>-17253277.719999999</v>
      </c>
      <c r="E66" s="186">
        <f>E10</f>
        <v>41231608.560000002</v>
      </c>
      <c r="F66" s="186">
        <f>F10</f>
        <v>43481608.560000002</v>
      </c>
      <c r="H66" s="350" t="s">
        <v>572</v>
      </c>
    </row>
    <row r="67" spans="1:8">
      <c r="A67" s="351">
        <v>2</v>
      </c>
      <c r="B67" s="2" t="str">
        <f>B28</f>
        <v>Total Cost of Electric Service</v>
      </c>
      <c r="C67" s="186">
        <f>C28</f>
        <v>59211730</v>
      </c>
      <c r="D67" s="186">
        <f>D28</f>
        <v>-16674736.874109766</v>
      </c>
      <c r="E67" s="186">
        <f>E28</f>
        <v>42536993.12589024</v>
      </c>
      <c r="F67" s="186">
        <f>F28</f>
        <v>42536993.12589024</v>
      </c>
      <c r="H67" s="313">
        <f>E56-F60</f>
        <v>542142.86639023758</v>
      </c>
    </row>
    <row r="68" spans="1:8">
      <c r="A68" s="351">
        <v>3</v>
      </c>
      <c r="B68" s="2" t="str">
        <f>B30</f>
        <v>Utility Operating Margins</v>
      </c>
      <c r="C68" s="186">
        <f>C30</f>
        <v>-726844</v>
      </c>
      <c r="D68" s="186">
        <f>D30</f>
        <v>-578540.84589023329</v>
      </c>
      <c r="E68" s="186">
        <f>E30</f>
        <v>-1305384.5658902377</v>
      </c>
      <c r="F68" s="186">
        <f>F30</f>
        <v>944615.43410976231</v>
      </c>
      <c r="H68" s="2"/>
    </row>
    <row r="69" spans="1:8">
      <c r="A69" s="351">
        <v>4</v>
      </c>
      <c r="B69" s="2" t="str">
        <f>B38</f>
        <v>Net Margins</v>
      </c>
      <c r="C69" s="186">
        <f>C38</f>
        <v>712618</v>
      </c>
      <c r="D69" s="186">
        <f>D38</f>
        <v>-1317612.8458902333</v>
      </c>
      <c r="E69" s="186">
        <f>E38</f>
        <v>-604994.56589023769</v>
      </c>
      <c r="F69" s="186">
        <f>F38</f>
        <v>1645005.4341097623</v>
      </c>
      <c r="H69" s="2"/>
    </row>
    <row r="70" spans="1:8">
      <c r="A70" s="351">
        <v>5</v>
      </c>
      <c r="B70" s="2" t="str">
        <f>B43</f>
        <v>OTIER</v>
      </c>
      <c r="C70" s="94">
        <f>C43</f>
        <v>0.61757554632784817</v>
      </c>
      <c r="D70" s="94">
        <f>D43</f>
        <v>0</v>
      </c>
      <c r="E70" s="94">
        <f>E43</f>
        <v>0.25934675169818738</v>
      </c>
      <c r="F70" s="94">
        <f>F43</f>
        <v>1.5418646144787285</v>
      </c>
    </row>
    <row r="71" spans="1:8">
      <c r="A71" s="351">
        <v>6</v>
      </c>
      <c r="B71" s="2" t="str">
        <f>B42</f>
        <v>TIER</v>
      </c>
      <c r="C71" s="94">
        <f>C42</f>
        <v>1.3780661392124687</v>
      </c>
      <c r="D71" s="94">
        <f>D42</f>
        <v>0</v>
      </c>
      <c r="E71" s="94">
        <f>E42</f>
        <v>0.65514829438249378</v>
      </c>
      <c r="F71" s="94">
        <f>F42</f>
        <v>1.9376661571630349</v>
      </c>
    </row>
    <row r="72" spans="1:8">
      <c r="A72" s="351">
        <v>7</v>
      </c>
      <c r="B72" s="2" t="str">
        <f>B56</f>
        <v>Revenue Deficiency (Excess)</v>
      </c>
      <c r="C72" s="186">
        <f t="shared" ref="C72:F72" si="3">C56</f>
        <v>2323000.5500000003</v>
      </c>
      <c r="D72" s="186">
        <f t="shared" si="3"/>
        <v>0</v>
      </c>
      <c r="E72" s="186">
        <f t="shared" si="3"/>
        <v>2790580.8663902376</v>
      </c>
      <c r="F72" s="186">
        <f t="shared" si="3"/>
        <v>540580.86639023758</v>
      </c>
    </row>
    <row r="73" spans="1:8">
      <c r="A73" s="351">
        <v>8</v>
      </c>
      <c r="B73" s="2" t="str">
        <f>B58</f>
        <v>Target Increase $</v>
      </c>
      <c r="C73" s="186"/>
      <c r="D73" s="186"/>
      <c r="E73" s="186"/>
      <c r="F73" s="186">
        <f>F58</f>
        <v>2250000</v>
      </c>
    </row>
    <row r="74" spans="1:8">
      <c r="B74" s="2"/>
      <c r="C74" s="352"/>
      <c r="D74" s="352"/>
      <c r="E74" s="306"/>
      <c r="F74" s="306"/>
    </row>
    <row r="75" spans="1:8">
      <c r="B75" s="2"/>
      <c r="C75" s="2"/>
      <c r="D75" s="2"/>
      <c r="E75" s="2"/>
      <c r="F75" s="2"/>
    </row>
  </sheetData>
  <printOptions horizontalCentered="1"/>
  <pageMargins left="0.7" right="0.7" top="0.75" bottom="0.75" header="0.3" footer="0.3"/>
  <pageSetup scale="74" orientation="portrait" r:id="rId1"/>
  <headerFooter>
    <oddFooter>&amp;R&amp;"Times New Roman,Regular"&amp;12Exhibit JW-2
Page &amp;P of &amp;N</oddFooter>
  </headerFooter>
  <ignoredErrors>
    <ignoredError sqref="D6:F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30"/>
  <sheetViews>
    <sheetView view="pageBreakPreview" topLeftCell="A106" zoomScaleNormal="100" zoomScaleSheetLayoutView="100" workbookViewId="0">
      <selection activeCell="P50" sqref="P50"/>
    </sheetView>
  </sheetViews>
  <sheetFormatPr defaultColWidth="9.140625" defaultRowHeight="12.75"/>
  <cols>
    <col min="1" max="1" width="5.85546875" style="10" customWidth="1"/>
    <col min="2" max="2" width="2.28515625" style="10" customWidth="1"/>
    <col min="3" max="3" width="8.5703125" style="10" customWidth="1"/>
    <col min="4" max="4" width="10.7109375" style="10" customWidth="1"/>
    <col min="5" max="5" width="17.28515625" style="10" customWidth="1"/>
    <col min="6" max="6" width="24.7109375" style="10" customWidth="1"/>
    <col min="7" max="7" width="12.42578125" style="10" customWidth="1"/>
    <col min="8" max="8" width="34.5703125" style="10" bestFit="1" customWidth="1"/>
    <col min="9" max="9" width="12" style="10" customWidth="1"/>
    <col min="10" max="16" width="9.140625" style="10"/>
    <col min="17" max="17" width="16.7109375" style="10" bestFit="1" customWidth="1"/>
    <col min="18" max="16384" width="9.140625" style="10"/>
  </cols>
  <sheetData>
    <row r="1" spans="1:9">
      <c r="H1" s="5" t="s">
        <v>236</v>
      </c>
    </row>
    <row r="2" spans="1:9" ht="20.25" customHeight="1">
      <c r="I2" s="5"/>
    </row>
    <row r="3" spans="1:9">
      <c r="A3" s="356" t="str">
        <f>RevReq!A1</f>
        <v>CUMBERLAND VALLEY ELECTRIC</v>
      </c>
      <c r="B3" s="356"/>
      <c r="C3" s="356"/>
      <c r="D3" s="356"/>
      <c r="E3" s="356"/>
      <c r="F3" s="356"/>
      <c r="G3" s="356"/>
      <c r="H3" s="356"/>
      <c r="I3" s="7"/>
    </row>
    <row r="4" spans="1:9">
      <c r="A4" s="356" t="str">
        <f>RevReq!A3</f>
        <v>For the 12 Months Ended December 31, 2023</v>
      </c>
      <c r="B4" s="356"/>
      <c r="C4" s="356"/>
      <c r="D4" s="356"/>
      <c r="E4" s="356"/>
      <c r="F4" s="356"/>
      <c r="G4" s="356"/>
      <c r="H4" s="356"/>
      <c r="I4" s="7"/>
    </row>
    <row r="6" spans="1:9" s="6" customFormat="1" ht="15" customHeight="1">
      <c r="A6" s="357" t="s">
        <v>299</v>
      </c>
      <c r="B6" s="357"/>
      <c r="C6" s="357"/>
      <c r="D6" s="357"/>
      <c r="E6" s="357"/>
      <c r="F6" s="357"/>
      <c r="G6" s="357"/>
      <c r="H6" s="357"/>
      <c r="I6" s="130"/>
    </row>
    <row r="8" spans="1:9">
      <c r="A8" s="9" t="s">
        <v>0</v>
      </c>
      <c r="D8" s="9" t="s">
        <v>40</v>
      </c>
      <c r="G8" s="9" t="s">
        <v>300</v>
      </c>
      <c r="H8" s="9" t="s">
        <v>24</v>
      </c>
    </row>
    <row r="9" spans="1:9">
      <c r="A9" s="11" t="s">
        <v>21</v>
      </c>
      <c r="D9" s="12" t="s">
        <v>18</v>
      </c>
      <c r="E9" s="155"/>
      <c r="F9" s="155"/>
      <c r="G9" s="12" t="s">
        <v>20</v>
      </c>
      <c r="H9" s="12" t="s">
        <v>25</v>
      </c>
    </row>
    <row r="10" spans="1:9">
      <c r="A10" s="9"/>
    </row>
    <row r="11" spans="1:9">
      <c r="A11" s="9"/>
      <c r="D11" s="2"/>
    </row>
    <row r="12" spans="1:9">
      <c r="A12" s="9">
        <v>1</v>
      </c>
      <c r="D12" s="2" t="s">
        <v>301</v>
      </c>
      <c r="G12" s="156">
        <v>426.1</v>
      </c>
      <c r="H12" s="13">
        <f>G48</f>
        <v>2777</v>
      </c>
    </row>
    <row r="13" spans="1:9">
      <c r="A13" s="9">
        <f t="shared" ref="A13:A24" si="0">A12+1</f>
        <v>2</v>
      </c>
      <c r="D13" s="2" t="s">
        <v>302</v>
      </c>
      <c r="G13" s="156">
        <v>426.11</v>
      </c>
      <c r="H13" s="13">
        <f>G73</f>
        <v>7000</v>
      </c>
    </row>
    <row r="14" spans="1:9">
      <c r="A14" s="9">
        <f t="shared" si="0"/>
        <v>3</v>
      </c>
      <c r="D14" s="2" t="s">
        <v>303</v>
      </c>
      <c r="G14" s="156">
        <v>426.12</v>
      </c>
      <c r="H14" s="13">
        <f>G85</f>
        <v>1430.1</v>
      </c>
    </row>
    <row r="15" spans="1:9">
      <c r="A15" s="9">
        <f t="shared" si="0"/>
        <v>4</v>
      </c>
      <c r="D15" s="2" t="s">
        <v>304</v>
      </c>
      <c r="G15" s="156">
        <v>930.11</v>
      </c>
      <c r="H15" s="13">
        <f>G94</f>
        <v>1540.5</v>
      </c>
    </row>
    <row r="16" spans="1:9">
      <c r="A16" s="9">
        <f t="shared" si="0"/>
        <v>5</v>
      </c>
      <c r="D16" s="2" t="s">
        <v>305</v>
      </c>
      <c r="G16" s="156">
        <v>930.2</v>
      </c>
      <c r="H16" s="17">
        <f>G101</f>
        <v>88468.680000000008</v>
      </c>
    </row>
    <row r="17" spans="1:9">
      <c r="A17" s="9">
        <f t="shared" si="0"/>
        <v>6</v>
      </c>
      <c r="D17" s="2" t="s">
        <v>306</v>
      </c>
      <c r="G17" s="156">
        <v>930.21</v>
      </c>
      <c r="H17" s="17">
        <f>G118</f>
        <v>122194.28000000001</v>
      </c>
    </row>
    <row r="18" spans="1:9">
      <c r="A18" s="9">
        <f t="shared" si="0"/>
        <v>7</v>
      </c>
      <c r="D18" s="2" t="s">
        <v>307</v>
      </c>
      <c r="G18" s="156">
        <v>930.3</v>
      </c>
      <c r="H18" s="17">
        <f>G124</f>
        <v>0.28000000000000003</v>
      </c>
    </row>
    <row r="19" spans="1:9">
      <c r="A19" s="9">
        <f t="shared" si="0"/>
        <v>8</v>
      </c>
      <c r="D19" s="10" t="s">
        <v>308</v>
      </c>
      <c r="G19" s="26">
        <v>930.4</v>
      </c>
      <c r="H19" s="17">
        <f>G130</f>
        <v>11242.17</v>
      </c>
    </row>
    <row r="20" spans="1:9">
      <c r="A20" s="9">
        <f t="shared" si="0"/>
        <v>9</v>
      </c>
      <c r="D20" s="44" t="s">
        <v>36</v>
      </c>
      <c r="E20" s="15"/>
      <c r="F20" s="15"/>
      <c r="G20" s="44"/>
      <c r="H20" s="33">
        <f>SUM(H12:H19)</f>
        <v>234653.01000000004</v>
      </c>
    </row>
    <row r="21" spans="1:9">
      <c r="A21" s="9">
        <f t="shared" si="0"/>
        <v>10</v>
      </c>
      <c r="D21" s="2"/>
      <c r="G21" s="2"/>
    </row>
    <row r="22" spans="1:9">
      <c r="A22" s="9">
        <f t="shared" si="0"/>
        <v>11</v>
      </c>
      <c r="D22" s="2" t="s">
        <v>37</v>
      </c>
      <c r="H22" s="13">
        <v>0</v>
      </c>
    </row>
    <row r="23" spans="1:9">
      <c r="A23" s="9">
        <f t="shared" si="0"/>
        <v>12</v>
      </c>
      <c r="D23" s="2"/>
    </row>
    <row r="24" spans="1:9" ht="13.5" thickBot="1">
      <c r="A24" s="9">
        <f t="shared" si="0"/>
        <v>13</v>
      </c>
      <c r="D24" s="3" t="s">
        <v>15</v>
      </c>
      <c r="E24" s="19"/>
      <c r="F24" s="19"/>
      <c r="G24" s="19"/>
      <c r="H24" s="278">
        <f>ROUND(H22-H20,2)</f>
        <v>-234653.01</v>
      </c>
    </row>
    <row r="25" spans="1:9" ht="13.5" thickTop="1">
      <c r="G25" s="9"/>
    </row>
    <row r="26" spans="1:9" ht="30" customHeight="1">
      <c r="C26" s="363" t="s">
        <v>243</v>
      </c>
      <c r="D26" s="363"/>
      <c r="E26" s="363"/>
      <c r="F26" s="363"/>
      <c r="G26" s="363"/>
      <c r="H26" s="363"/>
      <c r="I26" s="8"/>
    </row>
    <row r="28" spans="1:9">
      <c r="A28" s="9">
        <f>A24+1</f>
        <v>14</v>
      </c>
      <c r="C28" s="83" t="s">
        <v>309</v>
      </c>
      <c r="D28" s="157">
        <v>426.1</v>
      </c>
      <c r="E28" s="32"/>
      <c r="F28" s="32"/>
      <c r="G28" s="32"/>
      <c r="H28" s="32"/>
    </row>
    <row r="29" spans="1:9">
      <c r="A29" s="9">
        <f t="shared" ref="A29:A48" si="1">A28+1</f>
        <v>15</v>
      </c>
      <c r="D29" s="157"/>
    </row>
    <row r="30" spans="1:9">
      <c r="A30" s="9">
        <f t="shared" si="1"/>
        <v>16</v>
      </c>
      <c r="C30" s="158" t="s">
        <v>310</v>
      </c>
      <c r="D30" s="158" t="s">
        <v>311</v>
      </c>
      <c r="E30" s="158" t="s">
        <v>312</v>
      </c>
      <c r="F30" s="158"/>
      <c r="G30" s="159" t="s">
        <v>313</v>
      </c>
      <c r="H30" s="158" t="s">
        <v>314</v>
      </c>
    </row>
    <row r="31" spans="1:9">
      <c r="A31" s="9">
        <f t="shared" si="1"/>
        <v>17</v>
      </c>
      <c r="C31" s="276">
        <v>44929</v>
      </c>
      <c r="D31" s="10">
        <v>88929</v>
      </c>
      <c r="E31" s="10" t="s">
        <v>487</v>
      </c>
      <c r="F31" s="160"/>
      <c r="G31" s="161">
        <v>25</v>
      </c>
      <c r="H31" s="160" t="s">
        <v>315</v>
      </c>
    </row>
    <row r="32" spans="1:9">
      <c r="A32" s="9">
        <f t="shared" si="1"/>
        <v>18</v>
      </c>
      <c r="C32" s="276">
        <v>44951</v>
      </c>
      <c r="D32" s="10">
        <v>89026</v>
      </c>
      <c r="E32" s="10" t="s">
        <v>488</v>
      </c>
      <c r="F32" s="160"/>
      <c r="G32" s="161">
        <v>100</v>
      </c>
      <c r="H32" s="160" t="s">
        <v>318</v>
      </c>
    </row>
    <row r="33" spans="1:8">
      <c r="A33" s="9">
        <f t="shared" si="1"/>
        <v>19</v>
      </c>
      <c r="C33" s="276">
        <v>44957</v>
      </c>
      <c r="D33" s="10">
        <v>89179</v>
      </c>
      <c r="E33" s="10" t="s">
        <v>499</v>
      </c>
      <c r="F33" s="160"/>
      <c r="G33" s="161">
        <v>500</v>
      </c>
      <c r="H33" s="160" t="s">
        <v>328</v>
      </c>
    </row>
    <row r="34" spans="1:8">
      <c r="A34" s="9">
        <f t="shared" si="1"/>
        <v>20</v>
      </c>
      <c r="C34" s="276">
        <v>44985</v>
      </c>
      <c r="D34" s="10">
        <v>89334</v>
      </c>
      <c r="E34" s="10" t="s">
        <v>489</v>
      </c>
      <c r="F34" s="160"/>
      <c r="G34" s="161">
        <v>300</v>
      </c>
      <c r="H34" s="160" t="s">
        <v>328</v>
      </c>
    </row>
    <row r="35" spans="1:8">
      <c r="A35" s="9">
        <f t="shared" si="1"/>
        <v>21</v>
      </c>
      <c r="C35" s="276">
        <v>45006</v>
      </c>
      <c r="D35" s="10">
        <v>89408</v>
      </c>
      <c r="E35" s="10" t="s">
        <v>490</v>
      </c>
      <c r="F35" s="160"/>
      <c r="G35" s="161">
        <v>200</v>
      </c>
      <c r="H35" s="160" t="s">
        <v>315</v>
      </c>
    </row>
    <row r="36" spans="1:8">
      <c r="A36" s="9">
        <f t="shared" si="1"/>
        <v>22</v>
      </c>
      <c r="C36" s="276">
        <v>45007</v>
      </c>
      <c r="D36" s="10">
        <v>89401</v>
      </c>
      <c r="E36" s="10" t="s">
        <v>491</v>
      </c>
      <c r="F36" s="160"/>
      <c r="G36" s="161">
        <v>250</v>
      </c>
      <c r="H36" s="160" t="s">
        <v>315</v>
      </c>
    </row>
    <row r="37" spans="1:8">
      <c r="A37" s="9">
        <f t="shared" si="1"/>
        <v>23</v>
      </c>
      <c r="C37" s="276">
        <v>45021</v>
      </c>
      <c r="D37" s="10">
        <v>89504</v>
      </c>
      <c r="E37" s="10" t="s">
        <v>320</v>
      </c>
      <c r="F37" s="160"/>
      <c r="G37" s="161">
        <v>150</v>
      </c>
      <c r="H37" s="160" t="s">
        <v>315</v>
      </c>
    </row>
    <row r="38" spans="1:8">
      <c r="A38" s="9">
        <f t="shared" si="1"/>
        <v>24</v>
      </c>
      <c r="C38" s="276">
        <v>45091</v>
      </c>
      <c r="D38" s="10">
        <v>89927</v>
      </c>
      <c r="E38" s="10" t="s">
        <v>492</v>
      </c>
      <c r="F38" s="160"/>
      <c r="G38" s="161">
        <v>100</v>
      </c>
      <c r="H38" s="160" t="s">
        <v>315</v>
      </c>
    </row>
    <row r="39" spans="1:8">
      <c r="A39" s="9">
        <f t="shared" si="1"/>
        <v>25</v>
      </c>
      <c r="C39" s="276">
        <v>45098</v>
      </c>
      <c r="D39" s="10">
        <v>89960</v>
      </c>
      <c r="E39" s="10" t="s">
        <v>493</v>
      </c>
      <c r="F39" s="160"/>
      <c r="G39" s="161">
        <v>100</v>
      </c>
      <c r="H39" s="160" t="s">
        <v>315</v>
      </c>
    </row>
    <row r="40" spans="1:8">
      <c r="A40" s="9">
        <f t="shared" si="1"/>
        <v>26</v>
      </c>
      <c r="C40" s="276">
        <v>45105</v>
      </c>
      <c r="D40" s="10">
        <v>89976</v>
      </c>
      <c r="E40" s="10" t="s">
        <v>316</v>
      </c>
      <c r="F40" s="160"/>
      <c r="G40" s="161">
        <v>145</v>
      </c>
      <c r="H40" s="160" t="s">
        <v>317</v>
      </c>
    </row>
    <row r="41" spans="1:8">
      <c r="A41" s="9">
        <f t="shared" si="1"/>
        <v>27</v>
      </c>
      <c r="C41" s="276">
        <v>45168</v>
      </c>
      <c r="D41" s="10">
        <v>90535</v>
      </c>
      <c r="E41" s="10" t="s">
        <v>494</v>
      </c>
      <c r="F41" s="160"/>
      <c r="G41" s="161">
        <v>75</v>
      </c>
      <c r="H41" s="160" t="s">
        <v>315</v>
      </c>
    </row>
    <row r="42" spans="1:8">
      <c r="A42" s="9">
        <f t="shared" si="1"/>
        <v>28</v>
      </c>
      <c r="C42" s="276">
        <v>45168</v>
      </c>
      <c r="D42" s="10">
        <v>90537</v>
      </c>
      <c r="E42" s="10" t="s">
        <v>495</v>
      </c>
      <c r="F42" s="160"/>
      <c r="G42" s="161">
        <v>100</v>
      </c>
      <c r="H42" s="160" t="s">
        <v>315</v>
      </c>
    </row>
    <row r="43" spans="1:8">
      <c r="A43" s="9">
        <f t="shared" si="1"/>
        <v>29</v>
      </c>
      <c r="C43" s="276">
        <v>45187</v>
      </c>
      <c r="E43" s="10" t="s">
        <v>495</v>
      </c>
      <c r="F43" s="160"/>
      <c r="G43" s="161">
        <v>-100</v>
      </c>
      <c r="H43" s="160" t="s">
        <v>498</v>
      </c>
    </row>
    <row r="44" spans="1:8">
      <c r="A44" s="9">
        <f t="shared" si="1"/>
        <v>30</v>
      </c>
      <c r="C44" s="276">
        <v>45230</v>
      </c>
      <c r="D44" s="10">
        <v>90910</v>
      </c>
      <c r="E44" s="10" t="s">
        <v>319</v>
      </c>
      <c r="F44" s="160"/>
      <c r="G44" s="161">
        <v>132</v>
      </c>
      <c r="H44" s="160" t="s">
        <v>318</v>
      </c>
    </row>
    <row r="45" spans="1:8">
      <c r="A45" s="9">
        <f t="shared" si="1"/>
        <v>31</v>
      </c>
      <c r="C45" s="276">
        <v>45245</v>
      </c>
      <c r="D45" s="10">
        <v>90968</v>
      </c>
      <c r="E45" s="10" t="s">
        <v>320</v>
      </c>
      <c r="F45" s="160"/>
      <c r="G45" s="161">
        <v>400</v>
      </c>
      <c r="H45" s="160" t="s">
        <v>321</v>
      </c>
    </row>
    <row r="46" spans="1:8">
      <c r="A46" s="9">
        <f t="shared" si="1"/>
        <v>32</v>
      </c>
      <c r="C46" s="276">
        <v>45252</v>
      </c>
      <c r="D46" s="10">
        <v>91002</v>
      </c>
      <c r="E46" s="10" t="s">
        <v>496</v>
      </c>
      <c r="F46" s="160"/>
      <c r="G46" s="161">
        <v>250</v>
      </c>
      <c r="H46" s="160" t="s">
        <v>315</v>
      </c>
    </row>
    <row r="47" spans="1:8">
      <c r="A47" s="9">
        <f t="shared" si="1"/>
        <v>33</v>
      </c>
      <c r="C47" s="276">
        <v>45266</v>
      </c>
      <c r="D47" s="10">
        <v>91135</v>
      </c>
      <c r="E47" s="10" t="s">
        <v>497</v>
      </c>
      <c r="F47" s="160"/>
      <c r="G47" s="161">
        <v>50</v>
      </c>
      <c r="H47" s="160" t="s">
        <v>315</v>
      </c>
    </row>
    <row r="48" spans="1:8">
      <c r="A48" s="9">
        <f t="shared" si="1"/>
        <v>34</v>
      </c>
      <c r="C48" s="274"/>
      <c r="D48" s="274"/>
      <c r="E48" s="274" t="s">
        <v>322</v>
      </c>
      <c r="F48" s="274"/>
      <c r="G48" s="275">
        <f>SUM(G31:G47)</f>
        <v>2777</v>
      </c>
      <c r="H48" s="274"/>
    </row>
    <row r="49" spans="1:8">
      <c r="A49" s="9"/>
      <c r="C49" s="160"/>
      <c r="D49" s="160"/>
      <c r="E49" s="160"/>
      <c r="F49" s="160"/>
      <c r="G49" s="161"/>
      <c r="H49" s="160"/>
    </row>
    <row r="50" spans="1:8">
      <c r="A50" s="9">
        <f>A48+1</f>
        <v>35</v>
      </c>
      <c r="C50" s="83" t="s">
        <v>309</v>
      </c>
      <c r="D50" s="157">
        <v>426.11</v>
      </c>
      <c r="E50" s="32"/>
      <c r="F50" s="32"/>
      <c r="G50" s="32"/>
      <c r="H50" s="32"/>
    </row>
    <row r="51" spans="1:8">
      <c r="A51" s="9">
        <f>A50+1</f>
        <v>36</v>
      </c>
      <c r="C51" s="160"/>
      <c r="D51" s="160"/>
      <c r="E51" s="160"/>
      <c r="F51" s="160"/>
      <c r="G51" s="161"/>
      <c r="H51" s="160"/>
    </row>
    <row r="52" spans="1:8">
      <c r="A52" s="9">
        <f>A51+1</f>
        <v>37</v>
      </c>
      <c r="C52" s="158" t="s">
        <v>310</v>
      </c>
      <c r="D52" s="158" t="s">
        <v>311</v>
      </c>
      <c r="E52" s="158" t="s">
        <v>312</v>
      </c>
      <c r="F52" s="158"/>
      <c r="G52" s="159" t="s">
        <v>313</v>
      </c>
      <c r="H52" s="158" t="s">
        <v>314</v>
      </c>
    </row>
    <row r="53" spans="1:8">
      <c r="A53" s="9">
        <f>A52+1</f>
        <v>38</v>
      </c>
      <c r="C53" s="276">
        <v>44984</v>
      </c>
      <c r="E53" s="10" t="s">
        <v>500</v>
      </c>
      <c r="F53" s="160"/>
      <c r="G53" s="161">
        <v>-500</v>
      </c>
      <c r="H53" s="160" t="s">
        <v>501</v>
      </c>
    </row>
    <row r="54" spans="1:8">
      <c r="A54" s="9">
        <f t="shared" ref="A54:A73" si="2">A53+1</f>
        <v>39</v>
      </c>
      <c r="C54" s="276">
        <v>45007</v>
      </c>
      <c r="E54" s="10" t="s">
        <v>503</v>
      </c>
      <c r="F54" s="160"/>
      <c r="G54" s="161">
        <v>-500</v>
      </c>
      <c r="H54" s="160" t="s">
        <v>502</v>
      </c>
    </row>
    <row r="55" spans="1:8">
      <c r="A55" s="9">
        <f t="shared" si="2"/>
        <v>40</v>
      </c>
      <c r="C55" s="276">
        <v>45097</v>
      </c>
      <c r="D55" s="10">
        <v>89947</v>
      </c>
      <c r="E55" s="10" t="s">
        <v>326</v>
      </c>
      <c r="F55" s="160"/>
      <c r="G55" s="161">
        <v>500</v>
      </c>
      <c r="H55" s="160" t="s">
        <v>323</v>
      </c>
    </row>
    <row r="56" spans="1:8">
      <c r="A56" s="9">
        <f t="shared" si="2"/>
        <v>41</v>
      </c>
      <c r="C56" s="276">
        <v>45097</v>
      </c>
      <c r="D56" s="10">
        <v>89942</v>
      </c>
      <c r="E56" s="10" t="s">
        <v>325</v>
      </c>
      <c r="F56" s="160"/>
      <c r="G56" s="161">
        <v>500</v>
      </c>
      <c r="H56" s="160" t="s">
        <v>323</v>
      </c>
    </row>
    <row r="57" spans="1:8">
      <c r="A57" s="9">
        <f t="shared" si="2"/>
        <v>42</v>
      </c>
      <c r="C57" s="276">
        <v>45097</v>
      </c>
      <c r="D57" s="10">
        <v>89945</v>
      </c>
      <c r="E57" s="10" t="s">
        <v>326</v>
      </c>
      <c r="F57" s="160"/>
      <c r="G57" s="161">
        <v>500</v>
      </c>
      <c r="H57" s="160" t="s">
        <v>323</v>
      </c>
    </row>
    <row r="58" spans="1:8">
      <c r="A58" s="9">
        <f t="shared" si="2"/>
        <v>43</v>
      </c>
      <c r="C58" s="276">
        <v>45097</v>
      </c>
      <c r="D58" s="10">
        <v>89939</v>
      </c>
      <c r="E58" s="10" t="s">
        <v>324</v>
      </c>
      <c r="F58" s="160"/>
      <c r="G58" s="161">
        <v>500</v>
      </c>
      <c r="H58" s="160" t="s">
        <v>323</v>
      </c>
    </row>
    <row r="59" spans="1:8">
      <c r="A59" s="9">
        <f t="shared" si="2"/>
        <v>44</v>
      </c>
      <c r="C59" s="276">
        <v>45097</v>
      </c>
      <c r="D59" s="10">
        <v>89943</v>
      </c>
      <c r="E59" s="10" t="s">
        <v>325</v>
      </c>
      <c r="F59" s="160"/>
      <c r="G59" s="161">
        <v>500</v>
      </c>
      <c r="H59" s="160" t="s">
        <v>323</v>
      </c>
    </row>
    <row r="60" spans="1:8">
      <c r="A60" s="9">
        <f t="shared" si="2"/>
        <v>45</v>
      </c>
      <c r="C60" s="276">
        <v>45097</v>
      </c>
      <c r="D60" s="10">
        <v>89948</v>
      </c>
      <c r="E60" s="10" t="s">
        <v>326</v>
      </c>
      <c r="F60" s="160"/>
      <c r="G60" s="161">
        <v>500</v>
      </c>
      <c r="H60" s="160" t="s">
        <v>323</v>
      </c>
    </row>
    <row r="61" spans="1:8">
      <c r="A61" s="9">
        <f t="shared" si="2"/>
        <v>46</v>
      </c>
      <c r="C61" s="276">
        <v>45097</v>
      </c>
      <c r="D61" s="10">
        <v>89944</v>
      </c>
      <c r="E61" s="10" t="s">
        <v>326</v>
      </c>
      <c r="F61" s="160"/>
      <c r="G61" s="161">
        <v>500</v>
      </c>
      <c r="H61" s="160" t="s">
        <v>323</v>
      </c>
    </row>
    <row r="62" spans="1:8">
      <c r="A62" s="9">
        <f t="shared" si="2"/>
        <v>47</v>
      </c>
      <c r="C62" s="276">
        <v>45097</v>
      </c>
      <c r="D62" s="10">
        <v>89946</v>
      </c>
      <c r="E62" s="10" t="s">
        <v>326</v>
      </c>
      <c r="F62" s="160"/>
      <c r="G62" s="161">
        <v>500</v>
      </c>
      <c r="H62" s="160" t="s">
        <v>323</v>
      </c>
    </row>
    <row r="63" spans="1:8">
      <c r="A63" s="9">
        <f t="shared" si="2"/>
        <v>48</v>
      </c>
      <c r="C63" s="276">
        <v>45097</v>
      </c>
      <c r="D63" s="10">
        <v>89954</v>
      </c>
      <c r="E63" s="10" t="s">
        <v>327</v>
      </c>
      <c r="F63" s="160"/>
      <c r="G63" s="161">
        <v>500</v>
      </c>
      <c r="H63" s="160" t="s">
        <v>323</v>
      </c>
    </row>
    <row r="64" spans="1:8">
      <c r="A64" s="9">
        <f t="shared" si="2"/>
        <v>49</v>
      </c>
      <c r="C64" s="276">
        <v>45236</v>
      </c>
      <c r="E64" s="10" t="s">
        <v>503</v>
      </c>
      <c r="F64" s="160"/>
      <c r="G64" s="161">
        <v>-500</v>
      </c>
      <c r="H64" s="160" t="s">
        <v>502</v>
      </c>
    </row>
    <row r="65" spans="1:8">
      <c r="A65" s="9">
        <f t="shared" si="2"/>
        <v>50</v>
      </c>
      <c r="C65" s="276">
        <v>45291</v>
      </c>
      <c r="D65" s="10">
        <v>91286</v>
      </c>
      <c r="E65" s="10" t="s">
        <v>326</v>
      </c>
      <c r="F65" s="160"/>
      <c r="G65" s="161">
        <v>500</v>
      </c>
      <c r="H65" s="160" t="s">
        <v>323</v>
      </c>
    </row>
    <row r="66" spans="1:8">
      <c r="A66" s="9">
        <f t="shared" si="2"/>
        <v>51</v>
      </c>
      <c r="C66" s="276">
        <v>45291</v>
      </c>
      <c r="D66" s="10">
        <v>91282</v>
      </c>
      <c r="E66" s="10" t="s">
        <v>325</v>
      </c>
      <c r="F66" s="160"/>
      <c r="G66" s="161">
        <v>500</v>
      </c>
      <c r="H66" s="160" t="s">
        <v>323</v>
      </c>
    </row>
    <row r="67" spans="1:8">
      <c r="A67" s="9">
        <f t="shared" si="2"/>
        <v>52</v>
      </c>
      <c r="C67" s="276">
        <v>45291</v>
      </c>
      <c r="D67" s="10">
        <v>91289</v>
      </c>
      <c r="E67" s="10" t="s">
        <v>326</v>
      </c>
      <c r="F67" s="160"/>
      <c r="G67" s="161">
        <v>500</v>
      </c>
      <c r="H67" s="160" t="s">
        <v>323</v>
      </c>
    </row>
    <row r="68" spans="1:8">
      <c r="A68" s="9">
        <f t="shared" si="2"/>
        <v>53</v>
      </c>
      <c r="C68" s="276">
        <v>45291</v>
      </c>
      <c r="D68" s="10">
        <v>91276</v>
      </c>
      <c r="E68" s="10" t="s">
        <v>324</v>
      </c>
      <c r="F68" s="160"/>
      <c r="G68" s="161">
        <v>500</v>
      </c>
      <c r="H68" s="160" t="s">
        <v>323</v>
      </c>
    </row>
    <row r="69" spans="1:8">
      <c r="A69" s="9">
        <f t="shared" si="2"/>
        <v>54</v>
      </c>
      <c r="C69" s="276">
        <v>45291</v>
      </c>
      <c r="D69" s="10">
        <v>91283</v>
      </c>
      <c r="E69" s="10" t="s">
        <v>325</v>
      </c>
      <c r="F69" s="160"/>
      <c r="G69" s="161">
        <v>500</v>
      </c>
      <c r="H69" s="160" t="s">
        <v>323</v>
      </c>
    </row>
    <row r="70" spans="1:8">
      <c r="A70" s="9">
        <f t="shared" si="2"/>
        <v>55</v>
      </c>
      <c r="C70" s="276">
        <v>45291</v>
      </c>
      <c r="D70" s="10">
        <v>91288</v>
      </c>
      <c r="E70" s="10" t="s">
        <v>326</v>
      </c>
      <c r="F70" s="160"/>
      <c r="G70" s="161">
        <v>500</v>
      </c>
      <c r="H70" s="160" t="s">
        <v>323</v>
      </c>
    </row>
    <row r="71" spans="1:8">
      <c r="A71" s="9">
        <f t="shared" si="2"/>
        <v>56</v>
      </c>
      <c r="C71" s="276">
        <v>45291</v>
      </c>
      <c r="D71" s="10">
        <v>91287</v>
      </c>
      <c r="E71" s="10" t="s">
        <v>326</v>
      </c>
      <c r="F71" s="160"/>
      <c r="G71" s="161">
        <v>500</v>
      </c>
      <c r="H71" s="160" t="s">
        <v>323</v>
      </c>
    </row>
    <row r="72" spans="1:8">
      <c r="A72" s="9">
        <f t="shared" si="2"/>
        <v>57</v>
      </c>
      <c r="C72" s="276">
        <v>45291</v>
      </c>
      <c r="D72" s="10">
        <v>91309</v>
      </c>
      <c r="E72" s="10" t="s">
        <v>327</v>
      </c>
      <c r="F72" s="160"/>
      <c r="G72" s="161">
        <v>500</v>
      </c>
      <c r="H72" s="160" t="s">
        <v>323</v>
      </c>
    </row>
    <row r="73" spans="1:8">
      <c r="A73" s="9">
        <f t="shared" si="2"/>
        <v>58</v>
      </c>
      <c r="C73" s="274"/>
      <c r="D73" s="274"/>
      <c r="E73" s="274" t="s">
        <v>322</v>
      </c>
      <c r="F73" s="274"/>
      <c r="G73" s="275">
        <f>SUM(G53:G72)</f>
        <v>7000</v>
      </c>
      <c r="H73" s="274"/>
    </row>
    <row r="74" spans="1:8">
      <c r="A74" s="9"/>
      <c r="C74" s="160"/>
      <c r="D74" s="160"/>
      <c r="E74" s="160"/>
      <c r="F74" s="160"/>
      <c r="G74" s="161"/>
      <c r="H74" s="160"/>
    </row>
    <row r="75" spans="1:8">
      <c r="A75" s="9">
        <f>A73+1</f>
        <v>59</v>
      </c>
      <c r="C75" s="83" t="s">
        <v>309</v>
      </c>
      <c r="D75" s="157">
        <v>426.12</v>
      </c>
      <c r="E75" s="32"/>
      <c r="F75" s="32"/>
      <c r="G75" s="32"/>
      <c r="H75" s="32"/>
    </row>
    <row r="76" spans="1:8">
      <c r="A76" s="9">
        <f t="shared" ref="A76:A85" si="3">A75+1</f>
        <v>60</v>
      </c>
      <c r="C76" s="83"/>
      <c r="D76" s="157"/>
    </row>
    <row r="77" spans="1:8">
      <c r="A77" s="9">
        <f t="shared" si="3"/>
        <v>61</v>
      </c>
      <c r="C77" s="158" t="s">
        <v>310</v>
      </c>
      <c r="D77" s="158" t="s">
        <v>311</v>
      </c>
      <c r="E77" s="158" t="s">
        <v>312</v>
      </c>
      <c r="F77" s="158"/>
      <c r="G77" s="159" t="s">
        <v>313</v>
      </c>
      <c r="H77" s="158" t="s">
        <v>314</v>
      </c>
    </row>
    <row r="78" spans="1:8">
      <c r="A78" s="9">
        <f t="shared" si="3"/>
        <v>62</v>
      </c>
      <c r="C78" s="276">
        <v>44931</v>
      </c>
      <c r="D78" s="10">
        <v>88943</v>
      </c>
      <c r="E78" s="10" t="s">
        <v>504</v>
      </c>
      <c r="F78" s="160"/>
      <c r="G78" s="161">
        <v>275</v>
      </c>
      <c r="H78" s="10" t="s">
        <v>328</v>
      </c>
    </row>
    <row r="79" spans="1:8">
      <c r="A79" s="9">
        <f t="shared" si="3"/>
        <v>63</v>
      </c>
      <c r="C79" s="276">
        <v>44951</v>
      </c>
      <c r="D79" s="10">
        <v>89015</v>
      </c>
      <c r="E79" s="10" t="s">
        <v>505</v>
      </c>
      <c r="F79" s="160"/>
      <c r="G79" s="161">
        <v>150</v>
      </c>
      <c r="H79" s="10" t="s">
        <v>328</v>
      </c>
    </row>
    <row r="80" spans="1:8">
      <c r="A80" s="9">
        <f t="shared" si="3"/>
        <v>64</v>
      </c>
      <c r="C80" s="276">
        <v>44957</v>
      </c>
      <c r="D80" s="10">
        <v>89097</v>
      </c>
      <c r="E80" s="10" t="s">
        <v>506</v>
      </c>
      <c r="F80" s="160"/>
      <c r="G80" s="161">
        <v>100</v>
      </c>
      <c r="H80" s="10" t="s">
        <v>328</v>
      </c>
    </row>
    <row r="81" spans="1:12">
      <c r="A81" s="9">
        <f t="shared" si="3"/>
        <v>65</v>
      </c>
      <c r="C81" s="276">
        <v>45007</v>
      </c>
      <c r="D81" s="10">
        <v>89396</v>
      </c>
      <c r="E81" s="10" t="s">
        <v>320</v>
      </c>
      <c r="F81" s="160"/>
      <c r="G81" s="161">
        <v>300</v>
      </c>
      <c r="H81" s="10" t="s">
        <v>328</v>
      </c>
    </row>
    <row r="82" spans="1:12">
      <c r="A82" s="9">
        <f t="shared" si="3"/>
        <v>66</v>
      </c>
      <c r="C82" s="276">
        <v>45077</v>
      </c>
      <c r="D82" s="10">
        <v>89903</v>
      </c>
      <c r="E82" s="10" t="s">
        <v>489</v>
      </c>
      <c r="F82" s="160"/>
      <c r="G82" s="161">
        <v>305.10000000000002</v>
      </c>
      <c r="H82" s="10" t="s">
        <v>328</v>
      </c>
    </row>
    <row r="83" spans="1:12">
      <c r="A83" s="9">
        <f t="shared" si="3"/>
        <v>67</v>
      </c>
      <c r="C83" s="276">
        <v>45107</v>
      </c>
      <c r="D83" s="10">
        <v>90207</v>
      </c>
      <c r="E83" s="10" t="s">
        <v>507</v>
      </c>
      <c r="F83" s="160"/>
      <c r="G83" s="161">
        <v>150</v>
      </c>
      <c r="H83" s="10" t="s">
        <v>328</v>
      </c>
    </row>
    <row r="84" spans="1:12">
      <c r="A84" s="9">
        <f t="shared" si="3"/>
        <v>68</v>
      </c>
      <c r="C84" s="276">
        <v>45237</v>
      </c>
      <c r="D84" s="10">
        <v>90949</v>
      </c>
      <c r="E84" s="10" t="s">
        <v>329</v>
      </c>
      <c r="F84" s="160"/>
      <c r="G84" s="161">
        <v>150</v>
      </c>
      <c r="H84" s="10" t="s">
        <v>328</v>
      </c>
    </row>
    <row r="85" spans="1:12">
      <c r="A85" s="9">
        <f t="shared" si="3"/>
        <v>69</v>
      </c>
      <c r="C85" s="15"/>
      <c r="D85" s="15"/>
      <c r="E85" s="15" t="s">
        <v>322</v>
      </c>
      <c r="F85" s="15"/>
      <c r="G85" s="162">
        <f>SUM(G78:G84)</f>
        <v>1430.1</v>
      </c>
      <c r="H85" s="15"/>
    </row>
    <row r="86" spans="1:12">
      <c r="A86" s="9"/>
      <c r="G86" s="163"/>
    </row>
    <row r="87" spans="1:12">
      <c r="A87" s="9">
        <f>A85+1</f>
        <v>70</v>
      </c>
      <c r="C87" s="83" t="s">
        <v>309</v>
      </c>
      <c r="D87" s="164">
        <v>930.11</v>
      </c>
      <c r="E87" s="32"/>
      <c r="F87" s="32"/>
      <c r="G87" s="32"/>
      <c r="H87" s="32"/>
    </row>
    <row r="88" spans="1:12">
      <c r="A88" s="9">
        <f t="shared" ref="A88:A94" si="4">A87+1</f>
        <v>71</v>
      </c>
      <c r="D88" s="83"/>
    </row>
    <row r="89" spans="1:12">
      <c r="A89" s="9">
        <f t="shared" si="4"/>
        <v>72</v>
      </c>
      <c r="C89" s="158" t="s">
        <v>310</v>
      </c>
      <c r="D89" s="158" t="s">
        <v>311</v>
      </c>
      <c r="E89" s="158" t="s">
        <v>312</v>
      </c>
      <c r="F89" s="158"/>
      <c r="G89" s="159" t="s">
        <v>330</v>
      </c>
      <c r="H89" s="158" t="s">
        <v>314</v>
      </c>
    </row>
    <row r="90" spans="1:12">
      <c r="A90" s="9">
        <f t="shared" si="4"/>
        <v>73</v>
      </c>
      <c r="C90" s="276">
        <v>45028</v>
      </c>
      <c r="D90" s="160">
        <v>89559</v>
      </c>
      <c r="E90" s="160" t="s">
        <v>508</v>
      </c>
      <c r="F90" s="160"/>
      <c r="G90" s="161">
        <v>1000</v>
      </c>
      <c r="H90" s="160" t="s">
        <v>511</v>
      </c>
      <c r="J90" s="163"/>
      <c r="K90" s="163"/>
      <c r="L90" s="163"/>
    </row>
    <row r="91" spans="1:12">
      <c r="A91" s="9">
        <f t="shared" si="4"/>
        <v>74</v>
      </c>
      <c r="C91" s="276">
        <v>45138</v>
      </c>
      <c r="D91" s="160">
        <v>90353</v>
      </c>
      <c r="E91" s="160" t="s">
        <v>509</v>
      </c>
      <c r="F91" s="160"/>
      <c r="G91" s="161">
        <v>252</v>
      </c>
      <c r="H91" s="160" t="s">
        <v>331</v>
      </c>
      <c r="J91" s="163"/>
      <c r="K91" s="163"/>
      <c r="L91" s="163"/>
    </row>
    <row r="92" spans="1:12">
      <c r="A92" s="9">
        <f t="shared" si="4"/>
        <v>75</v>
      </c>
      <c r="C92" s="276">
        <v>45138</v>
      </c>
      <c r="D92" s="160">
        <v>90368</v>
      </c>
      <c r="E92" s="160" t="s">
        <v>332</v>
      </c>
      <c r="F92" s="160"/>
      <c r="G92" s="161">
        <v>200</v>
      </c>
      <c r="H92" s="160" t="s">
        <v>331</v>
      </c>
      <c r="J92" s="163"/>
      <c r="K92" s="163"/>
      <c r="L92" s="163"/>
    </row>
    <row r="93" spans="1:12">
      <c r="A93" s="9">
        <f t="shared" si="4"/>
        <v>76</v>
      </c>
      <c r="C93" s="276">
        <v>45260</v>
      </c>
      <c r="D93" s="160">
        <v>91136</v>
      </c>
      <c r="E93" s="160" t="s">
        <v>510</v>
      </c>
      <c r="F93" s="160"/>
      <c r="G93" s="161">
        <v>88.5</v>
      </c>
      <c r="H93" s="160" t="s">
        <v>512</v>
      </c>
      <c r="J93" s="163"/>
      <c r="K93" s="163"/>
      <c r="L93" s="163"/>
    </row>
    <row r="94" spans="1:12">
      <c r="A94" s="9">
        <f t="shared" si="4"/>
        <v>77</v>
      </c>
      <c r="C94" s="274"/>
      <c r="D94" s="274"/>
      <c r="E94" s="274" t="s">
        <v>322</v>
      </c>
      <c r="F94" s="274"/>
      <c r="G94" s="275">
        <f>SUM(G90:G93)</f>
        <v>1540.5</v>
      </c>
      <c r="H94" s="274"/>
      <c r="J94" s="163"/>
      <c r="K94" s="163"/>
      <c r="L94" s="163"/>
    </row>
    <row r="95" spans="1:12">
      <c r="A95" s="9"/>
      <c r="C95" s="160"/>
      <c r="D95" s="160"/>
      <c r="E95" s="160"/>
      <c r="F95" s="160"/>
      <c r="G95" s="161"/>
      <c r="H95" s="160"/>
      <c r="J95" s="163"/>
      <c r="K95" s="163"/>
      <c r="L95" s="163"/>
    </row>
    <row r="96" spans="1:12">
      <c r="A96" s="9">
        <f>A94+1</f>
        <v>78</v>
      </c>
      <c r="C96" s="83" t="s">
        <v>309</v>
      </c>
      <c r="D96" s="164">
        <v>930.2</v>
      </c>
      <c r="E96" s="32"/>
      <c r="F96" s="32"/>
      <c r="G96" s="32"/>
      <c r="H96" s="32"/>
      <c r="J96" s="163"/>
      <c r="K96" s="163"/>
      <c r="L96" s="163"/>
    </row>
    <row r="97" spans="1:12">
      <c r="A97" s="9">
        <f t="shared" ref="A97:A101" si="5">A96+1</f>
        <v>79</v>
      </c>
      <c r="C97" s="83"/>
      <c r="D97" s="164"/>
      <c r="J97" s="163"/>
      <c r="K97" s="163"/>
      <c r="L97" s="163"/>
    </row>
    <row r="98" spans="1:12">
      <c r="A98" s="9">
        <f t="shared" si="5"/>
        <v>80</v>
      </c>
      <c r="C98" s="158" t="s">
        <v>310</v>
      </c>
      <c r="D98" s="158" t="s">
        <v>333</v>
      </c>
      <c r="E98" s="158" t="s">
        <v>312</v>
      </c>
      <c r="F98" s="158"/>
      <c r="G98" s="159" t="s">
        <v>330</v>
      </c>
      <c r="H98" s="158" t="s">
        <v>314</v>
      </c>
    </row>
    <row r="99" spans="1:12">
      <c r="A99" s="9">
        <f t="shared" si="5"/>
        <v>81</v>
      </c>
      <c r="C99" s="160" t="s">
        <v>334</v>
      </c>
      <c r="D99" s="160" t="s">
        <v>335</v>
      </c>
      <c r="E99" s="160" t="s">
        <v>336</v>
      </c>
      <c r="F99" s="160"/>
      <c r="G99" s="161">
        <v>87972.74</v>
      </c>
      <c r="H99" s="160" t="s">
        <v>337</v>
      </c>
      <c r="J99" s="163"/>
      <c r="K99" s="163"/>
      <c r="L99" s="163"/>
    </row>
    <row r="100" spans="1:12">
      <c r="A100" s="9">
        <f t="shared" si="5"/>
        <v>82</v>
      </c>
      <c r="C100" s="258">
        <v>45199</v>
      </c>
      <c r="D100" s="160" t="s">
        <v>513</v>
      </c>
      <c r="E100" s="160" t="s">
        <v>338</v>
      </c>
      <c r="F100" s="160"/>
      <c r="G100" s="161">
        <v>495.94</v>
      </c>
      <c r="H100" s="160" t="s">
        <v>339</v>
      </c>
      <c r="J100" s="163"/>
      <c r="K100" s="163"/>
      <c r="L100" s="163"/>
    </row>
    <row r="101" spans="1:12">
      <c r="A101" s="9">
        <f t="shared" si="5"/>
        <v>83</v>
      </c>
      <c r="C101" s="274"/>
      <c r="D101" s="274"/>
      <c r="E101" s="274" t="s">
        <v>322</v>
      </c>
      <c r="F101" s="274"/>
      <c r="G101" s="275">
        <f>SUM(G99:G100)</f>
        <v>88468.680000000008</v>
      </c>
      <c r="H101" s="274"/>
      <c r="J101" s="163"/>
      <c r="K101" s="163"/>
      <c r="L101" s="163"/>
    </row>
    <row r="102" spans="1:12">
      <c r="A102" s="9"/>
      <c r="C102" s="160"/>
      <c r="D102" s="160"/>
      <c r="E102" s="160"/>
      <c r="F102" s="160"/>
      <c r="G102" s="161"/>
      <c r="H102" s="160"/>
      <c r="J102" s="163"/>
      <c r="K102" s="163"/>
      <c r="L102" s="163"/>
    </row>
    <row r="103" spans="1:12">
      <c r="A103" s="9">
        <f>A101+1</f>
        <v>84</v>
      </c>
      <c r="C103" s="83" t="s">
        <v>309</v>
      </c>
      <c r="D103" s="164">
        <v>930.21</v>
      </c>
      <c r="E103" s="32"/>
      <c r="F103" s="32"/>
      <c r="G103" s="32"/>
      <c r="H103" s="32"/>
      <c r="J103" s="163"/>
      <c r="K103" s="163"/>
      <c r="L103" s="163"/>
    </row>
    <row r="104" spans="1:12">
      <c r="A104" s="9">
        <f t="shared" ref="A104:A118" si="6">A103+1</f>
        <v>85</v>
      </c>
      <c r="C104" s="83"/>
      <c r="D104" s="164"/>
      <c r="J104" s="163"/>
      <c r="K104" s="163"/>
      <c r="L104" s="163"/>
    </row>
    <row r="105" spans="1:12">
      <c r="A105" s="9">
        <f t="shared" si="6"/>
        <v>86</v>
      </c>
      <c r="C105" s="158" t="s">
        <v>310</v>
      </c>
      <c r="D105" s="158" t="s">
        <v>311</v>
      </c>
      <c r="E105" s="158" t="s">
        <v>312</v>
      </c>
      <c r="F105" s="158"/>
      <c r="G105" s="159" t="s">
        <v>330</v>
      </c>
      <c r="H105" s="158" t="s">
        <v>314</v>
      </c>
      <c r="J105" s="163"/>
      <c r="K105" s="163"/>
      <c r="L105" s="163"/>
    </row>
    <row r="106" spans="1:12">
      <c r="A106" s="9">
        <f t="shared" si="6"/>
        <v>87</v>
      </c>
      <c r="C106" s="276">
        <v>44957</v>
      </c>
      <c r="D106" s="160">
        <v>89100</v>
      </c>
      <c r="E106" s="10" t="s">
        <v>489</v>
      </c>
      <c r="F106" s="160"/>
      <c r="G106" s="161">
        <v>9825.06</v>
      </c>
      <c r="H106" s="160" t="s">
        <v>340</v>
      </c>
      <c r="J106" s="163"/>
      <c r="K106" s="163"/>
      <c r="L106" s="163"/>
    </row>
    <row r="107" spans="1:12">
      <c r="A107" s="9">
        <f t="shared" si="6"/>
        <v>88</v>
      </c>
      <c r="C107" s="276">
        <v>44985</v>
      </c>
      <c r="D107" s="160">
        <v>89334</v>
      </c>
      <c r="E107" s="10" t="s">
        <v>489</v>
      </c>
      <c r="F107" s="160"/>
      <c r="G107" s="161">
        <v>9868.7099999999991</v>
      </c>
      <c r="H107" s="160" t="s">
        <v>340</v>
      </c>
      <c r="J107" s="163"/>
      <c r="K107" s="163"/>
      <c r="L107" s="163"/>
    </row>
    <row r="108" spans="1:12">
      <c r="A108" s="9">
        <f t="shared" si="6"/>
        <v>89</v>
      </c>
      <c r="C108" s="276">
        <v>45016</v>
      </c>
      <c r="D108" s="160">
        <v>89489</v>
      </c>
      <c r="E108" s="10" t="s">
        <v>489</v>
      </c>
      <c r="F108" s="160"/>
      <c r="G108" s="161">
        <v>9886.6299999999992</v>
      </c>
      <c r="H108" s="160" t="s">
        <v>340</v>
      </c>
      <c r="J108" s="163"/>
      <c r="K108" s="163"/>
      <c r="L108" s="163"/>
    </row>
    <row r="109" spans="1:12">
      <c r="A109" s="9">
        <f t="shared" si="6"/>
        <v>90</v>
      </c>
      <c r="C109" s="276">
        <v>45046</v>
      </c>
      <c r="D109" s="160">
        <v>89691</v>
      </c>
      <c r="E109" s="10" t="s">
        <v>489</v>
      </c>
      <c r="F109" s="160"/>
      <c r="G109" s="161">
        <v>9785.33</v>
      </c>
      <c r="H109" s="160" t="s">
        <v>340</v>
      </c>
      <c r="J109" s="163"/>
      <c r="K109" s="163"/>
      <c r="L109" s="163"/>
    </row>
    <row r="110" spans="1:12">
      <c r="A110" s="9">
        <f t="shared" si="6"/>
        <v>91</v>
      </c>
      <c r="C110" s="276">
        <v>45077</v>
      </c>
      <c r="D110" s="160">
        <v>89903</v>
      </c>
      <c r="E110" s="10" t="s">
        <v>489</v>
      </c>
      <c r="F110" s="160"/>
      <c r="G110" s="161">
        <v>12309.95</v>
      </c>
      <c r="H110" s="160" t="s">
        <v>340</v>
      </c>
      <c r="J110" s="163"/>
      <c r="K110" s="163"/>
      <c r="L110" s="163"/>
    </row>
    <row r="111" spans="1:12">
      <c r="A111" s="9">
        <f t="shared" si="6"/>
        <v>92</v>
      </c>
      <c r="C111" s="276">
        <v>45107</v>
      </c>
      <c r="D111" s="160">
        <v>90222</v>
      </c>
      <c r="E111" s="10" t="s">
        <v>489</v>
      </c>
      <c r="F111" s="160"/>
      <c r="G111" s="161">
        <v>9789.7900000000009</v>
      </c>
      <c r="H111" s="160" t="s">
        <v>340</v>
      </c>
      <c r="J111" s="163"/>
      <c r="K111" s="163"/>
      <c r="L111" s="163"/>
    </row>
    <row r="112" spans="1:12">
      <c r="A112" s="9">
        <f t="shared" si="6"/>
        <v>93</v>
      </c>
      <c r="C112" s="276">
        <v>45138</v>
      </c>
      <c r="D112" s="160">
        <v>90342</v>
      </c>
      <c r="E112" s="10" t="s">
        <v>489</v>
      </c>
      <c r="F112" s="160"/>
      <c r="G112" s="161">
        <v>10117.34</v>
      </c>
      <c r="H112" s="160" t="s">
        <v>340</v>
      </c>
      <c r="J112" s="163"/>
      <c r="K112" s="163"/>
      <c r="L112" s="163"/>
    </row>
    <row r="113" spans="1:12">
      <c r="A113" s="9">
        <f t="shared" si="6"/>
        <v>94</v>
      </c>
      <c r="C113" s="276">
        <v>45169</v>
      </c>
      <c r="D113" s="160">
        <v>90544</v>
      </c>
      <c r="E113" s="10" t="s">
        <v>489</v>
      </c>
      <c r="F113" s="160"/>
      <c r="G113" s="161">
        <v>10108.66</v>
      </c>
      <c r="H113" s="160" t="s">
        <v>340</v>
      </c>
      <c r="J113" s="163"/>
      <c r="K113" s="163"/>
      <c r="L113" s="163"/>
    </row>
    <row r="114" spans="1:12">
      <c r="A114" s="9">
        <f t="shared" si="6"/>
        <v>95</v>
      </c>
      <c r="C114" s="276">
        <v>45199</v>
      </c>
      <c r="D114" s="160">
        <v>90726</v>
      </c>
      <c r="E114" s="10" t="s">
        <v>489</v>
      </c>
      <c r="F114" s="160"/>
      <c r="G114" s="161">
        <v>10108.66</v>
      </c>
      <c r="H114" s="160" t="s">
        <v>340</v>
      </c>
      <c r="J114" s="163"/>
      <c r="K114" s="163"/>
      <c r="L114" s="163"/>
    </row>
    <row r="115" spans="1:12">
      <c r="A115" s="9">
        <f t="shared" si="6"/>
        <v>96</v>
      </c>
      <c r="C115" s="276">
        <v>45230</v>
      </c>
      <c r="D115" s="160">
        <v>90924</v>
      </c>
      <c r="E115" s="10" t="s">
        <v>489</v>
      </c>
      <c r="F115" s="160"/>
      <c r="G115" s="161">
        <v>10120.219999999999</v>
      </c>
      <c r="H115" s="160" t="s">
        <v>340</v>
      </c>
      <c r="J115" s="163"/>
      <c r="K115" s="163"/>
      <c r="L115" s="163"/>
    </row>
    <row r="116" spans="1:12">
      <c r="A116" s="9">
        <f t="shared" si="6"/>
        <v>97</v>
      </c>
      <c r="C116" s="276">
        <v>45260</v>
      </c>
      <c r="D116" s="160">
        <v>91086</v>
      </c>
      <c r="E116" s="10" t="s">
        <v>489</v>
      </c>
      <c r="F116" s="160"/>
      <c r="G116" s="161">
        <v>10130.049999999999</v>
      </c>
      <c r="H116" s="160" t="s">
        <v>340</v>
      </c>
      <c r="J116" s="163"/>
      <c r="K116" s="163"/>
      <c r="L116" s="163"/>
    </row>
    <row r="117" spans="1:12">
      <c r="A117" s="9">
        <f t="shared" si="6"/>
        <v>98</v>
      </c>
      <c r="C117" s="276">
        <v>45291</v>
      </c>
      <c r="D117" s="160">
        <v>91353</v>
      </c>
      <c r="E117" s="10" t="s">
        <v>489</v>
      </c>
      <c r="F117" s="160"/>
      <c r="G117" s="161">
        <v>10143.879999999999</v>
      </c>
      <c r="H117" s="160" t="s">
        <v>340</v>
      </c>
      <c r="J117" s="163"/>
      <c r="K117" s="163"/>
      <c r="L117" s="163"/>
    </row>
    <row r="118" spans="1:12">
      <c r="A118" s="9">
        <f t="shared" si="6"/>
        <v>99</v>
      </c>
      <c r="C118" s="274"/>
      <c r="D118" s="274"/>
      <c r="E118" s="274"/>
      <c r="F118" s="274"/>
      <c r="G118" s="275">
        <f>SUM(G106:G117)</f>
        <v>122194.28000000001</v>
      </c>
      <c r="H118" s="274"/>
      <c r="J118" s="163"/>
      <c r="K118" s="163"/>
      <c r="L118" s="163"/>
    </row>
    <row r="119" spans="1:12">
      <c r="A119" s="9"/>
      <c r="C119" s="160"/>
      <c r="D119" s="160"/>
      <c r="E119" s="160"/>
      <c r="F119" s="160"/>
      <c r="G119" s="161"/>
      <c r="H119" s="160"/>
      <c r="J119" s="163"/>
      <c r="K119" s="163"/>
      <c r="L119" s="163"/>
    </row>
    <row r="120" spans="1:12">
      <c r="A120" s="9">
        <f>A118+1</f>
        <v>100</v>
      </c>
      <c r="C120" s="83" t="s">
        <v>309</v>
      </c>
      <c r="D120" s="164">
        <v>930.3</v>
      </c>
      <c r="E120" s="32"/>
      <c r="F120" s="32"/>
      <c r="G120" s="32"/>
      <c r="H120" s="32"/>
      <c r="J120" s="163"/>
      <c r="K120" s="163"/>
      <c r="L120" s="163"/>
    </row>
    <row r="121" spans="1:12">
      <c r="A121" s="9">
        <f>A120+1</f>
        <v>101</v>
      </c>
      <c r="C121" s="160"/>
      <c r="D121" s="160"/>
      <c r="E121" s="160"/>
      <c r="F121" s="160"/>
      <c r="G121" s="161"/>
      <c r="H121" s="160"/>
      <c r="J121" s="163"/>
      <c r="K121" s="163"/>
      <c r="L121" s="163"/>
    </row>
    <row r="122" spans="1:12">
      <c r="A122" s="9">
        <f>A121+1</f>
        <v>102</v>
      </c>
      <c r="C122" s="158" t="s">
        <v>310</v>
      </c>
      <c r="D122" s="158" t="s">
        <v>333</v>
      </c>
      <c r="E122" s="158" t="s">
        <v>312</v>
      </c>
      <c r="F122" s="158"/>
      <c r="G122" s="159" t="s">
        <v>330</v>
      </c>
      <c r="H122" s="158" t="s">
        <v>314</v>
      </c>
      <c r="J122" s="163"/>
      <c r="K122" s="163"/>
      <c r="L122" s="163"/>
    </row>
    <row r="123" spans="1:12">
      <c r="A123" s="9">
        <f>A122+1</f>
        <v>103</v>
      </c>
      <c r="C123" s="258">
        <v>45291</v>
      </c>
      <c r="D123" s="160" t="s">
        <v>514</v>
      </c>
      <c r="E123" s="160"/>
      <c r="F123" s="160"/>
      <c r="G123" s="165">
        <v>0.28000000000000003</v>
      </c>
      <c r="H123" s="160" t="s">
        <v>341</v>
      </c>
      <c r="J123" s="163"/>
      <c r="K123" s="163"/>
      <c r="L123" s="163"/>
    </row>
    <row r="124" spans="1:12">
      <c r="A124" s="9">
        <f>A123+1</f>
        <v>104</v>
      </c>
      <c r="C124" s="15"/>
      <c r="D124" s="15"/>
      <c r="E124" s="15" t="s">
        <v>14</v>
      </c>
      <c r="F124" s="15"/>
      <c r="G124" s="166">
        <f>SUM(G123)</f>
        <v>0.28000000000000003</v>
      </c>
      <c r="H124" s="15"/>
      <c r="J124" s="163"/>
      <c r="K124" s="163"/>
      <c r="L124" s="163"/>
    </row>
    <row r="125" spans="1:12">
      <c r="J125" s="163"/>
      <c r="K125" s="163"/>
      <c r="L125" s="163"/>
    </row>
    <row r="126" spans="1:12">
      <c r="A126" s="9">
        <f>A124+1</f>
        <v>105</v>
      </c>
      <c r="C126" s="83" t="s">
        <v>309</v>
      </c>
      <c r="D126" s="167">
        <v>930.4</v>
      </c>
      <c r="F126" s="32"/>
      <c r="G126" s="32"/>
      <c r="H126" s="32"/>
      <c r="J126" s="163"/>
      <c r="K126" s="163"/>
      <c r="L126" s="163"/>
    </row>
    <row r="127" spans="1:12">
      <c r="A127" s="9">
        <f>A126+1</f>
        <v>106</v>
      </c>
      <c r="C127" s="83"/>
      <c r="J127" s="163"/>
      <c r="K127" s="163"/>
      <c r="L127" s="163"/>
    </row>
    <row r="128" spans="1:12">
      <c r="A128" s="9">
        <f>A127+1</f>
        <v>107</v>
      </c>
      <c r="C128" s="158" t="s">
        <v>310</v>
      </c>
      <c r="D128" s="158" t="s">
        <v>333</v>
      </c>
      <c r="E128" s="158" t="s">
        <v>312</v>
      </c>
      <c r="F128" s="158"/>
      <c r="G128" s="159" t="s">
        <v>330</v>
      </c>
      <c r="H128" s="158" t="s">
        <v>314</v>
      </c>
      <c r="J128" s="163"/>
      <c r="K128" s="163"/>
      <c r="L128" s="163"/>
    </row>
    <row r="129" spans="1:12">
      <c r="A129" s="9">
        <f>A128+1</f>
        <v>108</v>
      </c>
      <c r="C129" s="168" t="s">
        <v>334</v>
      </c>
      <c r="D129" s="169" t="s">
        <v>342</v>
      </c>
      <c r="E129" s="169" t="s">
        <v>343</v>
      </c>
      <c r="F129" s="169"/>
      <c r="G129" s="170">
        <v>11242.17</v>
      </c>
      <c r="H129" s="169" t="s">
        <v>344</v>
      </c>
      <c r="J129" s="163"/>
      <c r="K129" s="163"/>
      <c r="L129" s="163"/>
    </row>
    <row r="130" spans="1:12">
      <c r="A130" s="9">
        <f>A129+1</f>
        <v>109</v>
      </c>
      <c r="C130" s="171"/>
      <c r="D130" s="44"/>
      <c r="E130" s="171" t="s">
        <v>14</v>
      </c>
      <c r="F130" s="171"/>
      <c r="G130" s="172">
        <f>SUM(G129:G129)</f>
        <v>11242.17</v>
      </c>
      <c r="H130" s="171"/>
    </row>
  </sheetData>
  <mergeCells count="4">
    <mergeCell ref="A3:H3"/>
    <mergeCell ref="A4:H4"/>
    <mergeCell ref="A6:H6"/>
    <mergeCell ref="C26:H26"/>
  </mergeCells>
  <printOptions horizontalCentered="1"/>
  <pageMargins left="1" right="0.75" top="0.75" bottom="0.5" header="0.5" footer="0.5"/>
  <pageSetup scale="66" fitToHeight="4" orientation="portrait" r:id="rId1"/>
  <headerFooter alignWithMargins="0">
    <oddFooter>&amp;RExhibit JW-2
Page &amp;P of &amp;N</oddFooter>
  </headerFooter>
  <rowBreaks count="1" manualBreakCount="1">
    <brk id="73" max="16383" man="1"/>
  </rowBreaks>
  <ignoredErrors>
    <ignoredError sqref="D9:H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9"/>
  <sheetViews>
    <sheetView view="pageBreakPreview" zoomScaleNormal="100" zoomScaleSheetLayoutView="100" workbookViewId="0">
      <selection activeCell="P50" sqref="P50"/>
    </sheetView>
  </sheetViews>
  <sheetFormatPr defaultColWidth="9.140625" defaultRowHeight="12.75"/>
  <cols>
    <col min="1" max="1" width="5.85546875" style="10" customWidth="1"/>
    <col min="2" max="2" width="2.28515625" style="10" customWidth="1"/>
    <col min="3" max="3" width="38.85546875" style="10" bestFit="1" customWidth="1"/>
    <col min="4" max="4" width="10.7109375" style="10" customWidth="1"/>
    <col min="5" max="5" width="10.85546875" style="10" customWidth="1"/>
    <col min="6" max="6" width="5.85546875" style="10" customWidth="1"/>
    <col min="7" max="7" width="15.28515625" style="10" customWidth="1"/>
    <col min="8" max="8" width="15.7109375" style="10" customWidth="1"/>
    <col min="9" max="16384" width="9.140625" style="10"/>
  </cols>
  <sheetData>
    <row r="1" spans="1:8">
      <c r="E1" s="5" t="s">
        <v>237</v>
      </c>
    </row>
    <row r="2" spans="1:8" ht="20.25" customHeight="1">
      <c r="H2" s="5"/>
    </row>
    <row r="3" spans="1:8">
      <c r="A3" s="356" t="str">
        <f>RevReq!A1</f>
        <v>CUMBERLAND VALLEY ELECTRIC</v>
      </c>
      <c r="B3" s="356"/>
      <c r="C3" s="356"/>
      <c r="D3" s="356"/>
      <c r="E3" s="356"/>
      <c r="F3" s="7"/>
      <c r="G3" s="7"/>
      <c r="H3" s="7"/>
    </row>
    <row r="4" spans="1:8">
      <c r="A4" s="356" t="str">
        <f>RevReq!A3</f>
        <v>For the 12 Months Ended December 31, 2023</v>
      </c>
      <c r="B4" s="356"/>
      <c r="C4" s="356"/>
      <c r="D4" s="356"/>
      <c r="E4" s="356"/>
      <c r="F4" s="7"/>
      <c r="G4" s="7"/>
      <c r="H4" s="7"/>
    </row>
    <row r="6" spans="1:8" s="6" customFormat="1" ht="15" customHeight="1">
      <c r="A6" s="357" t="s">
        <v>444</v>
      </c>
      <c r="B6" s="357"/>
      <c r="C6" s="357"/>
      <c r="D6" s="357"/>
      <c r="E6" s="357"/>
      <c r="F6" s="357"/>
      <c r="G6" s="130"/>
      <c r="H6" s="130"/>
    </row>
    <row r="8" spans="1:8">
      <c r="A8" s="9" t="s">
        <v>0</v>
      </c>
      <c r="C8" s="9" t="s">
        <v>40</v>
      </c>
      <c r="D8" s="9"/>
      <c r="E8" s="9" t="s">
        <v>290</v>
      </c>
      <c r="F8" s="9"/>
    </row>
    <row r="9" spans="1:8">
      <c r="A9" s="11" t="s">
        <v>21</v>
      </c>
      <c r="C9" s="12" t="s">
        <v>18</v>
      </c>
      <c r="D9" s="12"/>
      <c r="E9" s="12" t="s">
        <v>20</v>
      </c>
      <c r="F9" s="9"/>
    </row>
    <row r="10" spans="1:8">
      <c r="A10" s="9"/>
      <c r="F10" s="9"/>
    </row>
    <row r="11" spans="1:8">
      <c r="A11" s="9"/>
      <c r="C11" s="2"/>
      <c r="D11" s="2"/>
      <c r="F11" s="9"/>
    </row>
    <row r="12" spans="1:8">
      <c r="A12" s="9">
        <v>1</v>
      </c>
      <c r="C12" s="2" t="s">
        <v>526</v>
      </c>
      <c r="D12" s="2"/>
      <c r="E12" s="218">
        <v>816.24</v>
      </c>
      <c r="F12" s="9"/>
    </row>
    <row r="13" spans="1:8">
      <c r="A13" s="9">
        <f>A12+1</f>
        <v>2</v>
      </c>
      <c r="C13" s="10" t="s">
        <v>445</v>
      </c>
      <c r="D13" s="2"/>
      <c r="E13" s="218">
        <v>750</v>
      </c>
      <c r="F13" s="9"/>
    </row>
    <row r="14" spans="1:8">
      <c r="A14" s="9">
        <f t="shared" ref="A14:A16" si="0">A13+1</f>
        <v>3</v>
      </c>
      <c r="C14" s="4" t="s">
        <v>14</v>
      </c>
      <c r="D14" s="4"/>
      <c r="E14" s="219">
        <f>SUM(E12:E13)</f>
        <v>1566.24</v>
      </c>
      <c r="F14" s="9"/>
    </row>
    <row r="15" spans="1:8">
      <c r="A15" s="9">
        <f t="shared" si="0"/>
        <v>4</v>
      </c>
      <c r="E15" s="2"/>
      <c r="F15" s="9"/>
    </row>
    <row r="16" spans="1:8" ht="13.5" thickBot="1">
      <c r="A16" s="9">
        <f t="shared" si="0"/>
        <v>5</v>
      </c>
      <c r="C16" s="3" t="s">
        <v>15</v>
      </c>
      <c r="D16" s="3"/>
      <c r="E16" s="280">
        <f>-E14</f>
        <v>-1566.24</v>
      </c>
      <c r="F16" s="9"/>
    </row>
    <row r="17" spans="3:8" ht="13.5" thickTop="1">
      <c r="F17" s="9"/>
    </row>
    <row r="19" spans="3:8" ht="30" customHeight="1">
      <c r="C19" s="358" t="s">
        <v>446</v>
      </c>
      <c r="D19" s="358"/>
      <c r="E19" s="358"/>
      <c r="F19" s="8"/>
      <c r="G19" s="8"/>
      <c r="H19" s="8"/>
    </row>
  </sheetData>
  <mergeCells count="4">
    <mergeCell ref="A3:E3"/>
    <mergeCell ref="A4:E4"/>
    <mergeCell ref="A6:F6"/>
    <mergeCell ref="C19:E19"/>
  </mergeCells>
  <printOptions horizontalCentered="1"/>
  <pageMargins left="1" right="0.75" top="0.75" bottom="0.5" header="0.5" footer="0.5"/>
  <pageSetup orientation="portrait" r:id="rId1"/>
  <headerFooter alignWithMargins="0">
    <oddFooter>&amp;RExhibit JW-2
Page &amp;P of &amp;N</oddFooter>
  </headerFooter>
  <ignoredErrors>
    <ignoredError sqref="C9:E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39"/>
  <sheetViews>
    <sheetView view="pageBreakPreview" zoomScaleNormal="100" zoomScaleSheetLayoutView="100" workbookViewId="0">
      <selection activeCell="P50" sqref="P50"/>
    </sheetView>
  </sheetViews>
  <sheetFormatPr defaultColWidth="9.140625" defaultRowHeight="14.25"/>
  <cols>
    <col min="1" max="1" width="5.28515625" style="104" customWidth="1"/>
    <col min="2" max="2" width="42.42578125" style="104" customWidth="1"/>
    <col min="3" max="3" width="13.85546875" style="104" bestFit="1" customWidth="1"/>
    <col min="4" max="4" width="12" style="104" bestFit="1" customWidth="1"/>
    <col min="5" max="6" width="12.7109375" style="104" bestFit="1" customWidth="1"/>
    <col min="7" max="7" width="12.42578125" style="104" customWidth="1"/>
    <col min="8" max="8" width="12.28515625" style="104" bestFit="1" customWidth="1"/>
    <col min="9" max="9" width="13.85546875" style="104" bestFit="1" customWidth="1"/>
    <col min="10" max="10" width="12.7109375" style="104" customWidth="1"/>
    <col min="11" max="11" width="13.140625" style="104" bestFit="1" customWidth="1"/>
    <col min="12" max="16384" width="9.140625" style="104"/>
  </cols>
  <sheetData>
    <row r="1" spans="1:13" s="10" customFormat="1" ht="12.75">
      <c r="I1" s="5" t="s">
        <v>28</v>
      </c>
    </row>
    <row r="2" spans="1:13" s="10" customFormat="1" ht="12.75">
      <c r="J2" s="5"/>
    </row>
    <row r="3" spans="1:13" s="10" customFormat="1" ht="12.75">
      <c r="J3" s="5"/>
    </row>
    <row r="4" spans="1:13" s="10" customFormat="1" ht="12.75">
      <c r="A4" s="356" t="str">
        <f>RevReq!A1</f>
        <v>CUMBERLAND VALLEY ELECTRIC</v>
      </c>
      <c r="B4" s="356"/>
      <c r="C4" s="356"/>
      <c r="D4" s="356"/>
      <c r="E4" s="356"/>
      <c r="F4" s="356"/>
      <c r="G4" s="356"/>
      <c r="H4" s="356"/>
      <c r="I4" s="356"/>
      <c r="J4" s="356"/>
    </row>
    <row r="5" spans="1:13" s="10" customFormat="1" ht="12.75">
      <c r="A5" s="356" t="str">
        <f>RevReq!A3</f>
        <v>For the 12 Months Ended December 31, 2023</v>
      </c>
      <c r="B5" s="356"/>
      <c r="C5" s="356"/>
      <c r="D5" s="356"/>
      <c r="E5" s="356"/>
      <c r="F5" s="356"/>
      <c r="G5" s="356"/>
      <c r="H5" s="356"/>
      <c r="I5" s="356"/>
      <c r="J5" s="356"/>
      <c r="K5" s="7"/>
    </row>
    <row r="6" spans="1:13" s="10" customFormat="1" ht="12.75">
      <c r="A6" s="7"/>
      <c r="B6" s="7"/>
      <c r="C6" s="7"/>
      <c r="D6" s="7"/>
      <c r="E6" s="7"/>
      <c r="F6" s="7"/>
      <c r="G6" s="7"/>
      <c r="H6" s="7"/>
      <c r="I6" s="7"/>
      <c r="J6" s="7"/>
      <c r="K6" s="7"/>
    </row>
    <row r="7" spans="1:13" s="10" customFormat="1" ht="12.75">
      <c r="A7" s="357" t="s">
        <v>244</v>
      </c>
      <c r="B7" s="357"/>
      <c r="C7" s="357"/>
      <c r="D7" s="357"/>
      <c r="E7" s="357"/>
      <c r="F7" s="357"/>
      <c r="G7" s="357"/>
      <c r="H7" s="357"/>
      <c r="I7" s="357"/>
      <c r="J7" s="357"/>
    </row>
    <row r="8" spans="1:13" s="10" customFormat="1" ht="12.75"/>
    <row r="9" spans="1:13" ht="15">
      <c r="A9" s="146" t="s">
        <v>21</v>
      </c>
      <c r="B9" s="105" t="s">
        <v>40</v>
      </c>
      <c r="C9" s="105" t="s">
        <v>279</v>
      </c>
      <c r="D9" s="105" t="s">
        <v>280</v>
      </c>
      <c r="E9" s="105" t="s">
        <v>281</v>
      </c>
      <c r="F9" s="105" t="s">
        <v>245</v>
      </c>
      <c r="G9" s="105" t="s">
        <v>282</v>
      </c>
      <c r="H9" s="105" t="s">
        <v>283</v>
      </c>
      <c r="I9" s="105" t="s">
        <v>284</v>
      </c>
    </row>
    <row r="10" spans="1:13">
      <c r="A10" s="106">
        <v>1</v>
      </c>
      <c r="B10" s="106"/>
      <c r="C10" s="107"/>
      <c r="D10" s="107"/>
      <c r="E10" s="107"/>
      <c r="F10" s="107"/>
      <c r="G10" s="107"/>
      <c r="H10" s="107"/>
      <c r="I10" s="107"/>
      <c r="K10" s="107"/>
      <c r="L10" s="107"/>
    </row>
    <row r="11" spans="1:13">
      <c r="A11" s="106">
        <v>2</v>
      </c>
      <c r="B11" s="106" t="s">
        <v>486</v>
      </c>
      <c r="C11" s="107">
        <v>-825</v>
      </c>
      <c r="D11" s="107">
        <v>-825</v>
      </c>
      <c r="E11" s="107"/>
      <c r="F11" s="107">
        <v>-825</v>
      </c>
      <c r="G11" s="107"/>
      <c r="H11" s="107"/>
      <c r="I11" s="107">
        <v>-495</v>
      </c>
      <c r="K11" s="107"/>
      <c r="L11" s="107"/>
    </row>
    <row r="12" spans="1:13">
      <c r="A12" s="106">
        <v>3</v>
      </c>
      <c r="B12" s="106" t="s">
        <v>285</v>
      </c>
      <c r="C12" s="107"/>
      <c r="D12" s="107"/>
      <c r="E12" s="107"/>
      <c r="F12" s="107"/>
      <c r="G12" s="107">
        <f>-1535.25-337.14</f>
        <v>-1872.3899999999999</v>
      </c>
      <c r="H12" s="107"/>
      <c r="I12" s="107">
        <v>-594.87</v>
      </c>
      <c r="K12" s="107"/>
      <c r="L12" s="107"/>
    </row>
    <row r="13" spans="1:13">
      <c r="A13" s="106">
        <v>4</v>
      </c>
      <c r="B13" s="106" t="s">
        <v>286</v>
      </c>
      <c r="C13" s="107">
        <v>-150.77000000000001</v>
      </c>
      <c r="D13" s="107"/>
      <c r="E13" s="107"/>
      <c r="F13" s="107"/>
      <c r="G13" s="107">
        <v>-194.58</v>
      </c>
      <c r="H13" s="107"/>
      <c r="I13" s="107">
        <v>-194.58</v>
      </c>
      <c r="K13" s="107"/>
      <c r="L13" s="107"/>
    </row>
    <row r="14" spans="1:13">
      <c r="A14" s="106">
        <v>5</v>
      </c>
      <c r="B14" s="106" t="s">
        <v>287</v>
      </c>
      <c r="C14" s="107"/>
      <c r="D14" s="107"/>
      <c r="E14" s="107">
        <v>-35.01</v>
      </c>
      <c r="F14" s="107"/>
      <c r="G14" s="107">
        <v>-67.319999999999993</v>
      </c>
      <c r="H14" s="107">
        <v>-67.319999999999993</v>
      </c>
      <c r="I14" s="107"/>
      <c r="K14" s="107"/>
      <c r="L14" s="107"/>
    </row>
    <row r="15" spans="1:13">
      <c r="A15" s="106">
        <v>8</v>
      </c>
      <c r="B15" s="106" t="s">
        <v>288</v>
      </c>
      <c r="C15" s="107"/>
      <c r="D15" s="107"/>
      <c r="E15" s="107">
        <v>-4.5</v>
      </c>
      <c r="F15" s="107"/>
      <c r="G15" s="107">
        <v>-6.93</v>
      </c>
      <c r="H15" s="107">
        <v>-6.93</v>
      </c>
      <c r="I15" s="107"/>
      <c r="K15" s="107"/>
      <c r="L15" s="107"/>
    </row>
    <row r="16" spans="1:13">
      <c r="A16" s="106">
        <v>9</v>
      </c>
      <c r="B16" s="106"/>
      <c r="C16" s="107"/>
      <c r="D16" s="107"/>
      <c r="E16" s="107"/>
      <c r="F16" s="107"/>
      <c r="G16" s="107"/>
      <c r="H16" s="107"/>
      <c r="I16" s="107"/>
      <c r="K16" s="107"/>
      <c r="L16" s="107"/>
      <c r="M16" s="104" t="s">
        <v>363</v>
      </c>
    </row>
    <row r="17" spans="1:14">
      <c r="A17" s="106">
        <v>10</v>
      </c>
      <c r="B17" s="293" t="s">
        <v>539</v>
      </c>
      <c r="C17" s="147">
        <f>SUM(C10:C16)</f>
        <v>-975.77</v>
      </c>
      <c r="D17" s="147">
        <f t="shared" ref="D17:I17" si="0">SUM(D10:D16)</f>
        <v>-825</v>
      </c>
      <c r="E17" s="147">
        <f t="shared" si="0"/>
        <v>-39.51</v>
      </c>
      <c r="F17" s="147">
        <f t="shared" si="0"/>
        <v>-825</v>
      </c>
      <c r="G17" s="147">
        <f t="shared" si="0"/>
        <v>-2141.2199999999998</v>
      </c>
      <c r="H17" s="147">
        <f t="shared" si="0"/>
        <v>-74.25</v>
      </c>
      <c r="I17" s="147">
        <f t="shared" si="0"/>
        <v>-1284.4499999999998</v>
      </c>
      <c r="K17" s="107"/>
      <c r="L17" s="107"/>
    </row>
    <row r="18" spans="1:14">
      <c r="A18" s="106">
        <v>11</v>
      </c>
      <c r="C18" s="108"/>
      <c r="D18" s="108"/>
      <c r="E18" s="108"/>
      <c r="F18" s="108"/>
      <c r="G18" s="108"/>
      <c r="H18" s="108"/>
      <c r="I18" s="108"/>
      <c r="K18" s="107"/>
      <c r="L18" s="107"/>
    </row>
    <row r="19" spans="1:14">
      <c r="A19" s="106">
        <v>12</v>
      </c>
      <c r="B19" s="108"/>
      <c r="C19" s="108"/>
      <c r="D19" s="108"/>
      <c r="E19" s="108"/>
      <c r="F19" s="108"/>
      <c r="G19" s="108"/>
      <c r="H19" s="108"/>
      <c r="I19" s="108"/>
      <c r="J19" s="108"/>
      <c r="L19" s="107"/>
      <c r="M19" s="107"/>
    </row>
    <row r="20" spans="1:14">
      <c r="A20" s="106">
        <v>13</v>
      </c>
      <c r="C20" s="108"/>
      <c r="D20" s="108"/>
      <c r="E20" s="108"/>
      <c r="F20" s="108"/>
      <c r="G20" s="108"/>
      <c r="H20" s="108"/>
      <c r="I20" s="108"/>
      <c r="J20" s="108"/>
      <c r="L20" s="107"/>
      <c r="M20" s="107"/>
    </row>
    <row r="21" spans="1:14" ht="15">
      <c r="A21" s="106">
        <v>14</v>
      </c>
      <c r="B21" s="148" t="s">
        <v>289</v>
      </c>
      <c r="C21" s="105" t="s">
        <v>290</v>
      </c>
      <c r="D21" s="108"/>
      <c r="E21" s="108"/>
      <c r="F21" s="108"/>
      <c r="G21" s="108"/>
      <c r="H21" s="108"/>
      <c r="I21" s="108"/>
      <c r="J21" s="108"/>
      <c r="K21" s="107"/>
      <c r="L21" s="107"/>
      <c r="M21" s="107"/>
    </row>
    <row r="22" spans="1:14">
      <c r="A22" s="106">
        <v>15</v>
      </c>
      <c r="C22" s="108"/>
      <c r="D22" s="108"/>
      <c r="H22" s="108"/>
      <c r="I22" s="108"/>
      <c r="J22" s="108"/>
      <c r="K22" s="107"/>
      <c r="L22" s="107"/>
      <c r="M22" s="107"/>
    </row>
    <row r="23" spans="1:14">
      <c r="A23" s="106">
        <v>17</v>
      </c>
      <c r="B23" s="106" t="s">
        <v>486</v>
      </c>
      <c r="C23" s="108">
        <f>SUM(C11:I11)</f>
        <v>-2970</v>
      </c>
      <c r="D23" s="108"/>
      <c r="G23" s="104" t="s">
        <v>36</v>
      </c>
      <c r="I23" s="126">
        <v>87363.64</v>
      </c>
      <c r="J23" s="108"/>
    </row>
    <row r="24" spans="1:14">
      <c r="A24" s="106">
        <v>18</v>
      </c>
      <c r="B24" s="106" t="s">
        <v>285</v>
      </c>
      <c r="C24" s="108">
        <f>SUM(C12:I12)</f>
        <v>-2467.2599999999998</v>
      </c>
      <c r="D24" s="108"/>
      <c r="I24" s="126"/>
      <c r="J24" s="108"/>
    </row>
    <row r="25" spans="1:14">
      <c r="A25" s="106">
        <v>19</v>
      </c>
      <c r="B25" s="106" t="s">
        <v>286</v>
      </c>
      <c r="C25" s="108">
        <f>SUM(C13:I13)</f>
        <v>-539.93000000000006</v>
      </c>
      <c r="D25" s="108"/>
      <c r="G25" s="104" t="s">
        <v>151</v>
      </c>
      <c r="I25" s="221">
        <f>+I23+C29</f>
        <v>81198.44</v>
      </c>
      <c r="J25" s="108"/>
    </row>
    <row r="26" spans="1:14">
      <c r="A26" s="106">
        <v>20</v>
      </c>
      <c r="B26" s="106" t="s">
        <v>287</v>
      </c>
      <c r="C26" s="108">
        <f>SUM(C14:I14)</f>
        <v>-169.64999999999998</v>
      </c>
      <c r="D26" s="108"/>
      <c r="I26" s="221"/>
      <c r="J26" s="108"/>
    </row>
    <row r="27" spans="1:14" ht="15.75" thickBot="1">
      <c r="A27" s="106">
        <v>21</v>
      </c>
      <c r="B27" s="106" t="s">
        <v>288</v>
      </c>
      <c r="C27" s="150">
        <f>SUM(C15:I15)</f>
        <v>-18.36</v>
      </c>
      <c r="D27" s="108"/>
      <c r="G27" s="151" t="s">
        <v>15</v>
      </c>
      <c r="H27" s="151"/>
      <c r="I27" s="281">
        <f>I25-I23</f>
        <v>-6165.1999999999971</v>
      </c>
      <c r="J27" s="108"/>
    </row>
    <row r="28" spans="1:14" ht="15" thickTop="1">
      <c r="A28" s="106">
        <v>22</v>
      </c>
      <c r="B28" s="152"/>
      <c r="C28" s="153"/>
      <c r="D28" s="108"/>
      <c r="I28" s="149"/>
      <c r="J28" s="108"/>
    </row>
    <row r="29" spans="1:14" ht="14.25" customHeight="1">
      <c r="A29" s="106">
        <v>23</v>
      </c>
      <c r="B29" s="104" t="s">
        <v>291</v>
      </c>
      <c r="C29" s="107">
        <f>SUM(C22:C27)</f>
        <v>-6165.2</v>
      </c>
      <c r="D29" s="145"/>
      <c r="E29" s="145"/>
      <c r="F29" s="145"/>
      <c r="G29" s="145"/>
      <c r="H29" s="145"/>
      <c r="I29" s="145"/>
      <c r="J29" s="145"/>
      <c r="K29" s="145"/>
      <c r="L29" s="145"/>
      <c r="M29" s="145"/>
      <c r="N29" s="145"/>
    </row>
    <row r="30" spans="1:14" ht="14.25" customHeight="1">
      <c r="A30" s="106">
        <v>24</v>
      </c>
      <c r="C30" s="107"/>
      <c r="D30" s="145"/>
      <c r="E30" s="145"/>
      <c r="F30" s="145"/>
      <c r="G30" s="145"/>
      <c r="H30" s="145"/>
      <c r="I30" s="145"/>
      <c r="J30" s="145"/>
      <c r="K30" s="145"/>
      <c r="L30" s="145"/>
      <c r="M30" s="145"/>
      <c r="N30" s="145"/>
    </row>
    <row r="31" spans="1:14">
      <c r="D31" s="108"/>
      <c r="E31" s="108"/>
      <c r="F31" s="108"/>
      <c r="G31" s="108"/>
      <c r="H31" s="108"/>
      <c r="I31" s="108"/>
      <c r="J31" s="108"/>
    </row>
    <row r="32" spans="1:14" ht="14.25" customHeight="1">
      <c r="B32" s="358" t="s">
        <v>246</v>
      </c>
      <c r="C32" s="358"/>
      <c r="D32" s="358"/>
      <c r="E32" s="358"/>
      <c r="F32" s="358"/>
      <c r="G32" s="358"/>
      <c r="H32" s="358"/>
      <c r="I32" s="358"/>
      <c r="J32" s="358"/>
      <c r="K32" s="358"/>
    </row>
    <row r="33" spans="3:10">
      <c r="D33" s="108"/>
      <c r="E33" s="108"/>
      <c r="F33" s="108"/>
      <c r="G33" s="108"/>
      <c r="H33" s="108"/>
      <c r="I33" s="108"/>
      <c r="J33" s="108"/>
    </row>
    <row r="34" spans="3:10">
      <c r="D34" s="108"/>
      <c r="E34" s="108"/>
      <c r="F34" s="108"/>
      <c r="G34" s="108"/>
      <c r="H34" s="108"/>
      <c r="I34" s="108"/>
      <c r="J34" s="108"/>
    </row>
    <row r="35" spans="3:10">
      <c r="D35" s="108"/>
      <c r="E35" s="108"/>
      <c r="F35" s="108"/>
      <c r="G35" s="108"/>
      <c r="H35" s="108"/>
      <c r="I35" s="108"/>
      <c r="J35" s="108"/>
    </row>
    <row r="36" spans="3:10">
      <c r="C36" s="108"/>
      <c r="D36" s="108"/>
      <c r="E36" s="108"/>
      <c r="F36" s="108"/>
      <c r="G36" s="108"/>
      <c r="H36" s="108"/>
      <c r="I36" s="108"/>
      <c r="J36" s="108"/>
    </row>
    <row r="37" spans="3:10">
      <c r="C37" s="108"/>
    </row>
    <row r="38" spans="3:10">
      <c r="C38" s="108"/>
    </row>
    <row r="39" spans="3:10">
      <c r="C39" s="108"/>
    </row>
  </sheetData>
  <mergeCells count="4">
    <mergeCell ref="A4:J4"/>
    <mergeCell ref="A5:J5"/>
    <mergeCell ref="A7:J7"/>
    <mergeCell ref="B32:K32"/>
  </mergeCells>
  <printOptions horizontalCentered="1"/>
  <pageMargins left="0.7" right="0.7" top="0.75" bottom="0.75" header="0.3" footer="0.3"/>
  <pageSetup scale="88" orientation="landscape" r:id="rId1"/>
  <headerFooter>
    <oddFooter>&amp;RExhibit JW-2
Page &amp;P of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20624-27E4-4AF6-973D-BAAF2B822F8E}">
  <dimension ref="A1:AF145"/>
  <sheetViews>
    <sheetView view="pageBreakPreview" topLeftCell="A101" zoomScaleNormal="100" zoomScaleSheetLayoutView="100" workbookViewId="0">
      <selection activeCell="R131" sqref="R131"/>
    </sheetView>
  </sheetViews>
  <sheetFormatPr defaultColWidth="9.140625" defaultRowHeight="12.75"/>
  <cols>
    <col min="1" max="1" width="5.85546875" style="1" customWidth="1"/>
    <col min="2" max="2" width="1.28515625" style="2" customWidth="1"/>
    <col min="3" max="3" width="6.42578125" style="1" customWidth="1"/>
    <col min="4" max="4" width="8.85546875" style="1" customWidth="1"/>
    <col min="5" max="5" width="11.140625" style="2" hidden="1" customWidth="1"/>
    <col min="6" max="6" width="4.5703125" style="1" customWidth="1"/>
    <col min="7" max="7" width="1.42578125" style="1" customWidth="1"/>
    <col min="8" max="8" width="11.140625" style="2" bestFit="1" customWidth="1"/>
    <col min="9" max="9" width="17.7109375" style="2" customWidth="1"/>
    <col min="10" max="10" width="12.7109375" style="2" customWidth="1"/>
    <col min="11" max="11" width="10" style="2" customWidth="1"/>
    <col min="12" max="12" width="1.28515625" style="2" customWidth="1"/>
    <col min="13" max="13" width="14" style="2" bestFit="1" customWidth="1"/>
    <col min="14" max="14" width="8.85546875" style="2" customWidth="1"/>
    <col min="15" max="15" width="12.7109375" style="2" customWidth="1"/>
    <col min="16" max="16" width="11.140625" style="2" customWidth="1"/>
    <col min="17" max="17" width="8.28515625" style="2" customWidth="1"/>
    <col min="18" max="18" width="11.5703125" style="2" customWidth="1"/>
    <col min="19" max="19" width="1.140625" style="2" customWidth="1"/>
    <col min="20" max="20" width="9.28515625" style="2" bestFit="1" customWidth="1"/>
    <col min="21" max="21" width="0.85546875" style="2" customWidth="1"/>
    <col min="22" max="22" width="11" style="2" customWidth="1"/>
    <col min="23" max="23" width="9" style="2" customWidth="1"/>
    <col min="24" max="24" width="12.7109375" style="2" customWidth="1"/>
    <col min="25" max="25" width="9.42578125" style="2" customWidth="1"/>
    <col min="26" max="26" width="8.42578125" style="2" bestFit="1" customWidth="1"/>
    <col min="27" max="27" width="10" style="2" customWidth="1"/>
    <col min="28" max="28" width="1" style="2" customWidth="1"/>
    <col min="29" max="29" width="11.5703125" style="2" customWidth="1"/>
    <col min="30" max="30" width="9.140625" style="2"/>
    <col min="31" max="31" width="9.140625" style="260"/>
    <col min="32" max="32" width="9.140625" style="261"/>
    <col min="33" max="16384" width="9.140625" style="2"/>
  </cols>
  <sheetData>
    <row r="1" spans="1:32">
      <c r="AC1" s="109" t="s">
        <v>468</v>
      </c>
    </row>
    <row r="2" spans="1:32" ht="9.75" customHeight="1">
      <c r="M2" s="109"/>
    </row>
    <row r="3" spans="1:32">
      <c r="A3" s="359" t="str">
        <f>RevReq!A1</f>
        <v>CUMBERLAND VALLEY ELECTRIC</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row>
    <row r="4" spans="1:32">
      <c r="A4" s="359" t="str">
        <f>RevReq!A3</f>
        <v>For the 12 Months Ended December 31, 2023</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row>
    <row r="6" spans="1:32" s="110" customFormat="1" ht="15" customHeight="1">
      <c r="A6" s="357" t="s">
        <v>238</v>
      </c>
      <c r="B6" s="357"/>
      <c r="C6" s="357"/>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E6" s="262"/>
      <c r="AF6" s="263"/>
    </row>
    <row r="7" spans="1:32" ht="7.5" customHeight="1">
      <c r="AB7" s="110"/>
    </row>
    <row r="8" spans="1:32" ht="20.25" customHeight="1">
      <c r="C8" s="365" t="s">
        <v>258</v>
      </c>
      <c r="D8" s="365"/>
      <c r="E8" s="365"/>
      <c r="F8" s="365"/>
      <c r="H8" s="365" t="s">
        <v>247</v>
      </c>
      <c r="I8" s="365"/>
      <c r="J8" s="365"/>
      <c r="K8" s="365"/>
      <c r="M8" s="365" t="s">
        <v>248</v>
      </c>
      <c r="N8" s="365"/>
      <c r="O8" s="365"/>
      <c r="P8" s="365"/>
      <c r="Q8" s="365"/>
      <c r="R8" s="365"/>
      <c r="S8" s="1"/>
      <c r="T8" s="364" t="s">
        <v>535</v>
      </c>
      <c r="V8" s="365" t="s">
        <v>249</v>
      </c>
      <c r="W8" s="365"/>
      <c r="X8" s="365"/>
      <c r="Y8" s="365"/>
      <c r="Z8" s="365"/>
      <c r="AA8" s="365"/>
      <c r="AB8" s="110"/>
      <c r="AC8" s="364" t="s">
        <v>250</v>
      </c>
    </row>
    <row r="9" spans="1:32" ht="16.5" customHeight="1">
      <c r="A9" s="1" t="s">
        <v>0</v>
      </c>
      <c r="C9" s="1" t="s">
        <v>359</v>
      </c>
      <c r="D9" s="1" t="s">
        <v>251</v>
      </c>
      <c r="E9" s="111" t="s">
        <v>252</v>
      </c>
      <c r="F9" s="1" t="s">
        <v>257</v>
      </c>
      <c r="G9" s="112"/>
      <c r="H9" s="38" t="s">
        <v>253</v>
      </c>
      <c r="I9" s="38" t="s">
        <v>254</v>
      </c>
      <c r="J9" s="38" t="s">
        <v>527</v>
      </c>
      <c r="K9" s="38" t="s">
        <v>360</v>
      </c>
      <c r="L9" s="112"/>
      <c r="M9" s="38" t="s">
        <v>253</v>
      </c>
      <c r="N9" s="38" t="s">
        <v>254</v>
      </c>
      <c r="O9" s="38" t="s">
        <v>527</v>
      </c>
      <c r="P9" s="38" t="s">
        <v>360</v>
      </c>
      <c r="Q9" s="38" t="s">
        <v>361</v>
      </c>
      <c r="R9" s="38" t="s">
        <v>43</v>
      </c>
      <c r="S9" s="113"/>
      <c r="T9" s="364"/>
      <c r="U9" s="113"/>
      <c r="V9" s="38" t="s">
        <v>253</v>
      </c>
      <c r="W9" s="38" t="s">
        <v>254</v>
      </c>
      <c r="X9" s="38" t="s">
        <v>527</v>
      </c>
      <c r="Y9" s="38" t="s">
        <v>360</v>
      </c>
      <c r="Z9" s="38" t="s">
        <v>361</v>
      </c>
      <c r="AA9" s="38" t="s">
        <v>43</v>
      </c>
      <c r="AB9" s="114"/>
      <c r="AC9" s="364"/>
    </row>
    <row r="10" spans="1:32">
      <c r="A10" s="39" t="s">
        <v>21</v>
      </c>
      <c r="C10" s="40">
        <v>1</v>
      </c>
      <c r="D10" s="40">
        <f>C10+1</f>
        <v>2</v>
      </c>
      <c r="E10" s="115" t="s">
        <v>255</v>
      </c>
      <c r="F10" s="40">
        <f>D10+1</f>
        <v>3</v>
      </c>
      <c r="G10" s="112"/>
      <c r="H10" s="40">
        <f>F10+1</f>
        <v>4</v>
      </c>
      <c r="I10" s="40">
        <f>H10+1</f>
        <v>5</v>
      </c>
      <c r="J10" s="40">
        <f>I10+1</f>
        <v>6</v>
      </c>
      <c r="K10" s="40">
        <f>J10+1</f>
        <v>7</v>
      </c>
      <c r="L10" s="112"/>
      <c r="M10" s="40">
        <f>K10+1</f>
        <v>8</v>
      </c>
      <c r="N10" s="40">
        <f>M10+1</f>
        <v>9</v>
      </c>
      <c r="O10" s="40">
        <f>N10+1</f>
        <v>10</v>
      </c>
      <c r="P10" s="40">
        <f>O10+1</f>
        <v>11</v>
      </c>
      <c r="Q10" s="40">
        <f>P10+1</f>
        <v>12</v>
      </c>
      <c r="R10" s="40">
        <f>Q10+1</f>
        <v>13</v>
      </c>
      <c r="S10" s="113"/>
      <c r="T10" s="40">
        <f>R10+1</f>
        <v>14</v>
      </c>
      <c r="U10" s="113"/>
      <c r="V10" s="40">
        <f>T10+1</f>
        <v>15</v>
      </c>
      <c r="W10" s="40">
        <f>V10+1</f>
        <v>16</v>
      </c>
      <c r="X10" s="40">
        <f t="shared" ref="X10:Y10" si="0">W10+1</f>
        <v>17</v>
      </c>
      <c r="Y10" s="40">
        <f t="shared" si="0"/>
        <v>18</v>
      </c>
      <c r="Z10" s="40">
        <f>Y10+1</f>
        <v>19</v>
      </c>
      <c r="AA10" s="40">
        <f>Z10+1</f>
        <v>20</v>
      </c>
      <c r="AB10" s="114"/>
      <c r="AC10" s="40">
        <f>AA10+1</f>
        <v>21</v>
      </c>
    </row>
    <row r="11" spans="1:32">
      <c r="G11" s="112"/>
      <c r="L11" s="112"/>
      <c r="S11" s="113"/>
      <c r="U11" s="113"/>
      <c r="AB11" s="114"/>
    </row>
    <row r="12" spans="1:32" s="264" customFormat="1">
      <c r="A12" s="289">
        <v>1</v>
      </c>
      <c r="B12" s="2"/>
      <c r="C12" s="289">
        <v>1</v>
      </c>
      <c r="D12" s="289">
        <v>1201</v>
      </c>
      <c r="E12" s="265">
        <v>14</v>
      </c>
      <c r="F12" s="288" t="s">
        <v>127</v>
      </c>
      <c r="G12" s="112"/>
      <c r="H12" s="177">
        <v>2088</v>
      </c>
      <c r="I12" s="177">
        <v>0</v>
      </c>
      <c r="J12" s="177">
        <v>0</v>
      </c>
      <c r="K12" s="177">
        <v>0</v>
      </c>
      <c r="L12" s="112"/>
      <c r="M12" s="177">
        <v>97496.34</v>
      </c>
      <c r="N12" s="177">
        <v>0</v>
      </c>
      <c r="O12" s="177">
        <v>0</v>
      </c>
      <c r="P12" s="177">
        <v>0</v>
      </c>
      <c r="Q12" s="177">
        <v>250</v>
      </c>
      <c r="R12" s="177">
        <f>SUM(M12:Q12)</f>
        <v>97746.34</v>
      </c>
      <c r="S12" s="113"/>
      <c r="T12" s="290">
        <v>51.08</v>
      </c>
      <c r="U12" s="113"/>
      <c r="V12" s="177">
        <v>0</v>
      </c>
      <c r="W12" s="177">
        <v>0</v>
      </c>
      <c r="X12" s="177">
        <v>0</v>
      </c>
      <c r="Y12" s="177">
        <v>0</v>
      </c>
      <c r="Z12" s="177">
        <v>0</v>
      </c>
      <c r="AA12" s="177">
        <f t="shared" ref="AA12:AA21" si="1">SUM(V12:Z12)</f>
        <v>0</v>
      </c>
      <c r="AB12" s="114"/>
      <c r="AC12" s="177">
        <f>AA12-R12</f>
        <v>-97746.34</v>
      </c>
      <c r="AD12" s="294">
        <f>AA12/R12-1</f>
        <v>-1</v>
      </c>
      <c r="AE12" s="267"/>
      <c r="AF12" s="268"/>
    </row>
    <row r="13" spans="1:32" s="264" customFormat="1">
      <c r="A13" s="289">
        <f>A12+1</f>
        <v>2</v>
      </c>
      <c r="B13" s="2"/>
      <c r="C13" s="289">
        <v>1</v>
      </c>
      <c r="D13" s="289">
        <v>1211</v>
      </c>
      <c r="E13" s="265">
        <v>16</v>
      </c>
      <c r="F13" s="288" t="s">
        <v>127</v>
      </c>
      <c r="G13" s="112"/>
      <c r="H13" s="177">
        <v>2100</v>
      </c>
      <c r="I13" s="177">
        <v>0</v>
      </c>
      <c r="J13" s="177">
        <v>0</v>
      </c>
      <c r="K13" s="177">
        <v>80</v>
      </c>
      <c r="L13" s="112"/>
      <c r="M13" s="177">
        <v>120166.83</v>
      </c>
      <c r="N13" s="177">
        <v>0</v>
      </c>
      <c r="O13" s="177">
        <v>0</v>
      </c>
      <c r="P13" s="177">
        <v>4568.8</v>
      </c>
      <c r="Q13" s="177">
        <v>250</v>
      </c>
      <c r="R13" s="177">
        <f t="shared" ref="R13:R22" si="2">SUM(M13:Q13)</f>
        <v>124985.63</v>
      </c>
      <c r="S13" s="113"/>
      <c r="T13" s="290">
        <v>62.95</v>
      </c>
      <c r="U13" s="113"/>
      <c r="V13" s="177">
        <v>0</v>
      </c>
      <c r="W13" s="177">
        <v>0</v>
      </c>
      <c r="X13" s="177">
        <v>0</v>
      </c>
      <c r="Y13" s="177">
        <v>0</v>
      </c>
      <c r="Z13" s="177">
        <v>0</v>
      </c>
      <c r="AA13" s="177">
        <f t="shared" si="1"/>
        <v>0</v>
      </c>
      <c r="AB13" s="114"/>
      <c r="AC13" s="177">
        <f t="shared" ref="AC13:AC22" si="3">AA13-R13</f>
        <v>-124985.63</v>
      </c>
      <c r="AD13" s="294">
        <f t="shared" ref="AD13:AD76" si="4">AA13/R13-1</f>
        <v>-1</v>
      </c>
      <c r="AE13" s="267"/>
      <c r="AF13" s="268"/>
    </row>
    <row r="14" spans="1:32" s="264" customFormat="1">
      <c r="A14" s="289">
        <f t="shared" ref="A14:A45" si="5">A13+1</f>
        <v>3</v>
      </c>
      <c r="B14" s="2"/>
      <c r="C14" s="289">
        <v>1</v>
      </c>
      <c r="D14" s="289">
        <v>1215</v>
      </c>
      <c r="E14" s="265"/>
      <c r="F14" s="288" t="s">
        <v>260</v>
      </c>
      <c r="G14" s="112"/>
      <c r="H14" s="177">
        <v>0</v>
      </c>
      <c r="I14" s="177">
        <v>0</v>
      </c>
      <c r="J14" s="177">
        <v>0</v>
      </c>
      <c r="K14" s="177">
        <v>0</v>
      </c>
      <c r="L14" s="112"/>
      <c r="M14" s="177">
        <v>0</v>
      </c>
      <c r="N14" s="177">
        <v>0</v>
      </c>
      <c r="O14" s="177">
        <v>0</v>
      </c>
      <c r="P14" s="177">
        <v>0</v>
      </c>
      <c r="Q14" s="177">
        <v>0</v>
      </c>
      <c r="R14" s="177">
        <f t="shared" si="2"/>
        <v>0</v>
      </c>
      <c r="S14" s="113"/>
      <c r="T14" s="290">
        <v>62.95</v>
      </c>
      <c r="U14" s="113"/>
      <c r="V14" s="177">
        <f t="shared" ref="V14:V21" si="6">2080*T14</f>
        <v>130936</v>
      </c>
      <c r="W14" s="177">
        <v>0</v>
      </c>
      <c r="X14" s="177">
        <v>0</v>
      </c>
      <c r="Y14" s="177">
        <v>0</v>
      </c>
      <c r="Z14" s="177">
        <v>250</v>
      </c>
      <c r="AA14" s="177">
        <f t="shared" si="1"/>
        <v>131186</v>
      </c>
      <c r="AB14" s="114"/>
      <c r="AC14" s="177">
        <f t="shared" si="3"/>
        <v>131186</v>
      </c>
      <c r="AD14" s="294" t="e">
        <f t="shared" si="4"/>
        <v>#DIV/0!</v>
      </c>
      <c r="AE14" s="267"/>
      <c r="AF14" s="268"/>
    </row>
    <row r="15" spans="1:32" s="264" customFormat="1">
      <c r="A15" s="289">
        <f t="shared" si="5"/>
        <v>4</v>
      </c>
      <c r="B15" s="2"/>
      <c r="C15" s="289">
        <v>1</v>
      </c>
      <c r="D15" s="289">
        <v>1218</v>
      </c>
      <c r="E15" s="265">
        <v>130</v>
      </c>
      <c r="F15" s="288"/>
      <c r="G15" s="112"/>
      <c r="H15" s="177">
        <v>2088</v>
      </c>
      <c r="I15" s="177">
        <v>0</v>
      </c>
      <c r="J15" s="177">
        <v>0</v>
      </c>
      <c r="K15" s="177">
        <v>0</v>
      </c>
      <c r="L15" s="112"/>
      <c r="M15" s="177">
        <v>194343.19</v>
      </c>
      <c r="N15" s="177">
        <v>0</v>
      </c>
      <c r="O15" s="177">
        <v>0</v>
      </c>
      <c r="P15" s="177">
        <v>0</v>
      </c>
      <c r="Q15" s="177">
        <v>0</v>
      </c>
      <c r="R15" s="177">
        <f t="shared" si="2"/>
        <v>194343.19</v>
      </c>
      <c r="S15" s="113"/>
      <c r="T15" s="290">
        <v>101.81</v>
      </c>
      <c r="U15" s="113"/>
      <c r="V15" s="177">
        <f t="shared" si="6"/>
        <v>211764.80000000002</v>
      </c>
      <c r="W15" s="177">
        <v>0</v>
      </c>
      <c r="X15" s="177">
        <v>0</v>
      </c>
      <c r="Y15" s="177">
        <v>0</v>
      </c>
      <c r="Z15" s="177">
        <v>250</v>
      </c>
      <c r="AA15" s="177">
        <f t="shared" si="1"/>
        <v>212014.80000000002</v>
      </c>
      <c r="AB15" s="114"/>
      <c r="AC15" s="177">
        <f t="shared" si="3"/>
        <v>17671.610000000015</v>
      </c>
      <c r="AD15" s="294">
        <f t="shared" si="4"/>
        <v>9.0929916299099522E-2</v>
      </c>
      <c r="AE15" s="267"/>
      <c r="AF15" s="268"/>
    </row>
    <row r="16" spans="1:32" s="264" customFormat="1">
      <c r="A16" s="289">
        <f t="shared" si="5"/>
        <v>5</v>
      </c>
      <c r="B16" s="2"/>
      <c r="C16" s="289">
        <v>1</v>
      </c>
      <c r="D16" s="289">
        <v>1224</v>
      </c>
      <c r="E16" s="265">
        <v>136</v>
      </c>
      <c r="F16" s="288"/>
      <c r="G16" s="112"/>
      <c r="H16" s="177">
        <v>2088</v>
      </c>
      <c r="I16" s="177">
        <v>0</v>
      </c>
      <c r="J16" s="177">
        <v>0</v>
      </c>
      <c r="K16" s="177">
        <v>0</v>
      </c>
      <c r="L16" s="112"/>
      <c r="M16" s="177">
        <v>139018.32999999999</v>
      </c>
      <c r="N16" s="177">
        <v>0</v>
      </c>
      <c r="O16" s="177">
        <v>0</v>
      </c>
      <c r="P16" s="177">
        <v>0</v>
      </c>
      <c r="Q16" s="177">
        <v>250</v>
      </c>
      <c r="R16" s="177">
        <f t="shared" si="2"/>
        <v>139268.32999999999</v>
      </c>
      <c r="S16" s="113"/>
      <c r="T16" s="290">
        <v>72.83</v>
      </c>
      <c r="U16" s="113"/>
      <c r="V16" s="177">
        <f t="shared" si="6"/>
        <v>151486.39999999999</v>
      </c>
      <c r="W16" s="177">
        <v>0</v>
      </c>
      <c r="X16" s="177">
        <v>0</v>
      </c>
      <c r="Y16" s="177">
        <v>0</v>
      </c>
      <c r="Z16" s="177">
        <v>250</v>
      </c>
      <c r="AA16" s="177">
        <f t="shared" si="1"/>
        <v>151736.4</v>
      </c>
      <c r="AB16" s="114"/>
      <c r="AC16" s="177">
        <f t="shared" si="3"/>
        <v>12468.070000000007</v>
      </c>
      <c r="AD16" s="294">
        <f t="shared" si="4"/>
        <v>8.9525522421357362E-2</v>
      </c>
      <c r="AE16" s="267"/>
      <c r="AF16" s="268"/>
    </row>
    <row r="17" spans="1:32" s="264" customFormat="1">
      <c r="A17" s="289">
        <f t="shared" si="5"/>
        <v>6</v>
      </c>
      <c r="B17" s="2"/>
      <c r="C17" s="289">
        <v>1</v>
      </c>
      <c r="D17" s="289">
        <v>1226</v>
      </c>
      <c r="E17" s="265">
        <v>149</v>
      </c>
      <c r="F17" s="288"/>
      <c r="G17" s="112"/>
      <c r="H17" s="177">
        <v>2256</v>
      </c>
      <c r="I17" s="177">
        <v>0</v>
      </c>
      <c r="J17" s="177">
        <v>0</v>
      </c>
      <c r="K17" s="177">
        <v>301</v>
      </c>
      <c r="L17" s="112"/>
      <c r="M17" s="177">
        <v>139192.13</v>
      </c>
      <c r="N17" s="177">
        <v>0</v>
      </c>
      <c r="O17" s="177">
        <v>0</v>
      </c>
      <c r="P17" s="177">
        <v>15863.71</v>
      </c>
      <c r="Q17" s="177">
        <v>250</v>
      </c>
      <c r="R17" s="177">
        <f t="shared" si="2"/>
        <v>155305.84</v>
      </c>
      <c r="S17" s="113"/>
      <c r="T17" s="290">
        <v>67.09</v>
      </c>
      <c r="U17" s="113"/>
      <c r="V17" s="177">
        <f t="shared" si="6"/>
        <v>139547.20000000001</v>
      </c>
      <c r="W17" s="177">
        <v>0</v>
      </c>
      <c r="X17" s="177">
        <v>0</v>
      </c>
      <c r="Y17" s="177">
        <v>0</v>
      </c>
      <c r="Z17" s="177">
        <v>250</v>
      </c>
      <c r="AA17" s="177">
        <f t="shared" si="1"/>
        <v>139797.20000000001</v>
      </c>
      <c r="AB17" s="114"/>
      <c r="AC17" s="177">
        <f t="shared" si="3"/>
        <v>-15508.639999999985</v>
      </c>
      <c r="AD17" s="294">
        <f t="shared" si="4"/>
        <v>-9.9858704605055304E-2</v>
      </c>
      <c r="AE17" s="267"/>
      <c r="AF17" s="268"/>
    </row>
    <row r="18" spans="1:32" s="264" customFormat="1">
      <c r="A18" s="289">
        <f t="shared" si="5"/>
        <v>7</v>
      </c>
      <c r="B18" s="2"/>
      <c r="C18" s="289">
        <v>1</v>
      </c>
      <c r="D18" s="289">
        <v>1227</v>
      </c>
      <c r="E18" s="265">
        <v>157</v>
      </c>
      <c r="F18" s="288"/>
      <c r="G18" s="112"/>
      <c r="H18" s="177">
        <v>2088</v>
      </c>
      <c r="I18" s="177">
        <v>0</v>
      </c>
      <c r="J18" s="177">
        <v>0</v>
      </c>
      <c r="K18" s="177">
        <v>0</v>
      </c>
      <c r="L18" s="112"/>
      <c r="M18" s="177">
        <v>130909.05</v>
      </c>
      <c r="N18" s="177">
        <v>0</v>
      </c>
      <c r="O18" s="177">
        <v>0</v>
      </c>
      <c r="P18" s="177">
        <v>0</v>
      </c>
      <c r="Q18" s="177">
        <v>250</v>
      </c>
      <c r="R18" s="177">
        <f t="shared" si="2"/>
        <v>131159.04999999999</v>
      </c>
      <c r="S18" s="113"/>
      <c r="T18" s="290">
        <v>68.58</v>
      </c>
      <c r="U18" s="113"/>
      <c r="V18" s="177">
        <f t="shared" si="6"/>
        <v>142646.39999999999</v>
      </c>
      <c r="W18" s="177">
        <v>0</v>
      </c>
      <c r="X18" s="177">
        <v>0</v>
      </c>
      <c r="Y18" s="177">
        <v>0</v>
      </c>
      <c r="Z18" s="177">
        <v>250</v>
      </c>
      <c r="AA18" s="177">
        <f t="shared" si="1"/>
        <v>142896.4</v>
      </c>
      <c r="AB18" s="114"/>
      <c r="AC18" s="177">
        <f t="shared" si="3"/>
        <v>11737.350000000006</v>
      </c>
      <c r="AD18" s="294">
        <f t="shared" si="4"/>
        <v>8.9489440492287908E-2</v>
      </c>
      <c r="AE18" s="267"/>
      <c r="AF18" s="268"/>
    </row>
    <row r="19" spans="1:32" s="264" customFormat="1">
      <c r="A19" s="289">
        <f t="shared" si="5"/>
        <v>8</v>
      </c>
      <c r="B19" s="2"/>
      <c r="C19" s="289">
        <v>1</v>
      </c>
      <c r="D19" s="289">
        <v>1228</v>
      </c>
      <c r="E19" s="265">
        <v>159</v>
      </c>
      <c r="F19" s="288"/>
      <c r="G19" s="112"/>
      <c r="H19" s="177">
        <v>2088</v>
      </c>
      <c r="I19" s="177">
        <v>0</v>
      </c>
      <c r="J19" s="177">
        <v>0</v>
      </c>
      <c r="K19" s="177">
        <v>0</v>
      </c>
      <c r="L19" s="112"/>
      <c r="M19" s="177">
        <v>124071.69</v>
      </c>
      <c r="N19" s="177">
        <v>0</v>
      </c>
      <c r="O19" s="177">
        <v>0</v>
      </c>
      <c r="P19" s="177">
        <v>0</v>
      </c>
      <c r="Q19" s="177">
        <v>250</v>
      </c>
      <c r="R19" s="177">
        <f t="shared" si="2"/>
        <v>124321.69</v>
      </c>
      <c r="S19" s="113"/>
      <c r="T19" s="290">
        <v>65.77</v>
      </c>
      <c r="U19" s="113"/>
      <c r="V19" s="177">
        <f t="shared" si="6"/>
        <v>136801.60000000001</v>
      </c>
      <c r="W19" s="177">
        <v>0</v>
      </c>
      <c r="X19" s="177">
        <v>0</v>
      </c>
      <c r="Y19" s="177">
        <v>0</v>
      </c>
      <c r="Z19" s="177">
        <v>250</v>
      </c>
      <c r="AA19" s="177">
        <f t="shared" si="1"/>
        <v>137051.6</v>
      </c>
      <c r="AB19" s="114"/>
      <c r="AC19" s="177">
        <f t="shared" si="3"/>
        <v>12729.910000000003</v>
      </c>
      <c r="AD19" s="294">
        <f t="shared" si="4"/>
        <v>0.10239492400722683</v>
      </c>
      <c r="AE19" s="267"/>
      <c r="AF19" s="268"/>
    </row>
    <row r="20" spans="1:32" s="264" customFormat="1">
      <c r="A20" s="289">
        <f t="shared" si="5"/>
        <v>9</v>
      </c>
      <c r="B20" s="2"/>
      <c r="C20" s="289">
        <v>1</v>
      </c>
      <c r="D20" s="289">
        <v>1239</v>
      </c>
      <c r="E20" s="265">
        <v>163</v>
      </c>
      <c r="F20" s="288"/>
      <c r="G20" s="112"/>
      <c r="H20" s="177">
        <v>2088</v>
      </c>
      <c r="I20" s="177">
        <v>0</v>
      </c>
      <c r="J20" s="177">
        <v>0</v>
      </c>
      <c r="K20" s="177">
        <v>0</v>
      </c>
      <c r="L20" s="112"/>
      <c r="M20" s="177">
        <v>82053.06</v>
      </c>
      <c r="N20" s="177">
        <v>0</v>
      </c>
      <c r="O20" s="177">
        <v>0</v>
      </c>
      <c r="P20" s="177">
        <v>0</v>
      </c>
      <c r="Q20" s="177">
        <v>250</v>
      </c>
      <c r="R20" s="177">
        <f t="shared" si="2"/>
        <v>82303.06</v>
      </c>
      <c r="S20" s="113"/>
      <c r="T20" s="290">
        <v>42.99</v>
      </c>
      <c r="U20" s="113"/>
      <c r="V20" s="177">
        <f>2080*T20</f>
        <v>89419.199999999997</v>
      </c>
      <c r="W20" s="177">
        <v>0</v>
      </c>
      <c r="X20" s="177">
        <v>0</v>
      </c>
      <c r="Y20" s="177">
        <v>0</v>
      </c>
      <c r="Z20" s="177">
        <v>250</v>
      </c>
      <c r="AA20" s="177">
        <f>SUM(V20:Z20)</f>
        <v>89669.2</v>
      </c>
      <c r="AB20" s="114"/>
      <c r="AC20" s="177">
        <f t="shared" si="3"/>
        <v>7366.1399999999994</v>
      </c>
      <c r="AD20" s="294">
        <f t="shared" si="4"/>
        <v>8.9500195982992636E-2</v>
      </c>
      <c r="AE20" s="267"/>
      <c r="AF20" s="268"/>
    </row>
    <row r="21" spans="1:32" s="264" customFormat="1">
      <c r="A21" s="289">
        <f t="shared" si="5"/>
        <v>10</v>
      </c>
      <c r="B21" s="2"/>
      <c r="C21" s="289">
        <v>1</v>
      </c>
      <c r="D21" s="289">
        <v>1245</v>
      </c>
      <c r="E21" s="265">
        <v>171</v>
      </c>
      <c r="F21" s="288"/>
      <c r="G21" s="112"/>
      <c r="H21" s="177">
        <v>2088</v>
      </c>
      <c r="I21" s="177">
        <v>0</v>
      </c>
      <c r="J21" s="177">
        <v>0</v>
      </c>
      <c r="K21" s="177">
        <v>0</v>
      </c>
      <c r="L21" s="112"/>
      <c r="M21" s="177">
        <v>92798.16</v>
      </c>
      <c r="N21" s="177">
        <v>0</v>
      </c>
      <c r="O21" s="177">
        <v>0</v>
      </c>
      <c r="P21" s="177">
        <v>0</v>
      </c>
      <c r="Q21" s="177">
        <v>250</v>
      </c>
      <c r="R21" s="177">
        <f t="shared" si="2"/>
        <v>93048.16</v>
      </c>
      <c r="S21" s="113"/>
      <c r="T21" s="290">
        <v>48.62</v>
      </c>
      <c r="U21" s="113"/>
      <c r="V21" s="177">
        <f t="shared" si="6"/>
        <v>101129.59999999999</v>
      </c>
      <c r="W21" s="177">
        <v>0</v>
      </c>
      <c r="X21" s="177">
        <v>0</v>
      </c>
      <c r="Y21" s="177">
        <v>0</v>
      </c>
      <c r="Z21" s="177">
        <v>250</v>
      </c>
      <c r="AA21" s="177">
        <f t="shared" si="1"/>
        <v>101379.59999999999</v>
      </c>
      <c r="AB21" s="114"/>
      <c r="AC21" s="177">
        <f t="shared" si="3"/>
        <v>8331.4399999999878</v>
      </c>
      <c r="AD21" s="294">
        <f t="shared" si="4"/>
        <v>8.9539008616613014E-2</v>
      </c>
      <c r="AE21" s="267"/>
      <c r="AF21" s="268"/>
    </row>
    <row r="22" spans="1:32" s="264" customFormat="1">
      <c r="A22" s="289">
        <f t="shared" si="5"/>
        <v>11</v>
      </c>
      <c r="B22" s="2"/>
      <c r="C22" s="289">
        <v>1</v>
      </c>
      <c r="D22" s="289">
        <v>1247</v>
      </c>
      <c r="E22" s="265">
        <v>172</v>
      </c>
      <c r="F22" s="288"/>
      <c r="G22" s="112"/>
      <c r="H22" s="177">
        <v>2078</v>
      </c>
      <c r="I22" s="177">
        <v>0</v>
      </c>
      <c r="J22" s="177">
        <v>0</v>
      </c>
      <c r="K22" s="177">
        <v>0</v>
      </c>
      <c r="L22" s="112"/>
      <c r="M22" s="177">
        <v>98895.87</v>
      </c>
      <c r="N22" s="177">
        <v>0</v>
      </c>
      <c r="O22" s="177">
        <v>0</v>
      </c>
      <c r="P22" s="177">
        <v>0</v>
      </c>
      <c r="Q22" s="177">
        <v>250</v>
      </c>
      <c r="R22" s="177">
        <f t="shared" si="2"/>
        <v>99145.87</v>
      </c>
      <c r="S22" s="113"/>
      <c r="T22" s="290">
        <v>51.81</v>
      </c>
      <c r="U22" s="113"/>
      <c r="V22" s="177">
        <f>2080*T22</f>
        <v>107764.8</v>
      </c>
      <c r="W22" s="177">
        <v>0</v>
      </c>
      <c r="X22" s="177">
        <v>0</v>
      </c>
      <c r="Y22" s="177">
        <v>0</v>
      </c>
      <c r="Z22" s="177">
        <v>250</v>
      </c>
      <c r="AA22" s="177">
        <f>SUM(V22:Z22)</f>
        <v>108014.8</v>
      </c>
      <c r="AB22" s="114"/>
      <c r="AC22" s="177">
        <f t="shared" si="3"/>
        <v>8868.9300000000076</v>
      </c>
      <c r="AD22" s="294">
        <f t="shared" si="4"/>
        <v>8.9453347880249723E-2</v>
      </c>
      <c r="AE22" s="267"/>
      <c r="AF22" s="268"/>
    </row>
    <row r="23" spans="1:32">
      <c r="A23" s="289">
        <f t="shared" si="5"/>
        <v>12</v>
      </c>
      <c r="C23" s="4">
        <f>SUM(C12:C22)</f>
        <v>11</v>
      </c>
      <c r="D23" s="121" t="s">
        <v>22</v>
      </c>
      <c r="E23" s="122" t="s">
        <v>22</v>
      </c>
      <c r="F23" s="121"/>
      <c r="G23" s="112"/>
      <c r="H23" s="182">
        <f>SUM(H12:H22)</f>
        <v>21050</v>
      </c>
      <c r="I23" s="179">
        <f>SUM(I12:I22)</f>
        <v>0</v>
      </c>
      <c r="J23" s="179">
        <f>SUM(J12:J22)</f>
        <v>0</v>
      </c>
      <c r="K23" s="182">
        <f>SUM(K12:K22)</f>
        <v>381</v>
      </c>
      <c r="L23" s="112"/>
      <c r="M23" s="123">
        <f t="shared" ref="M23:R23" si="7">SUM(M12:M22)</f>
        <v>1218944.6499999999</v>
      </c>
      <c r="N23" s="123">
        <f t="shared" si="7"/>
        <v>0</v>
      </c>
      <c r="O23" s="123">
        <f t="shared" si="7"/>
        <v>0</v>
      </c>
      <c r="P23" s="123">
        <f t="shared" si="7"/>
        <v>20432.509999999998</v>
      </c>
      <c r="Q23" s="123">
        <f t="shared" si="7"/>
        <v>2250</v>
      </c>
      <c r="R23" s="123">
        <f t="shared" si="7"/>
        <v>1241627.1599999997</v>
      </c>
      <c r="S23" s="113"/>
      <c r="T23" s="122"/>
      <c r="U23" s="113"/>
      <c r="V23" s="124">
        <f t="shared" ref="V23:AA23" si="8">SUM(V12:V22)</f>
        <v>1211496.0000000002</v>
      </c>
      <c r="W23" s="291">
        <f t="shared" si="8"/>
        <v>0</v>
      </c>
      <c r="X23" s="291">
        <f t="shared" si="8"/>
        <v>0</v>
      </c>
      <c r="Y23" s="291">
        <f t="shared" si="8"/>
        <v>0</v>
      </c>
      <c r="Z23" s="124">
        <f t="shared" si="8"/>
        <v>2250</v>
      </c>
      <c r="AA23" s="124">
        <f t="shared" si="8"/>
        <v>1213746.0000000002</v>
      </c>
      <c r="AB23" s="114"/>
      <c r="AC23" s="125">
        <f>AA23-R23</f>
        <v>-27881.159999999451</v>
      </c>
      <c r="AD23" s="294">
        <f t="shared" si="4"/>
        <v>-2.2455339975004596E-2</v>
      </c>
    </row>
    <row r="24" spans="1:32">
      <c r="A24" s="289">
        <f t="shared" si="5"/>
        <v>13</v>
      </c>
      <c r="G24" s="112"/>
      <c r="H24" s="175"/>
      <c r="I24" s="175"/>
      <c r="J24" s="175"/>
      <c r="K24" s="175"/>
      <c r="L24" s="112"/>
      <c r="M24" s="116"/>
      <c r="N24" s="116"/>
      <c r="O24" s="116"/>
      <c r="P24" s="116"/>
      <c r="Q24" s="116"/>
      <c r="R24" s="116"/>
      <c r="S24" s="113"/>
      <c r="T24" s="118"/>
      <c r="U24" s="113"/>
      <c r="V24" s="118"/>
      <c r="W24" s="118"/>
      <c r="X24" s="118"/>
      <c r="Y24" s="118"/>
      <c r="Z24" s="118"/>
      <c r="AA24" s="118"/>
      <c r="AB24" s="114"/>
      <c r="AD24" s="294"/>
    </row>
    <row r="25" spans="1:32">
      <c r="A25" s="289">
        <f t="shared" si="5"/>
        <v>14</v>
      </c>
      <c r="C25" s="130" t="s">
        <v>362</v>
      </c>
      <c r="F25" s="97"/>
      <c r="G25" s="112"/>
      <c r="H25" s="180"/>
      <c r="I25" s="180"/>
      <c r="J25" s="180"/>
      <c r="K25" s="180"/>
      <c r="L25" s="112"/>
      <c r="M25" s="181"/>
      <c r="N25" s="181"/>
      <c r="O25" s="181"/>
      <c r="P25" s="181"/>
      <c r="Q25" s="181"/>
      <c r="R25" s="181"/>
      <c r="S25" s="113"/>
      <c r="T25" s="92"/>
      <c r="U25" s="113"/>
      <c r="V25" s="92"/>
      <c r="W25" s="92"/>
      <c r="X25" s="92"/>
      <c r="Y25" s="92"/>
      <c r="Z25" s="92"/>
      <c r="AA25" s="92"/>
      <c r="AB25" s="114"/>
      <c r="AD25" s="294"/>
    </row>
    <row r="26" spans="1:32" s="264" customFormat="1">
      <c r="A26" s="289">
        <f t="shared" si="5"/>
        <v>15</v>
      </c>
      <c r="B26" s="2"/>
      <c r="C26" s="289">
        <v>1</v>
      </c>
      <c r="D26" s="289">
        <v>1202</v>
      </c>
      <c r="E26" s="265">
        <v>5</v>
      </c>
      <c r="F26" s="288"/>
      <c r="G26" s="112"/>
      <c r="H26" s="177">
        <v>2088</v>
      </c>
      <c r="I26" s="177">
        <v>404.25</v>
      </c>
      <c r="J26" s="177">
        <v>0</v>
      </c>
      <c r="K26" s="177">
        <v>0</v>
      </c>
      <c r="L26" s="112"/>
      <c r="M26" s="177">
        <v>58102.37</v>
      </c>
      <c r="N26" s="177">
        <v>16849.38</v>
      </c>
      <c r="O26" s="177">
        <v>0</v>
      </c>
      <c r="P26" s="177">
        <v>0</v>
      </c>
      <c r="Q26" s="177">
        <v>250</v>
      </c>
      <c r="R26" s="177">
        <f>SUM(M26:Q26)</f>
        <v>75201.75</v>
      </c>
      <c r="S26" s="113"/>
      <c r="T26" s="290">
        <v>30.39</v>
      </c>
      <c r="U26" s="113"/>
      <c r="V26" s="177">
        <f t="shared" ref="V26:V60" si="9">2080*T26</f>
        <v>63211.200000000004</v>
      </c>
      <c r="W26" s="177">
        <f>(+I26*T26)*1.5</f>
        <v>18427.736249999998</v>
      </c>
      <c r="X26" s="177">
        <f>(+J26*T26)*2</f>
        <v>0</v>
      </c>
      <c r="Y26" s="177">
        <v>0</v>
      </c>
      <c r="Z26" s="177">
        <f t="shared" ref="Z26:Z45" si="10">IF(Q26=0," ",+Q26)</f>
        <v>250</v>
      </c>
      <c r="AA26" s="177">
        <f t="shared" ref="AA26:AA60" si="11">SUM(V26:Z26)</f>
        <v>81888.936249999999</v>
      </c>
      <c r="AB26" s="114"/>
      <c r="AC26" s="177">
        <f>AA26-R26</f>
        <v>6687.1862499999988</v>
      </c>
      <c r="AD26" s="294">
        <f t="shared" si="4"/>
        <v>8.8923279710910963E-2</v>
      </c>
      <c r="AE26" s="267"/>
      <c r="AF26" s="268"/>
    </row>
    <row r="27" spans="1:32" s="264" customFormat="1">
      <c r="A27" s="289">
        <f t="shared" si="5"/>
        <v>16</v>
      </c>
      <c r="B27" s="2"/>
      <c r="C27" s="289">
        <v>1</v>
      </c>
      <c r="D27" s="289">
        <v>1203</v>
      </c>
      <c r="E27" s="265">
        <v>8</v>
      </c>
      <c r="F27" s="288"/>
      <c r="G27" s="112"/>
      <c r="H27" s="177">
        <v>2088</v>
      </c>
      <c r="I27" s="177">
        <v>116</v>
      </c>
      <c r="J27" s="177">
        <v>0</v>
      </c>
      <c r="K27" s="177">
        <v>0</v>
      </c>
      <c r="L27" s="112"/>
      <c r="M27" s="177">
        <v>74451.360000000001</v>
      </c>
      <c r="N27" s="177">
        <v>6151.94</v>
      </c>
      <c r="O27" s="177">
        <v>0</v>
      </c>
      <c r="P27" s="177">
        <v>0</v>
      </c>
      <c r="Q27" s="177">
        <v>250</v>
      </c>
      <c r="R27" s="177">
        <f t="shared" ref="R27:R64" si="12">SUM(M27:Q27)</f>
        <v>80853.3</v>
      </c>
      <c r="S27" s="113"/>
      <c r="T27" s="290">
        <v>38.22</v>
      </c>
      <c r="U27" s="113"/>
      <c r="V27" s="177">
        <f t="shared" si="9"/>
        <v>79497.599999999991</v>
      </c>
      <c r="W27" s="177">
        <f t="shared" ref="W27:W60" si="13">(+I27*T27)*1.5</f>
        <v>6650.2799999999988</v>
      </c>
      <c r="X27" s="177">
        <f t="shared" ref="X27:X45" si="14">(+J27*T27)*2</f>
        <v>0</v>
      </c>
      <c r="Y27" s="177">
        <v>0</v>
      </c>
      <c r="Z27" s="177">
        <f t="shared" si="10"/>
        <v>250</v>
      </c>
      <c r="AA27" s="177">
        <f t="shared" si="11"/>
        <v>86397.87999999999</v>
      </c>
      <c r="AB27" s="114"/>
      <c r="AC27" s="177">
        <f>AA27-R27</f>
        <v>5544.5799999999872</v>
      </c>
      <c r="AD27" s="294">
        <f t="shared" si="4"/>
        <v>6.8575803337649566E-2</v>
      </c>
      <c r="AE27" s="267"/>
      <c r="AF27" s="268"/>
    </row>
    <row r="28" spans="1:32" s="264" customFormat="1">
      <c r="A28" s="289">
        <f t="shared" si="5"/>
        <v>17</v>
      </c>
      <c r="B28" s="2"/>
      <c r="C28" s="289">
        <v>1</v>
      </c>
      <c r="D28" s="289">
        <v>1204</v>
      </c>
      <c r="E28" s="265">
        <v>10</v>
      </c>
      <c r="F28" s="288"/>
      <c r="G28" s="112"/>
      <c r="H28" s="177">
        <v>2080</v>
      </c>
      <c r="I28" s="177">
        <v>1246</v>
      </c>
      <c r="J28" s="177">
        <v>0</v>
      </c>
      <c r="K28" s="177">
        <v>0</v>
      </c>
      <c r="L28" s="112"/>
      <c r="M28" s="177">
        <v>74710.399999999994</v>
      </c>
      <c r="N28" s="177">
        <v>67094</v>
      </c>
      <c r="O28" s="177">
        <v>0</v>
      </c>
      <c r="P28" s="177">
        <v>0</v>
      </c>
      <c r="Q28" s="177">
        <v>250</v>
      </c>
      <c r="R28" s="177">
        <f t="shared" si="12"/>
        <v>142054.39999999999</v>
      </c>
      <c r="S28" s="113"/>
      <c r="T28" s="290">
        <v>38.479999999999997</v>
      </c>
      <c r="U28" s="113"/>
      <c r="V28" s="177">
        <f t="shared" si="9"/>
        <v>80038.399999999994</v>
      </c>
      <c r="W28" s="177">
        <f t="shared" si="13"/>
        <v>71919.12</v>
      </c>
      <c r="X28" s="177">
        <f t="shared" si="14"/>
        <v>0</v>
      </c>
      <c r="Y28" s="177">
        <v>0</v>
      </c>
      <c r="Z28" s="177">
        <f t="shared" si="10"/>
        <v>250</v>
      </c>
      <c r="AA28" s="177">
        <f t="shared" si="11"/>
        <v>152207.51999999999</v>
      </c>
      <c r="AB28" s="114"/>
      <c r="AC28" s="177">
        <f>AA28-R28</f>
        <v>10153.119999999995</v>
      </c>
      <c r="AD28" s="294">
        <f t="shared" si="4"/>
        <v>7.1473463687150796E-2</v>
      </c>
      <c r="AE28" s="267"/>
      <c r="AF28" s="268"/>
    </row>
    <row r="29" spans="1:32" s="264" customFormat="1">
      <c r="A29" s="289">
        <f t="shared" si="5"/>
        <v>18</v>
      </c>
      <c r="B29" s="2"/>
      <c r="C29" s="289">
        <v>1</v>
      </c>
      <c r="D29" s="289">
        <v>1206</v>
      </c>
      <c r="E29" s="265">
        <v>13</v>
      </c>
      <c r="F29" s="288"/>
      <c r="G29" s="112"/>
      <c r="H29" s="177">
        <v>2088</v>
      </c>
      <c r="I29" s="177">
        <v>1632.4</v>
      </c>
      <c r="J29" s="177">
        <v>0</v>
      </c>
      <c r="K29" s="177">
        <v>0</v>
      </c>
      <c r="L29" s="112"/>
      <c r="M29" s="177">
        <v>74994.240000000005</v>
      </c>
      <c r="N29" s="177">
        <v>87864.08</v>
      </c>
      <c r="O29" s="177">
        <v>0</v>
      </c>
      <c r="P29" s="177">
        <v>0</v>
      </c>
      <c r="Q29" s="177">
        <v>250</v>
      </c>
      <c r="R29" s="177">
        <f t="shared" si="12"/>
        <v>163108.32</v>
      </c>
      <c r="S29" s="113"/>
      <c r="T29" s="290">
        <v>38.479999999999997</v>
      </c>
      <c r="U29" s="113"/>
      <c r="V29" s="177">
        <f t="shared" si="9"/>
        <v>80038.399999999994</v>
      </c>
      <c r="W29" s="177">
        <f t="shared" si="13"/>
        <v>94222.127999999997</v>
      </c>
      <c r="X29" s="177">
        <f t="shared" si="14"/>
        <v>0</v>
      </c>
      <c r="Y29" s="177">
        <v>0</v>
      </c>
      <c r="Z29" s="177">
        <f t="shared" si="10"/>
        <v>250</v>
      </c>
      <c r="AA29" s="177">
        <f t="shared" si="11"/>
        <v>174510.52799999999</v>
      </c>
      <c r="AB29" s="114"/>
      <c r="AC29" s="177">
        <f t="shared" ref="AC29:AC72" si="15">AA29-R29</f>
        <v>11402.207999999984</v>
      </c>
      <c r="AD29" s="294">
        <f t="shared" si="4"/>
        <v>6.9905741166361057E-2</v>
      </c>
      <c r="AE29" s="267"/>
      <c r="AF29" s="268"/>
    </row>
    <row r="30" spans="1:32" s="264" customFormat="1">
      <c r="A30" s="289">
        <f t="shared" si="5"/>
        <v>19</v>
      </c>
      <c r="B30" s="2"/>
      <c r="C30" s="289">
        <v>1</v>
      </c>
      <c r="D30" s="289">
        <v>1207</v>
      </c>
      <c r="E30" s="265">
        <v>15</v>
      </c>
      <c r="F30" s="288"/>
      <c r="G30" s="112"/>
      <c r="H30" s="177">
        <v>2080</v>
      </c>
      <c r="I30" s="177">
        <v>55</v>
      </c>
      <c r="J30" s="177">
        <v>0</v>
      </c>
      <c r="K30" s="177">
        <v>0</v>
      </c>
      <c r="L30" s="112"/>
      <c r="M30" s="177">
        <v>74157.600000000006</v>
      </c>
      <c r="N30" s="177">
        <v>2907.92</v>
      </c>
      <c r="O30" s="177">
        <v>0</v>
      </c>
      <c r="P30" s="177">
        <v>0</v>
      </c>
      <c r="Q30" s="177">
        <v>250</v>
      </c>
      <c r="R30" s="177">
        <f t="shared" si="12"/>
        <v>77315.520000000004</v>
      </c>
      <c r="S30" s="113"/>
      <c r="T30" s="290">
        <v>38.22</v>
      </c>
      <c r="U30" s="113"/>
      <c r="V30" s="177">
        <f t="shared" si="9"/>
        <v>79497.599999999991</v>
      </c>
      <c r="W30" s="177">
        <f t="shared" si="13"/>
        <v>3153.1499999999996</v>
      </c>
      <c r="X30" s="177">
        <f t="shared" si="14"/>
        <v>0</v>
      </c>
      <c r="Y30" s="177">
        <v>0</v>
      </c>
      <c r="Z30" s="177">
        <f t="shared" si="10"/>
        <v>250</v>
      </c>
      <c r="AA30" s="177">
        <f t="shared" si="11"/>
        <v>82900.749999999985</v>
      </c>
      <c r="AB30" s="114"/>
      <c r="AC30" s="177">
        <f t="shared" si="15"/>
        <v>5585.2299999999814</v>
      </c>
      <c r="AD30" s="294">
        <f t="shared" si="4"/>
        <v>7.2239441705882257E-2</v>
      </c>
      <c r="AE30" s="267"/>
      <c r="AF30" s="268"/>
    </row>
    <row r="31" spans="1:32" s="264" customFormat="1">
      <c r="A31" s="289">
        <f t="shared" si="5"/>
        <v>20</v>
      </c>
      <c r="B31" s="2"/>
      <c r="C31" s="289">
        <v>1</v>
      </c>
      <c r="D31" s="289">
        <v>1208</v>
      </c>
      <c r="E31" s="265">
        <v>22</v>
      </c>
      <c r="F31" s="288"/>
      <c r="G31" s="112"/>
      <c r="H31" s="177">
        <v>1348</v>
      </c>
      <c r="I31" s="177">
        <v>243</v>
      </c>
      <c r="J31" s="177">
        <v>0</v>
      </c>
      <c r="K31" s="177">
        <v>0</v>
      </c>
      <c r="L31" s="112"/>
      <c r="M31" s="177">
        <v>48559.040000000001</v>
      </c>
      <c r="N31" s="177">
        <v>12932.46</v>
      </c>
      <c r="O31" s="177">
        <v>0</v>
      </c>
      <c r="P31" s="177">
        <v>0</v>
      </c>
      <c r="Q31" s="177">
        <v>250</v>
      </c>
      <c r="R31" s="177">
        <f t="shared" si="12"/>
        <v>61741.5</v>
      </c>
      <c r="S31" s="113"/>
      <c r="T31" s="290">
        <v>39.04</v>
      </c>
      <c r="U31" s="113"/>
      <c r="V31" s="177">
        <f t="shared" si="9"/>
        <v>81203.199999999997</v>
      </c>
      <c r="W31" s="177">
        <f t="shared" si="13"/>
        <v>14230.079999999998</v>
      </c>
      <c r="X31" s="177">
        <f t="shared" si="14"/>
        <v>0</v>
      </c>
      <c r="Y31" s="177">
        <v>0</v>
      </c>
      <c r="Z31" s="177">
        <f t="shared" si="10"/>
        <v>250</v>
      </c>
      <c r="AA31" s="177">
        <f t="shared" si="11"/>
        <v>95683.28</v>
      </c>
      <c r="AB31" s="114"/>
      <c r="AC31" s="177">
        <f t="shared" si="15"/>
        <v>33941.78</v>
      </c>
      <c r="AD31" s="294">
        <f t="shared" si="4"/>
        <v>0.54974012617121382</v>
      </c>
      <c r="AE31" s="267"/>
      <c r="AF31" s="268"/>
    </row>
    <row r="32" spans="1:32" s="264" customFormat="1">
      <c r="A32" s="289">
        <f t="shared" si="5"/>
        <v>21</v>
      </c>
      <c r="B32" s="2"/>
      <c r="C32" s="289">
        <v>1</v>
      </c>
      <c r="D32" s="289">
        <v>1209</v>
      </c>
      <c r="E32" s="265">
        <v>24</v>
      </c>
      <c r="F32" s="288"/>
      <c r="G32" s="112"/>
      <c r="H32" s="177">
        <v>2080</v>
      </c>
      <c r="I32" s="177">
        <v>96</v>
      </c>
      <c r="J32" s="177">
        <v>18</v>
      </c>
      <c r="K32" s="177">
        <v>0</v>
      </c>
      <c r="L32" s="112"/>
      <c r="M32" s="177">
        <v>74157.600000000006</v>
      </c>
      <c r="N32" s="177">
        <v>5089.7</v>
      </c>
      <c r="O32" s="177">
        <v>1267.92</v>
      </c>
      <c r="P32" s="177">
        <v>0</v>
      </c>
      <c r="Q32" s="177">
        <v>250</v>
      </c>
      <c r="R32" s="177">
        <f t="shared" si="12"/>
        <v>80765.22</v>
      </c>
      <c r="S32" s="113"/>
      <c r="T32" s="290">
        <v>38.22</v>
      </c>
      <c r="U32" s="113"/>
      <c r="V32" s="177">
        <f t="shared" si="9"/>
        <v>79497.599999999991</v>
      </c>
      <c r="W32" s="177">
        <f>(+I32*T32)*1.5</f>
        <v>5503.68</v>
      </c>
      <c r="X32" s="177">
        <f t="shared" si="14"/>
        <v>1375.92</v>
      </c>
      <c r="Y32" s="177">
        <v>0</v>
      </c>
      <c r="Z32" s="177">
        <f t="shared" si="10"/>
        <v>250</v>
      </c>
      <c r="AA32" s="177">
        <f t="shared" si="11"/>
        <v>86627.199999999997</v>
      </c>
      <c r="AB32" s="114"/>
      <c r="AC32" s="177">
        <f t="shared" si="15"/>
        <v>5861.9799999999959</v>
      </c>
      <c r="AD32" s="294">
        <f t="shared" si="4"/>
        <v>7.258049937832145E-2</v>
      </c>
      <c r="AE32" s="267"/>
      <c r="AF32" s="268"/>
    </row>
    <row r="33" spans="1:32" s="264" customFormat="1">
      <c r="A33" s="289">
        <f t="shared" si="5"/>
        <v>22</v>
      </c>
      <c r="B33" s="2"/>
      <c r="C33" s="289">
        <v>1</v>
      </c>
      <c r="D33" s="289">
        <v>1210</v>
      </c>
      <c r="E33" s="265">
        <v>25</v>
      </c>
      <c r="F33" s="288"/>
      <c r="G33" s="112"/>
      <c r="H33" s="177">
        <v>2088</v>
      </c>
      <c r="I33" s="177">
        <v>45</v>
      </c>
      <c r="J33" s="177">
        <v>0</v>
      </c>
      <c r="K33" s="177">
        <v>0</v>
      </c>
      <c r="L33" s="112"/>
      <c r="M33" s="177">
        <v>56327.519999999997</v>
      </c>
      <c r="N33" s="177">
        <v>1806.1</v>
      </c>
      <c r="O33" s="177">
        <v>0</v>
      </c>
      <c r="P33" s="177">
        <v>0</v>
      </c>
      <c r="Q33" s="177">
        <v>250</v>
      </c>
      <c r="R33" s="177">
        <f t="shared" si="12"/>
        <v>58383.619999999995</v>
      </c>
      <c r="S33" s="113"/>
      <c r="T33" s="290">
        <v>29.54</v>
      </c>
      <c r="U33" s="113"/>
      <c r="V33" s="177">
        <f t="shared" si="9"/>
        <v>61443.199999999997</v>
      </c>
      <c r="W33" s="177">
        <f t="shared" si="13"/>
        <v>1993.9499999999998</v>
      </c>
      <c r="X33" s="177">
        <f t="shared" si="14"/>
        <v>0</v>
      </c>
      <c r="Y33" s="177">
        <v>0</v>
      </c>
      <c r="Z33" s="177">
        <f t="shared" si="10"/>
        <v>250</v>
      </c>
      <c r="AA33" s="177">
        <f t="shared" si="11"/>
        <v>63687.149999999994</v>
      </c>
      <c r="AB33" s="114"/>
      <c r="AC33" s="177">
        <f t="shared" si="15"/>
        <v>5303.5299999999988</v>
      </c>
      <c r="AD33" s="294">
        <f t="shared" si="4"/>
        <v>9.083934843368735E-2</v>
      </c>
      <c r="AE33" s="267"/>
      <c r="AF33" s="268"/>
    </row>
    <row r="34" spans="1:32" s="264" customFormat="1">
      <c r="A34" s="289">
        <f t="shared" si="5"/>
        <v>23</v>
      </c>
      <c r="B34" s="2"/>
      <c r="C34" s="289">
        <v>1</v>
      </c>
      <c r="D34" s="289">
        <v>1212</v>
      </c>
      <c r="E34" s="265">
        <v>31</v>
      </c>
      <c r="F34" s="288"/>
      <c r="G34" s="112"/>
      <c r="H34" s="177">
        <v>2096</v>
      </c>
      <c r="I34" s="177">
        <v>911</v>
      </c>
      <c r="J34" s="177">
        <v>0</v>
      </c>
      <c r="K34" s="177">
        <v>0</v>
      </c>
      <c r="L34" s="112"/>
      <c r="M34" s="177">
        <v>75278.080000000002</v>
      </c>
      <c r="N34" s="177">
        <v>48800.68</v>
      </c>
      <c r="O34" s="177">
        <v>0</v>
      </c>
      <c r="P34" s="177">
        <v>0</v>
      </c>
      <c r="Q34" s="177">
        <v>250</v>
      </c>
      <c r="R34" s="177">
        <f t="shared" si="12"/>
        <v>124328.76000000001</v>
      </c>
      <c r="S34" s="113"/>
      <c r="T34" s="290">
        <v>38.479999999999997</v>
      </c>
      <c r="U34" s="113"/>
      <c r="V34" s="177">
        <f t="shared" si="9"/>
        <v>80038.399999999994</v>
      </c>
      <c r="W34" s="177">
        <f t="shared" si="13"/>
        <v>52582.92</v>
      </c>
      <c r="X34" s="177">
        <f t="shared" si="14"/>
        <v>0</v>
      </c>
      <c r="Y34" s="177">
        <v>0</v>
      </c>
      <c r="Z34" s="177">
        <f t="shared" si="10"/>
        <v>250</v>
      </c>
      <c r="AA34" s="177">
        <f t="shared" si="11"/>
        <v>132871.32</v>
      </c>
      <c r="AB34" s="114"/>
      <c r="AC34" s="177">
        <f t="shared" si="15"/>
        <v>8542.5599999999977</v>
      </c>
      <c r="AD34" s="294">
        <f t="shared" si="4"/>
        <v>6.8709444218698845E-2</v>
      </c>
      <c r="AE34" s="267"/>
      <c r="AF34" s="268"/>
    </row>
    <row r="35" spans="1:32" s="264" customFormat="1">
      <c r="A35" s="289">
        <f t="shared" si="5"/>
        <v>24</v>
      </c>
      <c r="B35" s="2"/>
      <c r="C35" s="289">
        <v>1</v>
      </c>
      <c r="D35" s="289">
        <v>1214</v>
      </c>
      <c r="E35" s="265">
        <v>40</v>
      </c>
      <c r="F35" s="288"/>
      <c r="G35" s="112"/>
      <c r="H35" s="177">
        <v>2088</v>
      </c>
      <c r="I35" s="177">
        <v>24.5</v>
      </c>
      <c r="J35" s="177">
        <v>0</v>
      </c>
      <c r="K35" s="177">
        <v>0</v>
      </c>
      <c r="L35" s="112"/>
      <c r="M35" s="177">
        <v>56327.519999999997</v>
      </c>
      <c r="N35" s="177">
        <v>976.48</v>
      </c>
      <c r="O35" s="177">
        <v>0</v>
      </c>
      <c r="P35" s="177">
        <v>0</v>
      </c>
      <c r="Q35" s="177">
        <v>250</v>
      </c>
      <c r="R35" s="177">
        <f>SUM(M35:Q35)</f>
        <v>57554</v>
      </c>
      <c r="S35" s="113"/>
      <c r="T35" s="290">
        <v>29.54</v>
      </c>
      <c r="U35" s="113"/>
      <c r="V35" s="177">
        <f t="shared" si="9"/>
        <v>61443.199999999997</v>
      </c>
      <c r="W35" s="177">
        <f t="shared" si="13"/>
        <v>1085.595</v>
      </c>
      <c r="X35" s="177">
        <f t="shared" si="14"/>
        <v>0</v>
      </c>
      <c r="Y35" s="177">
        <v>0</v>
      </c>
      <c r="Z35" s="177">
        <f>IF(Q35=0," ",+Q35)</f>
        <v>250</v>
      </c>
      <c r="AA35" s="177">
        <f>SUM(V35:Z35)</f>
        <v>62778.794999999998</v>
      </c>
      <c r="AB35" s="114"/>
      <c r="AC35" s="177">
        <f t="shared" si="15"/>
        <v>5224.7949999999983</v>
      </c>
      <c r="AD35" s="294">
        <f t="shared" si="4"/>
        <v>9.0780745039441113E-2</v>
      </c>
      <c r="AE35" s="267"/>
      <c r="AF35" s="268"/>
    </row>
    <row r="36" spans="1:32" s="264" customFormat="1">
      <c r="A36" s="289">
        <f t="shared" si="5"/>
        <v>25</v>
      </c>
      <c r="B36" s="2"/>
      <c r="C36" s="289">
        <v>1</v>
      </c>
      <c r="D36" s="289">
        <v>1215</v>
      </c>
      <c r="E36" s="265">
        <v>41</v>
      </c>
      <c r="F36" s="288" t="s">
        <v>260</v>
      </c>
      <c r="G36" s="112"/>
      <c r="H36" s="177">
        <v>2082.5</v>
      </c>
      <c r="I36" s="177">
        <v>1178.5</v>
      </c>
      <c r="J36" s="177">
        <v>31.5</v>
      </c>
      <c r="K36" s="177">
        <v>0</v>
      </c>
      <c r="L36" s="112"/>
      <c r="M36" s="177">
        <v>74799.100000000006</v>
      </c>
      <c r="N36" s="177">
        <v>63330.65</v>
      </c>
      <c r="O36" s="177">
        <v>2235.2399999999998</v>
      </c>
      <c r="P36" s="177">
        <v>0</v>
      </c>
      <c r="Q36" s="177">
        <v>250</v>
      </c>
      <c r="R36" s="177">
        <f t="shared" si="12"/>
        <v>140614.99</v>
      </c>
      <c r="S36" s="113"/>
      <c r="T36" s="290">
        <v>36.979999999999997</v>
      </c>
      <c r="U36" s="113"/>
      <c r="V36" s="177">
        <v>0</v>
      </c>
      <c r="W36" s="177">
        <v>0</v>
      </c>
      <c r="X36" s="177">
        <f t="shared" si="14"/>
        <v>2329.7399999999998</v>
      </c>
      <c r="Y36" s="177">
        <v>0</v>
      </c>
      <c r="Z36" s="177">
        <v>0</v>
      </c>
      <c r="AA36" s="177">
        <f t="shared" si="11"/>
        <v>2329.7399999999998</v>
      </c>
      <c r="AB36" s="114"/>
      <c r="AC36" s="177">
        <f t="shared" si="15"/>
        <v>-138285.25</v>
      </c>
      <c r="AD36" s="294">
        <f t="shared" si="4"/>
        <v>-0.9834317806373275</v>
      </c>
      <c r="AE36" s="267"/>
      <c r="AF36" s="268"/>
    </row>
    <row r="37" spans="1:32" s="264" customFormat="1">
      <c r="A37" s="289">
        <f t="shared" si="5"/>
        <v>26</v>
      </c>
      <c r="B37" s="2"/>
      <c r="C37" s="289">
        <v>1</v>
      </c>
      <c r="D37" s="289">
        <v>1216</v>
      </c>
      <c r="E37" s="265">
        <v>43</v>
      </c>
      <c r="F37" s="288"/>
      <c r="G37" s="112"/>
      <c r="H37" s="177">
        <v>2088</v>
      </c>
      <c r="I37" s="177">
        <v>758</v>
      </c>
      <c r="J37" s="177">
        <v>0</v>
      </c>
      <c r="K37" s="177">
        <v>0</v>
      </c>
      <c r="L37" s="112"/>
      <c r="M37" s="177">
        <v>74994.240000000005</v>
      </c>
      <c r="N37" s="177">
        <v>40833.51</v>
      </c>
      <c r="O37" s="177">
        <v>0</v>
      </c>
      <c r="P37" s="177">
        <v>0</v>
      </c>
      <c r="Q37" s="177">
        <v>250</v>
      </c>
      <c r="R37" s="177">
        <f t="shared" si="12"/>
        <v>116077.75</v>
      </c>
      <c r="S37" s="113"/>
      <c r="T37" s="290">
        <v>38.479999999999997</v>
      </c>
      <c r="U37" s="113"/>
      <c r="V37" s="177">
        <f t="shared" si="9"/>
        <v>80038.399999999994</v>
      </c>
      <c r="W37" s="177">
        <f t="shared" si="13"/>
        <v>43751.759999999995</v>
      </c>
      <c r="X37" s="177">
        <f t="shared" si="14"/>
        <v>0</v>
      </c>
      <c r="Y37" s="177">
        <v>0</v>
      </c>
      <c r="Z37" s="177">
        <f t="shared" si="10"/>
        <v>250</v>
      </c>
      <c r="AA37" s="177">
        <f t="shared" si="11"/>
        <v>124040.15999999999</v>
      </c>
      <c r="AB37" s="114"/>
      <c r="AC37" s="177">
        <f t="shared" si="15"/>
        <v>7962.4099999999889</v>
      </c>
      <c r="AD37" s="294">
        <f t="shared" si="4"/>
        <v>6.8595488799533033E-2</v>
      </c>
      <c r="AE37" s="267"/>
      <c r="AF37" s="268"/>
    </row>
    <row r="38" spans="1:32" s="264" customFormat="1">
      <c r="A38" s="289">
        <f t="shared" si="5"/>
        <v>27</v>
      </c>
      <c r="B38" s="2"/>
      <c r="C38" s="289">
        <v>1</v>
      </c>
      <c r="D38" s="289">
        <v>1217</v>
      </c>
      <c r="E38" s="265">
        <v>50</v>
      </c>
      <c r="F38" s="288"/>
      <c r="G38" s="112"/>
      <c r="H38" s="177">
        <v>2070</v>
      </c>
      <c r="I38" s="177">
        <v>1151.5</v>
      </c>
      <c r="J38" s="177">
        <v>18</v>
      </c>
      <c r="K38" s="177">
        <v>0</v>
      </c>
      <c r="L38" s="112"/>
      <c r="M38" s="177">
        <v>75514.8</v>
      </c>
      <c r="N38" s="177">
        <v>62847.47</v>
      </c>
      <c r="O38" s="177">
        <v>1297.44</v>
      </c>
      <c r="P38" s="177">
        <v>0</v>
      </c>
      <c r="Q38" s="177">
        <v>250</v>
      </c>
      <c r="R38" s="177">
        <f t="shared" si="12"/>
        <v>139909.71000000002</v>
      </c>
      <c r="S38" s="113"/>
      <c r="T38" s="290">
        <v>38.479999999999997</v>
      </c>
      <c r="U38" s="113"/>
      <c r="V38" s="177">
        <f t="shared" si="9"/>
        <v>80038.399999999994</v>
      </c>
      <c r="W38" s="177">
        <f t="shared" si="13"/>
        <v>66464.579999999987</v>
      </c>
      <c r="X38" s="177">
        <f t="shared" si="14"/>
        <v>1385.28</v>
      </c>
      <c r="Y38" s="177">
        <v>0</v>
      </c>
      <c r="Z38" s="177">
        <f t="shared" si="10"/>
        <v>250</v>
      </c>
      <c r="AA38" s="177">
        <f t="shared" si="11"/>
        <v>148138.25999999998</v>
      </c>
      <c r="AB38" s="114"/>
      <c r="AC38" s="177">
        <f t="shared" si="15"/>
        <v>8228.5499999999593</v>
      </c>
      <c r="AD38" s="294">
        <f t="shared" si="4"/>
        <v>5.8813287512353263E-2</v>
      </c>
      <c r="AE38" s="267"/>
      <c r="AF38" s="268"/>
    </row>
    <row r="39" spans="1:32" s="264" customFormat="1">
      <c r="A39" s="289">
        <f t="shared" si="5"/>
        <v>28</v>
      </c>
      <c r="B39" s="2"/>
      <c r="C39" s="289">
        <v>1</v>
      </c>
      <c r="D39" s="289">
        <v>1219</v>
      </c>
      <c r="E39" s="265">
        <v>138</v>
      </c>
      <c r="F39" s="288"/>
      <c r="G39" s="112"/>
      <c r="H39" s="177">
        <v>2090</v>
      </c>
      <c r="I39" s="177">
        <v>20.5</v>
      </c>
      <c r="J39" s="177">
        <v>0</v>
      </c>
      <c r="K39" s="177">
        <v>0</v>
      </c>
      <c r="L39" s="112" t="s">
        <v>363</v>
      </c>
      <c r="M39" s="177">
        <v>74524.800000000003</v>
      </c>
      <c r="N39" s="177">
        <v>1085.27</v>
      </c>
      <c r="O39" s="177">
        <v>0</v>
      </c>
      <c r="P39" s="177">
        <v>0</v>
      </c>
      <c r="Q39" s="177">
        <v>250</v>
      </c>
      <c r="R39" s="177">
        <f t="shared" si="12"/>
        <v>75860.070000000007</v>
      </c>
      <c r="S39" s="113"/>
      <c r="T39" s="290">
        <v>38.22</v>
      </c>
      <c r="U39" s="113"/>
      <c r="V39" s="177">
        <f t="shared" si="9"/>
        <v>79497.599999999991</v>
      </c>
      <c r="W39" s="177">
        <f t="shared" si="13"/>
        <v>1175.2649999999999</v>
      </c>
      <c r="X39" s="177">
        <f t="shared" si="14"/>
        <v>0</v>
      </c>
      <c r="Y39" s="177">
        <v>0</v>
      </c>
      <c r="Z39" s="177">
        <f t="shared" si="10"/>
        <v>250</v>
      </c>
      <c r="AA39" s="177">
        <f t="shared" si="11"/>
        <v>80922.864999999991</v>
      </c>
      <c r="AB39" s="114"/>
      <c r="AC39" s="177">
        <f t="shared" si="15"/>
        <v>5062.7949999999837</v>
      </c>
      <c r="AD39" s="294">
        <f t="shared" si="4"/>
        <v>6.6738601743973947E-2</v>
      </c>
      <c r="AE39" s="267"/>
      <c r="AF39" s="268"/>
    </row>
    <row r="40" spans="1:32" s="264" customFormat="1">
      <c r="A40" s="289">
        <f t="shared" si="5"/>
        <v>29</v>
      </c>
      <c r="B40" s="2"/>
      <c r="C40" s="289">
        <v>1</v>
      </c>
      <c r="D40" s="289">
        <v>1220</v>
      </c>
      <c r="E40" s="265">
        <v>139</v>
      </c>
      <c r="F40" s="288"/>
      <c r="G40" s="112"/>
      <c r="H40" s="177">
        <v>2088</v>
      </c>
      <c r="I40" s="177">
        <v>32</v>
      </c>
      <c r="J40" s="177">
        <v>0</v>
      </c>
      <c r="K40" s="177">
        <v>0</v>
      </c>
      <c r="L40" s="112"/>
      <c r="M40" s="177">
        <v>56327.53</v>
      </c>
      <c r="N40" s="177">
        <v>1281.25</v>
      </c>
      <c r="O40" s="177">
        <v>0</v>
      </c>
      <c r="P40" s="177">
        <v>0</v>
      </c>
      <c r="Q40" s="177">
        <v>250</v>
      </c>
      <c r="R40" s="177">
        <f t="shared" si="12"/>
        <v>57858.78</v>
      </c>
      <c r="S40" s="113"/>
      <c r="T40" s="290">
        <v>29.54</v>
      </c>
      <c r="U40" s="113"/>
      <c r="V40" s="177">
        <f t="shared" si="9"/>
        <v>61443.199999999997</v>
      </c>
      <c r="W40" s="177">
        <f t="shared" si="13"/>
        <v>1417.92</v>
      </c>
      <c r="X40" s="177">
        <f t="shared" si="14"/>
        <v>0</v>
      </c>
      <c r="Y40" s="177">
        <v>0</v>
      </c>
      <c r="Z40" s="177">
        <f t="shared" si="10"/>
        <v>250</v>
      </c>
      <c r="AA40" s="177">
        <f t="shared" si="11"/>
        <v>63111.119999999995</v>
      </c>
      <c r="AB40" s="114"/>
      <c r="AC40" s="177">
        <f t="shared" si="15"/>
        <v>5252.3399999999965</v>
      </c>
      <c r="AD40" s="294">
        <f t="shared" si="4"/>
        <v>9.0778616486555608E-2</v>
      </c>
      <c r="AE40" s="267"/>
      <c r="AF40" s="268"/>
    </row>
    <row r="41" spans="1:32" s="264" customFormat="1">
      <c r="A41" s="289">
        <f t="shared" si="5"/>
        <v>30</v>
      </c>
      <c r="B41" s="2"/>
      <c r="C41" s="289">
        <v>1</v>
      </c>
      <c r="D41" s="289">
        <v>1221</v>
      </c>
      <c r="E41" s="265">
        <v>144</v>
      </c>
      <c r="F41" s="288"/>
      <c r="G41" s="112"/>
      <c r="H41" s="177">
        <v>2088</v>
      </c>
      <c r="I41" s="177">
        <v>773</v>
      </c>
      <c r="J41" s="177">
        <v>3</v>
      </c>
      <c r="K41" s="177">
        <v>0</v>
      </c>
      <c r="L41" s="112"/>
      <c r="M41" s="177">
        <v>76151.520000000004</v>
      </c>
      <c r="N41" s="177">
        <v>42118.01</v>
      </c>
      <c r="O41" s="177">
        <v>216.23</v>
      </c>
      <c r="P41" s="177">
        <v>0</v>
      </c>
      <c r="Q41" s="177">
        <v>250</v>
      </c>
      <c r="R41" s="177">
        <f t="shared" si="12"/>
        <v>118735.76</v>
      </c>
      <c r="S41" s="113"/>
      <c r="T41" s="290">
        <v>39.04</v>
      </c>
      <c r="U41" s="113"/>
      <c r="V41" s="177">
        <f t="shared" si="9"/>
        <v>81203.199999999997</v>
      </c>
      <c r="W41" s="177">
        <f t="shared" si="13"/>
        <v>45266.879999999997</v>
      </c>
      <c r="X41" s="177">
        <f t="shared" si="14"/>
        <v>234.24</v>
      </c>
      <c r="Y41" s="177">
        <v>0</v>
      </c>
      <c r="Z41" s="177">
        <f t="shared" si="10"/>
        <v>250</v>
      </c>
      <c r="AA41" s="177">
        <f t="shared" si="11"/>
        <v>126954.31999999999</v>
      </c>
      <c r="AB41" s="114"/>
      <c r="AC41" s="177">
        <f t="shared" si="15"/>
        <v>8218.5599999999977</v>
      </c>
      <c r="AD41" s="294">
        <f t="shared" si="4"/>
        <v>6.9217226554156852E-2</v>
      </c>
      <c r="AE41" s="267"/>
      <c r="AF41" s="268"/>
    </row>
    <row r="42" spans="1:32" s="264" customFormat="1">
      <c r="A42" s="289">
        <f t="shared" si="5"/>
        <v>31</v>
      </c>
      <c r="B42" s="2"/>
      <c r="C42" s="289">
        <v>1</v>
      </c>
      <c r="D42" s="289">
        <v>1222</v>
      </c>
      <c r="E42" s="265">
        <v>164</v>
      </c>
      <c r="F42" s="288"/>
      <c r="G42" s="112"/>
      <c r="H42" s="177">
        <v>2088</v>
      </c>
      <c r="I42" s="177">
        <v>5.5</v>
      </c>
      <c r="J42" s="177">
        <v>0</v>
      </c>
      <c r="K42" s="177">
        <v>0</v>
      </c>
      <c r="L42" s="112"/>
      <c r="M42" s="177">
        <v>56327.519999999997</v>
      </c>
      <c r="N42" s="177">
        <v>224.61</v>
      </c>
      <c r="O42" s="177">
        <v>0</v>
      </c>
      <c r="P42" s="177">
        <v>0</v>
      </c>
      <c r="Q42" s="177">
        <v>250</v>
      </c>
      <c r="R42" s="177">
        <f t="shared" si="12"/>
        <v>56802.13</v>
      </c>
      <c r="S42" s="113"/>
      <c r="T42" s="290">
        <v>29.54</v>
      </c>
      <c r="U42" s="113"/>
      <c r="V42" s="177">
        <f t="shared" si="9"/>
        <v>61443.199999999997</v>
      </c>
      <c r="W42" s="177">
        <f t="shared" si="13"/>
        <v>243.70499999999998</v>
      </c>
      <c r="X42" s="177">
        <f t="shared" si="14"/>
        <v>0</v>
      </c>
      <c r="Y42" s="177">
        <v>0</v>
      </c>
      <c r="Z42" s="177">
        <f t="shared" si="10"/>
        <v>250</v>
      </c>
      <c r="AA42" s="177">
        <f t="shared" si="11"/>
        <v>61936.904999999999</v>
      </c>
      <c r="AB42" s="114"/>
      <c r="AC42" s="177">
        <f t="shared" si="15"/>
        <v>5134.7750000000015</v>
      </c>
      <c r="AD42" s="294">
        <f t="shared" si="4"/>
        <v>9.0397578400669198E-2</v>
      </c>
      <c r="AE42" s="267"/>
      <c r="AF42" s="268"/>
    </row>
    <row r="43" spans="1:32" s="264" customFormat="1">
      <c r="A43" s="289">
        <f t="shared" si="5"/>
        <v>32</v>
      </c>
      <c r="B43" s="2"/>
      <c r="C43" s="289">
        <v>1</v>
      </c>
      <c r="D43" s="289">
        <v>1223</v>
      </c>
      <c r="E43" s="265">
        <v>166</v>
      </c>
      <c r="F43" s="288" t="s">
        <v>127</v>
      </c>
      <c r="G43" s="112"/>
      <c r="H43" s="177">
        <v>1911</v>
      </c>
      <c r="I43" s="177">
        <v>110.5</v>
      </c>
      <c r="J43" s="177">
        <v>0</v>
      </c>
      <c r="K43" s="177">
        <v>0</v>
      </c>
      <c r="L43" s="112"/>
      <c r="M43" s="177">
        <v>51434.19</v>
      </c>
      <c r="N43" s="177">
        <v>4459.8</v>
      </c>
      <c r="O43" s="177">
        <v>0</v>
      </c>
      <c r="P43" s="177">
        <v>0</v>
      </c>
      <c r="Q43" s="177">
        <v>250</v>
      </c>
      <c r="R43" s="177">
        <f t="shared" si="12"/>
        <v>56143.990000000005</v>
      </c>
      <c r="S43" s="113"/>
      <c r="T43" s="290">
        <v>28.04</v>
      </c>
      <c r="U43" s="113"/>
      <c r="V43" s="177">
        <v>0</v>
      </c>
      <c r="W43" s="177">
        <v>0</v>
      </c>
      <c r="X43" s="177">
        <f t="shared" si="14"/>
        <v>0</v>
      </c>
      <c r="Y43" s="177">
        <v>0</v>
      </c>
      <c r="Z43" s="177">
        <v>0</v>
      </c>
      <c r="AA43" s="177">
        <f t="shared" si="11"/>
        <v>0</v>
      </c>
      <c r="AB43" s="114"/>
      <c r="AC43" s="177">
        <f t="shared" si="15"/>
        <v>-56143.990000000005</v>
      </c>
      <c r="AD43" s="294">
        <f t="shared" si="4"/>
        <v>-1</v>
      </c>
      <c r="AE43" s="267"/>
      <c r="AF43" s="268"/>
    </row>
    <row r="44" spans="1:32" s="264" customFormat="1">
      <c r="A44" s="289">
        <f t="shared" si="5"/>
        <v>33</v>
      </c>
      <c r="B44" s="2"/>
      <c r="C44" s="289">
        <v>1</v>
      </c>
      <c r="D44" s="289">
        <v>1225</v>
      </c>
      <c r="E44" s="265">
        <v>169</v>
      </c>
      <c r="F44" s="288" t="s">
        <v>127</v>
      </c>
      <c r="G44" s="112"/>
      <c r="H44" s="177">
        <v>729.5</v>
      </c>
      <c r="I44" s="177">
        <v>40</v>
      </c>
      <c r="J44" s="177">
        <v>0</v>
      </c>
      <c r="K44" s="177">
        <v>0</v>
      </c>
      <c r="L44" s="112"/>
      <c r="M44" s="177">
        <v>19510.18</v>
      </c>
      <c r="N44" s="177">
        <v>1601.4</v>
      </c>
      <c r="O44" s="177">
        <v>0</v>
      </c>
      <c r="P44" s="177">
        <v>0</v>
      </c>
      <c r="Q44" s="177">
        <v>0</v>
      </c>
      <c r="R44" s="177">
        <f t="shared" si="12"/>
        <v>21111.58</v>
      </c>
      <c r="S44" s="113"/>
      <c r="T44" s="290">
        <v>28.04</v>
      </c>
      <c r="U44" s="113"/>
      <c r="V44" s="177">
        <v>0</v>
      </c>
      <c r="W44" s="177">
        <v>0</v>
      </c>
      <c r="X44" s="177">
        <f t="shared" si="14"/>
        <v>0</v>
      </c>
      <c r="Y44" s="177">
        <v>0</v>
      </c>
      <c r="Z44" s="177" t="str">
        <f t="shared" si="10"/>
        <v xml:space="preserve"> </v>
      </c>
      <c r="AA44" s="177">
        <f t="shared" si="11"/>
        <v>0</v>
      </c>
      <c r="AB44" s="114"/>
      <c r="AC44" s="177">
        <f t="shared" si="15"/>
        <v>-21111.58</v>
      </c>
      <c r="AD44" s="294">
        <f t="shared" si="4"/>
        <v>-1</v>
      </c>
      <c r="AE44" s="267"/>
      <c r="AF44" s="268"/>
    </row>
    <row r="45" spans="1:32" s="264" customFormat="1">
      <c r="A45" s="289">
        <f t="shared" si="5"/>
        <v>34</v>
      </c>
      <c r="B45" s="2"/>
      <c r="C45" s="289">
        <v>1</v>
      </c>
      <c r="D45" s="289">
        <v>1229</v>
      </c>
      <c r="E45" s="265">
        <v>174</v>
      </c>
      <c r="F45" s="288"/>
      <c r="G45" s="112"/>
      <c r="H45" s="177">
        <v>2070</v>
      </c>
      <c r="I45" s="177">
        <v>403.65</v>
      </c>
      <c r="J45" s="177">
        <v>18</v>
      </c>
      <c r="K45" s="177">
        <v>0</v>
      </c>
      <c r="L45" s="112"/>
      <c r="M45" s="177">
        <v>75517.8</v>
      </c>
      <c r="N45" s="177">
        <v>21986.48</v>
      </c>
      <c r="O45" s="177">
        <v>1297.44</v>
      </c>
      <c r="P45" s="177">
        <v>0</v>
      </c>
      <c r="Q45" s="177">
        <v>250</v>
      </c>
      <c r="R45" s="177">
        <f t="shared" si="12"/>
        <v>99051.72</v>
      </c>
      <c r="S45" s="113"/>
      <c r="T45" s="290">
        <v>39.04</v>
      </c>
      <c r="U45" s="113"/>
      <c r="V45" s="177">
        <f t="shared" si="9"/>
        <v>81203.199999999997</v>
      </c>
      <c r="W45" s="177">
        <f t="shared" si="13"/>
        <v>23637.743999999999</v>
      </c>
      <c r="X45" s="177">
        <f t="shared" si="14"/>
        <v>1405.44</v>
      </c>
      <c r="Y45" s="177">
        <v>0</v>
      </c>
      <c r="Z45" s="177">
        <f t="shared" si="10"/>
        <v>250</v>
      </c>
      <c r="AA45" s="177">
        <f t="shared" si="11"/>
        <v>106496.38399999999</v>
      </c>
      <c r="AB45" s="114"/>
      <c r="AC45" s="177">
        <f t="shared" si="15"/>
        <v>7444.6639999999898</v>
      </c>
      <c r="AD45" s="294">
        <f t="shared" si="4"/>
        <v>7.5159361190295204E-2</v>
      </c>
      <c r="AE45" s="267"/>
      <c r="AF45" s="268"/>
    </row>
    <row r="46" spans="1:32">
      <c r="E46" s="117"/>
      <c r="G46" s="112"/>
      <c r="H46" s="175"/>
      <c r="I46" s="175"/>
      <c r="J46" s="175"/>
      <c r="K46" s="175"/>
      <c r="L46" s="176"/>
      <c r="M46" s="116"/>
      <c r="N46" s="116"/>
      <c r="O46" s="116"/>
      <c r="P46" s="116"/>
      <c r="Q46" s="116"/>
      <c r="R46" s="116"/>
      <c r="S46" s="113"/>
      <c r="T46" s="118"/>
      <c r="U46" s="113"/>
      <c r="V46" s="119"/>
      <c r="W46" s="119"/>
      <c r="X46" s="119"/>
      <c r="Y46" s="119"/>
      <c r="Z46" s="119"/>
      <c r="AA46" s="119"/>
      <c r="AB46" s="114"/>
      <c r="AC46" s="120"/>
      <c r="AD46" s="294"/>
    </row>
    <row r="47" spans="1:32" ht="20.25" customHeight="1">
      <c r="C47" s="365" t="s">
        <v>258</v>
      </c>
      <c r="D47" s="365"/>
      <c r="E47" s="365"/>
      <c r="F47" s="365"/>
      <c r="G47" s="112"/>
      <c r="H47" s="365" t="s">
        <v>247</v>
      </c>
      <c r="I47" s="365"/>
      <c r="J47" s="365"/>
      <c r="K47" s="365"/>
      <c r="L47" s="176"/>
      <c r="M47" s="365" t="s">
        <v>248</v>
      </c>
      <c r="N47" s="365"/>
      <c r="O47" s="365"/>
      <c r="P47" s="365"/>
      <c r="Q47" s="365"/>
      <c r="R47" s="365"/>
      <c r="S47" s="113"/>
      <c r="T47" s="364" t="str">
        <f>T8</f>
        <v>2024 Wage Rate</v>
      </c>
      <c r="U47" s="113"/>
      <c r="V47" s="365" t="s">
        <v>249</v>
      </c>
      <c r="W47" s="365"/>
      <c r="X47" s="365"/>
      <c r="Y47" s="365"/>
      <c r="Z47" s="365"/>
      <c r="AA47" s="365"/>
      <c r="AB47" s="114"/>
      <c r="AC47" s="364" t="s">
        <v>250</v>
      </c>
      <c r="AD47" s="294"/>
    </row>
    <row r="48" spans="1:32" ht="16.5" customHeight="1">
      <c r="A48" s="1" t="s">
        <v>0</v>
      </c>
      <c r="C48" s="1" t="s">
        <v>359</v>
      </c>
      <c r="D48" s="1" t="s">
        <v>251</v>
      </c>
      <c r="E48" s="111" t="s">
        <v>252</v>
      </c>
      <c r="F48" s="1" t="s">
        <v>257</v>
      </c>
      <c r="G48" s="112"/>
      <c r="H48" s="38" t="s">
        <v>253</v>
      </c>
      <c r="I48" s="38" t="s">
        <v>254</v>
      </c>
      <c r="J48" s="38" t="s">
        <v>527</v>
      </c>
      <c r="K48" s="38" t="s">
        <v>360</v>
      </c>
      <c r="L48" s="112"/>
      <c r="M48" s="38" t="s">
        <v>253</v>
      </c>
      <c r="N48" s="38" t="s">
        <v>254</v>
      </c>
      <c r="O48" s="38" t="s">
        <v>527</v>
      </c>
      <c r="P48" s="38" t="s">
        <v>360</v>
      </c>
      <c r="Q48" s="38" t="s">
        <v>361</v>
      </c>
      <c r="R48" s="38" t="s">
        <v>43</v>
      </c>
      <c r="S48" s="113"/>
      <c r="T48" s="364"/>
      <c r="U48" s="113"/>
      <c r="V48" s="38" t="s">
        <v>253</v>
      </c>
      <c r="W48" s="38" t="s">
        <v>254</v>
      </c>
      <c r="X48" s="38" t="s">
        <v>527</v>
      </c>
      <c r="Y48" s="38" t="s">
        <v>360</v>
      </c>
      <c r="Z48" s="38" t="s">
        <v>361</v>
      </c>
      <c r="AA48" s="38" t="s">
        <v>43</v>
      </c>
      <c r="AB48" s="114"/>
      <c r="AC48" s="364"/>
      <c r="AD48" s="294"/>
    </row>
    <row r="49" spans="1:32">
      <c r="A49" s="39" t="s">
        <v>21</v>
      </c>
      <c r="C49" s="40">
        <v>1</v>
      </c>
      <c r="D49" s="40">
        <f>C49+1</f>
        <v>2</v>
      </c>
      <c r="E49" s="115" t="s">
        <v>255</v>
      </c>
      <c r="F49" s="40">
        <f>D49+1</f>
        <v>3</v>
      </c>
      <c r="G49" s="112"/>
      <c r="H49" s="40">
        <f>F49+1</f>
        <v>4</v>
      </c>
      <c r="I49" s="40">
        <f>H49+1</f>
        <v>5</v>
      </c>
      <c r="J49" s="40">
        <f>I49+1</f>
        <v>6</v>
      </c>
      <c r="K49" s="40">
        <f>J49+1</f>
        <v>7</v>
      </c>
      <c r="L49" s="112"/>
      <c r="M49" s="40">
        <f>K49+1</f>
        <v>8</v>
      </c>
      <c r="N49" s="40">
        <f>M49+1</f>
        <v>9</v>
      </c>
      <c r="O49" s="40">
        <f>N49+1</f>
        <v>10</v>
      </c>
      <c r="P49" s="40">
        <f>O49+1</f>
        <v>11</v>
      </c>
      <c r="Q49" s="40">
        <f>P49+1</f>
        <v>12</v>
      </c>
      <c r="R49" s="40">
        <f>Q49+1</f>
        <v>13</v>
      </c>
      <c r="S49" s="113"/>
      <c r="T49" s="40">
        <f>R49+1</f>
        <v>14</v>
      </c>
      <c r="U49" s="113"/>
      <c r="V49" s="40">
        <f>T49+1</f>
        <v>15</v>
      </c>
      <c r="W49" s="40">
        <f>V49+1</f>
        <v>16</v>
      </c>
      <c r="X49" s="40">
        <f>W49+1</f>
        <v>17</v>
      </c>
      <c r="Y49" s="40">
        <f>X49+1</f>
        <v>18</v>
      </c>
      <c r="Z49" s="40">
        <f>Y49+1</f>
        <v>19</v>
      </c>
      <c r="AA49" s="40">
        <f>Z49+1</f>
        <v>20</v>
      </c>
      <c r="AB49" s="114"/>
      <c r="AC49" s="40">
        <f>AA49+1</f>
        <v>21</v>
      </c>
      <c r="AD49" s="294"/>
    </row>
    <row r="50" spans="1:32" s="264" customFormat="1">
      <c r="A50" s="1">
        <f>A45+1</f>
        <v>35</v>
      </c>
      <c r="B50" s="2"/>
      <c r="C50" s="289">
        <v>1</v>
      </c>
      <c r="D50" s="289">
        <v>1230</v>
      </c>
      <c r="E50" s="265"/>
      <c r="F50" s="288"/>
      <c r="G50" s="112"/>
      <c r="H50" s="177">
        <v>2050</v>
      </c>
      <c r="I50" s="177">
        <v>280.25</v>
      </c>
      <c r="J50" s="177">
        <v>21</v>
      </c>
      <c r="K50" s="177">
        <v>0</v>
      </c>
      <c r="L50" s="112"/>
      <c r="M50" s="177">
        <v>74207.94</v>
      </c>
      <c r="N50" s="177">
        <v>15012.54</v>
      </c>
      <c r="O50" s="177">
        <v>1490.16</v>
      </c>
      <c r="P50" s="177">
        <v>0</v>
      </c>
      <c r="Q50" s="177">
        <v>250</v>
      </c>
      <c r="R50" s="177">
        <f t="shared" si="12"/>
        <v>90960.640000000014</v>
      </c>
      <c r="S50" s="113"/>
      <c r="T50" s="290">
        <v>38.479999999999997</v>
      </c>
      <c r="U50" s="113"/>
      <c r="V50" s="177">
        <f t="shared" si="9"/>
        <v>80038.399999999994</v>
      </c>
      <c r="W50" s="177">
        <f t="shared" si="13"/>
        <v>16176.029999999999</v>
      </c>
      <c r="X50" s="177">
        <f>(+J50*T50)*2</f>
        <v>1616.1599999999999</v>
      </c>
      <c r="Y50" s="177">
        <v>0</v>
      </c>
      <c r="Z50" s="177">
        <v>250</v>
      </c>
      <c r="AA50" s="177">
        <f t="shared" si="11"/>
        <v>98080.59</v>
      </c>
      <c r="AB50" s="114"/>
      <c r="AC50" s="177">
        <f t="shared" si="15"/>
        <v>7119.9499999999825</v>
      </c>
      <c r="AD50" s="294">
        <f t="shared" si="4"/>
        <v>7.8275064907194825E-2</v>
      </c>
      <c r="AE50" s="267"/>
      <c r="AF50" s="268"/>
    </row>
    <row r="51" spans="1:32" s="264" customFormat="1">
      <c r="A51" s="1">
        <f>A50+1</f>
        <v>36</v>
      </c>
      <c r="B51" s="2"/>
      <c r="C51" s="289">
        <v>1</v>
      </c>
      <c r="D51" s="289">
        <v>1231</v>
      </c>
      <c r="E51" s="265"/>
      <c r="F51" s="288"/>
      <c r="G51" s="112"/>
      <c r="H51" s="177">
        <v>2079</v>
      </c>
      <c r="I51" s="177">
        <v>736</v>
      </c>
      <c r="J51" s="177">
        <v>26</v>
      </c>
      <c r="K51" s="177">
        <v>0</v>
      </c>
      <c r="L51" s="112"/>
      <c r="M51" s="177">
        <v>74674.92</v>
      </c>
      <c r="N51" s="177">
        <v>39533.31</v>
      </c>
      <c r="O51" s="177">
        <v>1844.96</v>
      </c>
      <c r="P51" s="177">
        <v>0</v>
      </c>
      <c r="Q51" s="177">
        <v>250</v>
      </c>
      <c r="R51" s="177">
        <f t="shared" si="12"/>
        <v>116303.19</v>
      </c>
      <c r="S51" s="113"/>
      <c r="T51" s="290">
        <v>38.479999999999997</v>
      </c>
      <c r="U51" s="113"/>
      <c r="V51" s="177">
        <f t="shared" si="9"/>
        <v>80038.399999999994</v>
      </c>
      <c r="W51" s="177">
        <f t="shared" si="13"/>
        <v>42481.919999999998</v>
      </c>
      <c r="X51" s="177">
        <f t="shared" ref="X51:X72" si="16">(+J51*T51)*2</f>
        <v>2000.9599999999998</v>
      </c>
      <c r="Y51" s="177">
        <v>0</v>
      </c>
      <c r="Z51" s="177">
        <v>250</v>
      </c>
      <c r="AA51" s="177">
        <f t="shared" si="11"/>
        <v>124771.28</v>
      </c>
      <c r="AB51" s="114"/>
      <c r="AC51" s="177">
        <f t="shared" si="15"/>
        <v>8468.0899999999965</v>
      </c>
      <c r="AD51" s="294">
        <f t="shared" si="4"/>
        <v>7.2810470632834745E-2</v>
      </c>
      <c r="AE51" s="267"/>
      <c r="AF51" s="268"/>
    </row>
    <row r="52" spans="1:32" s="264" customFormat="1">
      <c r="A52" s="1">
        <f t="shared" ref="A52:A86" si="17">A51+1</f>
        <v>37</v>
      </c>
      <c r="B52" s="2"/>
      <c r="C52" s="289">
        <v>1</v>
      </c>
      <c r="D52" s="289">
        <v>1232</v>
      </c>
      <c r="E52" s="265"/>
      <c r="F52" s="288"/>
      <c r="G52" s="112"/>
      <c r="H52" s="177">
        <v>2078.5</v>
      </c>
      <c r="I52" s="177">
        <v>724.5</v>
      </c>
      <c r="J52" s="177">
        <v>17</v>
      </c>
      <c r="K52" s="177">
        <v>0</v>
      </c>
      <c r="L52" s="112"/>
      <c r="M52" s="177">
        <v>74657.179999999993</v>
      </c>
      <c r="N52" s="177">
        <v>38937.040000000001</v>
      </c>
      <c r="O52" s="177">
        <v>1206.32</v>
      </c>
      <c r="P52" s="177">
        <v>0</v>
      </c>
      <c r="Q52" s="177">
        <v>250</v>
      </c>
      <c r="R52" s="177">
        <f t="shared" si="12"/>
        <v>115050.54000000001</v>
      </c>
      <c r="S52" s="113"/>
      <c r="T52" s="290">
        <v>38.479999999999997</v>
      </c>
      <c r="U52" s="113"/>
      <c r="V52" s="177">
        <f t="shared" si="9"/>
        <v>80038.399999999994</v>
      </c>
      <c r="W52" s="177">
        <f t="shared" si="13"/>
        <v>41818.14</v>
      </c>
      <c r="X52" s="177">
        <f t="shared" si="16"/>
        <v>1308.32</v>
      </c>
      <c r="Y52" s="177">
        <v>0</v>
      </c>
      <c r="Z52" s="177">
        <v>250</v>
      </c>
      <c r="AA52" s="177">
        <f t="shared" si="11"/>
        <v>123414.86</v>
      </c>
      <c r="AB52" s="114"/>
      <c r="AC52" s="177">
        <f t="shared" si="15"/>
        <v>8364.3199999999924</v>
      </c>
      <c r="AD52" s="294">
        <f t="shared" si="4"/>
        <v>7.2701266765023309E-2</v>
      </c>
      <c r="AE52" s="267"/>
      <c r="AF52" s="268"/>
    </row>
    <row r="53" spans="1:32" s="264" customFormat="1">
      <c r="A53" s="1">
        <f t="shared" si="17"/>
        <v>38</v>
      </c>
      <c r="B53" s="2"/>
      <c r="C53" s="289">
        <v>1</v>
      </c>
      <c r="D53" s="289">
        <v>1233</v>
      </c>
      <c r="E53" s="265"/>
      <c r="F53" s="288"/>
      <c r="G53" s="112"/>
      <c r="H53" s="177">
        <v>2052</v>
      </c>
      <c r="I53" s="177">
        <v>773.65</v>
      </c>
      <c r="J53" s="177">
        <v>34.5</v>
      </c>
      <c r="K53" s="177">
        <v>0</v>
      </c>
      <c r="L53" s="112"/>
      <c r="M53" s="177">
        <v>73704.960000000006</v>
      </c>
      <c r="N53" s="177">
        <v>41550.32</v>
      </c>
      <c r="O53" s="177">
        <v>2448.12</v>
      </c>
      <c r="P53" s="177">
        <v>0</v>
      </c>
      <c r="Q53" s="177">
        <v>250</v>
      </c>
      <c r="R53" s="177">
        <f t="shared" si="12"/>
        <v>117953.4</v>
      </c>
      <c r="S53" s="113"/>
      <c r="T53" s="290">
        <v>38.479999999999997</v>
      </c>
      <c r="U53" s="113"/>
      <c r="V53" s="177">
        <f t="shared" si="9"/>
        <v>80038.399999999994</v>
      </c>
      <c r="W53" s="177">
        <f t="shared" si="13"/>
        <v>44655.077999999994</v>
      </c>
      <c r="X53" s="177">
        <f t="shared" si="16"/>
        <v>2655.12</v>
      </c>
      <c r="Y53" s="177">
        <v>0</v>
      </c>
      <c r="Z53" s="177">
        <v>250</v>
      </c>
      <c r="AA53" s="177">
        <f t="shared" si="11"/>
        <v>127598.59799999998</v>
      </c>
      <c r="AB53" s="114"/>
      <c r="AC53" s="177">
        <f t="shared" si="15"/>
        <v>9645.1979999999894</v>
      </c>
      <c r="AD53" s="294">
        <f t="shared" si="4"/>
        <v>8.1771258819160808E-2</v>
      </c>
      <c r="AE53" s="267"/>
      <c r="AF53" s="268"/>
    </row>
    <row r="54" spans="1:32" s="264" customFormat="1">
      <c r="A54" s="1">
        <f t="shared" si="17"/>
        <v>39</v>
      </c>
      <c r="B54" s="2"/>
      <c r="C54" s="289">
        <v>1</v>
      </c>
      <c r="D54" s="289">
        <v>1235</v>
      </c>
      <c r="E54" s="265"/>
      <c r="F54" s="288"/>
      <c r="G54" s="112"/>
      <c r="H54" s="177">
        <v>2088</v>
      </c>
      <c r="I54" s="177">
        <v>21.5</v>
      </c>
      <c r="J54" s="177">
        <v>0</v>
      </c>
      <c r="K54" s="177">
        <v>0</v>
      </c>
      <c r="L54" s="112"/>
      <c r="M54" s="177">
        <v>56327.519999999997</v>
      </c>
      <c r="N54" s="177">
        <v>857.04</v>
      </c>
      <c r="O54" s="177">
        <v>0</v>
      </c>
      <c r="P54" s="177">
        <v>0</v>
      </c>
      <c r="Q54" s="177">
        <v>250</v>
      </c>
      <c r="R54" s="177">
        <f t="shared" si="12"/>
        <v>57434.559999999998</v>
      </c>
      <c r="S54" s="113"/>
      <c r="T54" s="290">
        <v>29.54</v>
      </c>
      <c r="U54" s="113"/>
      <c r="V54" s="177">
        <f t="shared" si="9"/>
        <v>61443.199999999997</v>
      </c>
      <c r="W54" s="177">
        <f t="shared" si="13"/>
        <v>952.66499999999996</v>
      </c>
      <c r="X54" s="177">
        <f t="shared" si="16"/>
        <v>0</v>
      </c>
      <c r="Y54" s="177">
        <v>0</v>
      </c>
      <c r="Z54" s="177">
        <v>250</v>
      </c>
      <c r="AA54" s="177">
        <f t="shared" si="11"/>
        <v>62645.864999999998</v>
      </c>
      <c r="AB54" s="114"/>
      <c r="AC54" s="177">
        <f t="shared" si="15"/>
        <v>5211.3050000000003</v>
      </c>
      <c r="AD54" s="294">
        <f t="shared" si="4"/>
        <v>9.0734655231971884E-2</v>
      </c>
      <c r="AE54" s="267"/>
      <c r="AF54" s="268"/>
    </row>
    <row r="55" spans="1:32" s="264" customFormat="1">
      <c r="A55" s="1">
        <f t="shared" si="17"/>
        <v>40</v>
      </c>
      <c r="B55" s="2"/>
      <c r="C55" s="289">
        <v>1</v>
      </c>
      <c r="D55" s="289">
        <v>1236</v>
      </c>
      <c r="E55" s="265"/>
      <c r="F55" s="288"/>
      <c r="G55" s="112"/>
      <c r="H55" s="177">
        <v>2080</v>
      </c>
      <c r="I55" s="177">
        <v>47</v>
      </c>
      <c r="J55" s="177">
        <v>0</v>
      </c>
      <c r="K55" s="177">
        <v>0</v>
      </c>
      <c r="L55" s="112"/>
      <c r="M55" s="177">
        <v>56103.24</v>
      </c>
      <c r="N55" s="177">
        <v>1871.09</v>
      </c>
      <c r="O55" s="177">
        <v>0</v>
      </c>
      <c r="P55" s="177">
        <v>0</v>
      </c>
      <c r="Q55" s="177">
        <v>250</v>
      </c>
      <c r="R55" s="177">
        <f t="shared" si="12"/>
        <v>58224.329999999994</v>
      </c>
      <c r="S55" s="113"/>
      <c r="T55" s="290">
        <v>29.54</v>
      </c>
      <c r="U55" s="113"/>
      <c r="V55" s="177">
        <f t="shared" si="9"/>
        <v>61443.199999999997</v>
      </c>
      <c r="W55" s="177">
        <f t="shared" si="13"/>
        <v>2082.5699999999997</v>
      </c>
      <c r="X55" s="177">
        <f t="shared" si="16"/>
        <v>0</v>
      </c>
      <c r="Y55" s="177">
        <v>0</v>
      </c>
      <c r="Z55" s="177">
        <v>250</v>
      </c>
      <c r="AA55" s="177">
        <f t="shared" si="11"/>
        <v>63775.77</v>
      </c>
      <c r="AB55" s="114"/>
      <c r="AC55" s="177">
        <f t="shared" si="15"/>
        <v>5551.4400000000023</v>
      </c>
      <c r="AD55" s="294">
        <f t="shared" si="4"/>
        <v>9.5345708572344368E-2</v>
      </c>
      <c r="AE55" s="267"/>
      <c r="AF55" s="268"/>
    </row>
    <row r="56" spans="1:32" s="264" customFormat="1">
      <c r="A56" s="1">
        <f t="shared" si="17"/>
        <v>41</v>
      </c>
      <c r="B56" s="2"/>
      <c r="C56" s="289">
        <v>1</v>
      </c>
      <c r="D56" s="289">
        <v>1237</v>
      </c>
      <c r="E56" s="265"/>
      <c r="F56" s="288"/>
      <c r="G56" s="112"/>
      <c r="H56" s="177">
        <v>2070</v>
      </c>
      <c r="I56" s="177">
        <v>27</v>
      </c>
      <c r="J56" s="177">
        <v>0</v>
      </c>
      <c r="K56" s="177">
        <v>0</v>
      </c>
      <c r="L56" s="112"/>
      <c r="M56" s="177">
        <v>55822.8</v>
      </c>
      <c r="N56" s="177">
        <v>1074.8800000000001</v>
      </c>
      <c r="O56" s="177">
        <v>0</v>
      </c>
      <c r="P56" s="177">
        <v>0</v>
      </c>
      <c r="Q56" s="177">
        <v>250</v>
      </c>
      <c r="R56" s="177">
        <f t="shared" si="12"/>
        <v>57147.68</v>
      </c>
      <c r="S56" s="113"/>
      <c r="T56" s="290">
        <v>29.54</v>
      </c>
      <c r="U56" s="113"/>
      <c r="V56" s="177">
        <f t="shared" si="9"/>
        <v>61443.199999999997</v>
      </c>
      <c r="W56" s="177">
        <f t="shared" si="13"/>
        <v>1196.3699999999999</v>
      </c>
      <c r="X56" s="177">
        <f t="shared" si="16"/>
        <v>0</v>
      </c>
      <c r="Y56" s="177">
        <v>0</v>
      </c>
      <c r="Z56" s="177">
        <v>250</v>
      </c>
      <c r="AA56" s="177">
        <f t="shared" si="11"/>
        <v>62889.57</v>
      </c>
      <c r="AB56" s="114"/>
      <c r="AC56" s="177">
        <f t="shared" si="15"/>
        <v>5741.8899999999994</v>
      </c>
      <c r="AD56" s="294">
        <f t="shared" si="4"/>
        <v>0.10047459494418676</v>
      </c>
      <c r="AE56" s="267"/>
      <c r="AF56" s="268"/>
    </row>
    <row r="57" spans="1:32" s="264" customFormat="1">
      <c r="A57" s="1">
        <f t="shared" si="17"/>
        <v>42</v>
      </c>
      <c r="B57" s="2"/>
      <c r="C57" s="289">
        <v>1</v>
      </c>
      <c r="D57" s="289">
        <v>1238</v>
      </c>
      <c r="E57" s="265"/>
      <c r="F57" s="288"/>
      <c r="G57" s="112"/>
      <c r="H57" s="177">
        <v>1834.5</v>
      </c>
      <c r="I57" s="177">
        <v>103</v>
      </c>
      <c r="J57" s="177">
        <v>9</v>
      </c>
      <c r="K57" s="177">
        <v>0</v>
      </c>
      <c r="L57" s="112"/>
      <c r="M57" s="177">
        <v>66015.64</v>
      </c>
      <c r="N57" s="177">
        <v>5490.52</v>
      </c>
      <c r="O57" s="177">
        <v>638.64</v>
      </c>
      <c r="P57" s="177">
        <v>0</v>
      </c>
      <c r="Q57" s="177">
        <v>250</v>
      </c>
      <c r="R57" s="177">
        <f t="shared" si="12"/>
        <v>72394.8</v>
      </c>
      <c r="S57" s="113"/>
      <c r="T57" s="290">
        <v>38.479999999999997</v>
      </c>
      <c r="U57" s="113"/>
      <c r="V57" s="177">
        <f t="shared" si="9"/>
        <v>80038.399999999994</v>
      </c>
      <c r="W57" s="177">
        <f t="shared" si="13"/>
        <v>5945.16</v>
      </c>
      <c r="X57" s="177">
        <f t="shared" si="16"/>
        <v>692.64</v>
      </c>
      <c r="Y57" s="177">
        <v>0</v>
      </c>
      <c r="Z57" s="177">
        <v>250</v>
      </c>
      <c r="AA57" s="177">
        <f t="shared" si="11"/>
        <v>86926.2</v>
      </c>
      <c r="AB57" s="114"/>
      <c r="AC57" s="177">
        <f>AA57-R57</f>
        <v>14531.399999999994</v>
      </c>
      <c r="AD57" s="294">
        <f t="shared" si="4"/>
        <v>0.20072436141822325</v>
      </c>
      <c r="AE57" s="267"/>
      <c r="AF57" s="268"/>
    </row>
    <row r="58" spans="1:32" s="264" customFormat="1">
      <c r="A58" s="1">
        <f t="shared" si="17"/>
        <v>43</v>
      </c>
      <c r="B58" s="2"/>
      <c r="C58" s="289">
        <v>1</v>
      </c>
      <c r="D58" s="289">
        <v>1241</v>
      </c>
      <c r="E58" s="265"/>
      <c r="F58" s="288"/>
      <c r="G58" s="112"/>
      <c r="H58" s="177">
        <v>2052</v>
      </c>
      <c r="I58" s="177">
        <v>204</v>
      </c>
      <c r="J58" s="177">
        <v>0</v>
      </c>
      <c r="K58" s="177">
        <v>0</v>
      </c>
      <c r="L58" s="112"/>
      <c r="M58" s="177">
        <v>55336.08</v>
      </c>
      <c r="N58" s="177">
        <v>8229.84</v>
      </c>
      <c r="O58" s="177">
        <v>0</v>
      </c>
      <c r="P58" s="177">
        <v>0</v>
      </c>
      <c r="Q58" s="177">
        <v>250</v>
      </c>
      <c r="R58" s="177">
        <f t="shared" si="12"/>
        <v>63815.92</v>
      </c>
      <c r="S58" s="113"/>
      <c r="T58" s="290">
        <v>29.54</v>
      </c>
      <c r="U58" s="113"/>
      <c r="V58" s="177">
        <f t="shared" si="9"/>
        <v>61443.199999999997</v>
      </c>
      <c r="W58" s="177">
        <f t="shared" si="13"/>
        <v>9039.24</v>
      </c>
      <c r="X58" s="177">
        <f t="shared" si="16"/>
        <v>0</v>
      </c>
      <c r="Y58" s="177">
        <v>0</v>
      </c>
      <c r="Z58" s="177">
        <v>250</v>
      </c>
      <c r="AA58" s="177">
        <f t="shared" si="11"/>
        <v>70732.44</v>
      </c>
      <c r="AB58" s="114"/>
      <c r="AC58" s="177">
        <f>AA58-R58</f>
        <v>6916.5200000000041</v>
      </c>
      <c r="AD58" s="294">
        <f t="shared" si="4"/>
        <v>0.10838235976226618</v>
      </c>
      <c r="AE58" s="267"/>
      <c r="AF58" s="268"/>
    </row>
    <row r="59" spans="1:32" s="264" customFormat="1">
      <c r="A59" s="1">
        <f t="shared" si="17"/>
        <v>44</v>
      </c>
      <c r="B59" s="2"/>
      <c r="C59" s="289">
        <v>1</v>
      </c>
      <c r="D59" s="289">
        <v>1242</v>
      </c>
      <c r="E59" s="265"/>
      <c r="F59" s="288"/>
      <c r="G59" s="112"/>
      <c r="H59" s="177">
        <v>2080</v>
      </c>
      <c r="I59" s="177">
        <v>67.5</v>
      </c>
      <c r="J59" s="177">
        <v>0</v>
      </c>
      <c r="K59" s="177">
        <v>0</v>
      </c>
      <c r="L59" s="112"/>
      <c r="M59" s="177">
        <v>70184.800000000003</v>
      </c>
      <c r="N59" s="177">
        <v>3417.64</v>
      </c>
      <c r="O59" s="177">
        <v>0</v>
      </c>
      <c r="P59" s="177">
        <v>0</v>
      </c>
      <c r="Q59" s="177">
        <v>250</v>
      </c>
      <c r="R59" s="177">
        <f t="shared" si="12"/>
        <v>73852.44</v>
      </c>
      <c r="S59" s="113"/>
      <c r="T59" s="290">
        <v>36.31</v>
      </c>
      <c r="U59" s="113"/>
      <c r="V59" s="177">
        <f t="shared" si="9"/>
        <v>75524.800000000003</v>
      </c>
      <c r="W59" s="177">
        <f t="shared" si="13"/>
        <v>3676.3875000000003</v>
      </c>
      <c r="X59" s="177">
        <f t="shared" si="16"/>
        <v>0</v>
      </c>
      <c r="Y59" s="177">
        <v>0</v>
      </c>
      <c r="Z59" s="177">
        <v>250</v>
      </c>
      <c r="AA59" s="177">
        <f t="shared" si="11"/>
        <v>79451.1875</v>
      </c>
      <c r="AB59" s="114"/>
      <c r="AC59" s="177">
        <f>AA59-R59</f>
        <v>5598.7474999999977</v>
      </c>
      <c r="AD59" s="294">
        <f t="shared" si="4"/>
        <v>7.5809919076471832E-2</v>
      </c>
      <c r="AE59" s="267"/>
      <c r="AF59" s="268"/>
    </row>
    <row r="60" spans="1:32" s="264" customFormat="1">
      <c r="A60" s="1">
        <f t="shared" si="17"/>
        <v>45</v>
      </c>
      <c r="B60" s="2"/>
      <c r="C60" s="289">
        <v>1</v>
      </c>
      <c r="D60" s="289">
        <v>1244</v>
      </c>
      <c r="E60" s="265"/>
      <c r="F60" s="288"/>
      <c r="G60" s="112"/>
      <c r="H60" s="177">
        <v>2090</v>
      </c>
      <c r="I60" s="177">
        <v>40</v>
      </c>
      <c r="J60" s="177">
        <v>13.5</v>
      </c>
      <c r="K60" s="177">
        <v>0</v>
      </c>
      <c r="L60" s="112"/>
      <c r="M60" s="177">
        <v>70532.899999999994</v>
      </c>
      <c r="N60" s="177">
        <v>2021.11</v>
      </c>
      <c r="O60" s="177">
        <v>899.37</v>
      </c>
      <c r="P60" s="177">
        <v>0</v>
      </c>
      <c r="Q60" s="177">
        <v>250</v>
      </c>
      <c r="R60" s="177">
        <f t="shared" si="12"/>
        <v>73703.37999999999</v>
      </c>
      <c r="S60" s="113"/>
      <c r="T60" s="290">
        <v>36.31</v>
      </c>
      <c r="U60" s="113"/>
      <c r="V60" s="177">
        <f t="shared" si="9"/>
        <v>75524.800000000003</v>
      </c>
      <c r="W60" s="177">
        <f t="shared" si="13"/>
        <v>2178.6000000000004</v>
      </c>
      <c r="X60" s="177">
        <f t="shared" si="16"/>
        <v>980.37000000000012</v>
      </c>
      <c r="Y60" s="177">
        <v>0</v>
      </c>
      <c r="Z60" s="177">
        <v>250</v>
      </c>
      <c r="AA60" s="177">
        <f t="shared" si="11"/>
        <v>78933.77</v>
      </c>
      <c r="AB60" s="114"/>
      <c r="AC60" s="177">
        <f>AA60-R60</f>
        <v>5230.390000000014</v>
      </c>
      <c r="AD60" s="294">
        <f t="shared" si="4"/>
        <v>7.0965402129454791E-2</v>
      </c>
      <c r="AE60" s="267"/>
      <c r="AF60" s="268"/>
    </row>
    <row r="61" spans="1:32" s="264" customFormat="1">
      <c r="A61" s="1">
        <f t="shared" si="17"/>
        <v>46</v>
      </c>
      <c r="B61" s="2"/>
      <c r="C61" s="289">
        <v>1</v>
      </c>
      <c r="D61" s="289">
        <v>1246</v>
      </c>
      <c r="E61" s="265"/>
      <c r="F61" s="288" t="s">
        <v>127</v>
      </c>
      <c r="G61" s="112"/>
      <c r="H61" s="177">
        <v>220</v>
      </c>
      <c r="I61" s="177">
        <v>11</v>
      </c>
      <c r="J61" s="177">
        <v>0</v>
      </c>
      <c r="K61" s="177">
        <v>0</v>
      </c>
      <c r="L61" s="112"/>
      <c r="M61" s="177">
        <v>7805.6</v>
      </c>
      <c r="N61" s="177">
        <v>585.41999999999996</v>
      </c>
      <c r="O61" s="177">
        <v>0</v>
      </c>
      <c r="P61" s="177">
        <v>0</v>
      </c>
      <c r="Q61" s="177">
        <v>0</v>
      </c>
      <c r="R61" s="177">
        <f t="shared" si="12"/>
        <v>8391.02</v>
      </c>
      <c r="S61" s="113"/>
      <c r="T61" s="290">
        <v>35.479999999999997</v>
      </c>
      <c r="U61" s="113"/>
      <c r="V61" s="177">
        <v>0</v>
      </c>
      <c r="W61" s="177">
        <v>0</v>
      </c>
      <c r="X61" s="177">
        <f t="shared" si="16"/>
        <v>0</v>
      </c>
      <c r="Y61" s="177">
        <v>0</v>
      </c>
      <c r="Z61" s="177">
        <v>0</v>
      </c>
      <c r="AA61" s="177">
        <f t="shared" ref="AA61:AA63" si="18">SUM(V61:Z61)</f>
        <v>0</v>
      </c>
      <c r="AB61" s="114"/>
      <c r="AC61" s="177">
        <f t="shared" ref="AC61:AC63" si="19">AA61-R61</f>
        <v>-8391.02</v>
      </c>
      <c r="AD61" s="294">
        <f t="shared" si="4"/>
        <v>-1</v>
      </c>
      <c r="AE61" s="267"/>
      <c r="AF61" s="268"/>
    </row>
    <row r="62" spans="1:32" s="264" customFormat="1">
      <c r="A62" s="1">
        <f t="shared" si="17"/>
        <v>47</v>
      </c>
      <c r="B62" s="2"/>
      <c r="C62" s="289">
        <v>1</v>
      </c>
      <c r="D62" s="289">
        <v>1248</v>
      </c>
      <c r="E62" s="265"/>
      <c r="F62" s="288" t="s">
        <v>127</v>
      </c>
      <c r="G62" s="112"/>
      <c r="H62" s="177">
        <v>170</v>
      </c>
      <c r="I62" s="177">
        <v>4.5</v>
      </c>
      <c r="J62" s="177">
        <v>0</v>
      </c>
      <c r="K62" s="177">
        <v>0</v>
      </c>
      <c r="L62" s="112"/>
      <c r="M62" s="177">
        <v>6031.6</v>
      </c>
      <c r="N62" s="177">
        <v>239.49</v>
      </c>
      <c r="O62" s="177">
        <v>0</v>
      </c>
      <c r="P62" s="177">
        <v>0</v>
      </c>
      <c r="Q62" s="177">
        <v>0</v>
      </c>
      <c r="R62" s="177">
        <f t="shared" si="12"/>
        <v>6271.09</v>
      </c>
      <c r="S62" s="113"/>
      <c r="T62" s="290">
        <v>35.479999999999997</v>
      </c>
      <c r="U62" s="113"/>
      <c r="V62" s="177">
        <v>0</v>
      </c>
      <c r="W62" s="177">
        <v>0</v>
      </c>
      <c r="X62" s="177">
        <f t="shared" si="16"/>
        <v>0</v>
      </c>
      <c r="Y62" s="177">
        <v>0</v>
      </c>
      <c r="Z62" s="177">
        <v>0</v>
      </c>
      <c r="AA62" s="177">
        <f t="shared" si="18"/>
        <v>0</v>
      </c>
      <c r="AB62" s="114"/>
      <c r="AC62" s="177">
        <f t="shared" si="19"/>
        <v>-6271.09</v>
      </c>
      <c r="AD62" s="294">
        <f t="shared" si="4"/>
        <v>-1</v>
      </c>
      <c r="AE62" s="267"/>
      <c r="AF62" s="268"/>
    </row>
    <row r="63" spans="1:32" s="264" customFormat="1">
      <c r="A63" s="1">
        <f t="shared" si="17"/>
        <v>48</v>
      </c>
      <c r="B63" s="2"/>
      <c r="C63" s="289">
        <v>1</v>
      </c>
      <c r="D63" s="289">
        <v>1249</v>
      </c>
      <c r="E63" s="265"/>
      <c r="F63" s="288" t="s">
        <v>127</v>
      </c>
      <c r="G63" s="112"/>
      <c r="H63" s="177">
        <v>1943.5</v>
      </c>
      <c r="I63" s="177">
        <v>113</v>
      </c>
      <c r="J63" s="177">
        <v>18</v>
      </c>
      <c r="K63" s="177">
        <v>0</v>
      </c>
      <c r="L63" s="112"/>
      <c r="M63" s="177">
        <v>69193.19</v>
      </c>
      <c r="N63" s="177">
        <v>5941.24</v>
      </c>
      <c r="O63" s="177">
        <v>1277.28</v>
      </c>
      <c r="P63" s="177">
        <v>0</v>
      </c>
      <c r="Q63" s="177">
        <v>250</v>
      </c>
      <c r="R63" s="177">
        <f t="shared" si="12"/>
        <v>76661.710000000006</v>
      </c>
      <c r="S63" s="113"/>
      <c r="T63" s="290">
        <v>36.979999999999997</v>
      </c>
      <c r="U63" s="113"/>
      <c r="V63" s="177">
        <v>0</v>
      </c>
      <c r="W63" s="177">
        <v>0</v>
      </c>
      <c r="X63" s="177">
        <v>0</v>
      </c>
      <c r="Y63" s="177">
        <v>0</v>
      </c>
      <c r="Z63" s="177">
        <v>0</v>
      </c>
      <c r="AA63" s="177">
        <f t="shared" si="18"/>
        <v>0</v>
      </c>
      <c r="AB63" s="114"/>
      <c r="AC63" s="177">
        <f t="shared" si="19"/>
        <v>-76661.710000000006</v>
      </c>
      <c r="AD63" s="294">
        <f t="shared" si="4"/>
        <v>-1</v>
      </c>
      <c r="AE63" s="267"/>
      <c r="AF63" s="268"/>
    </row>
    <row r="64" spans="1:32" s="264" customFormat="1">
      <c r="A64" s="1">
        <f t="shared" si="17"/>
        <v>49</v>
      </c>
      <c r="B64" s="2"/>
      <c r="C64" s="289">
        <v>1</v>
      </c>
      <c r="D64" s="289">
        <v>1250</v>
      </c>
      <c r="E64" s="265"/>
      <c r="F64" s="288" t="s">
        <v>127</v>
      </c>
      <c r="G64" s="112"/>
      <c r="H64" s="177">
        <v>200</v>
      </c>
      <c r="I64" s="177">
        <v>29</v>
      </c>
      <c r="J64" s="177">
        <v>0</v>
      </c>
      <c r="K64" s="177">
        <v>0</v>
      </c>
      <c r="L64" s="112"/>
      <c r="M64" s="177">
        <v>7096</v>
      </c>
      <c r="N64" s="177">
        <v>1543.38</v>
      </c>
      <c r="O64" s="177">
        <v>0</v>
      </c>
      <c r="P64" s="177">
        <v>0</v>
      </c>
      <c r="Q64" s="177">
        <v>0</v>
      </c>
      <c r="R64" s="177">
        <f t="shared" si="12"/>
        <v>8639.380000000001</v>
      </c>
      <c r="S64" s="113"/>
      <c r="T64" s="290">
        <v>35.479999999999997</v>
      </c>
      <c r="U64" s="113"/>
      <c r="V64" s="177">
        <v>0</v>
      </c>
      <c r="W64" s="177">
        <v>0</v>
      </c>
      <c r="X64" s="177">
        <f t="shared" si="16"/>
        <v>0</v>
      </c>
      <c r="Y64" s="177">
        <v>0</v>
      </c>
      <c r="Z64" s="177">
        <v>0</v>
      </c>
      <c r="AA64" s="177">
        <f>SUM(V64:Z64)</f>
        <v>0</v>
      </c>
      <c r="AB64" s="114"/>
      <c r="AC64" s="177">
        <f t="shared" si="15"/>
        <v>-8639.380000000001</v>
      </c>
      <c r="AD64" s="294">
        <f t="shared" si="4"/>
        <v>-1</v>
      </c>
      <c r="AE64" s="267"/>
      <c r="AF64" s="268"/>
    </row>
    <row r="65" spans="1:32" s="264" customFormat="1">
      <c r="A65" s="1">
        <f t="shared" si="17"/>
        <v>50</v>
      </c>
      <c r="B65" s="2"/>
      <c r="C65" s="289">
        <v>1</v>
      </c>
      <c r="D65" s="289">
        <v>1252</v>
      </c>
      <c r="E65" s="265"/>
      <c r="F65" s="288"/>
      <c r="G65" s="112"/>
      <c r="H65" s="177">
        <v>2060</v>
      </c>
      <c r="I65" s="177">
        <v>571.79999999999995</v>
      </c>
      <c r="J65" s="177">
        <v>1</v>
      </c>
      <c r="K65" s="177">
        <v>0</v>
      </c>
      <c r="L65" s="112"/>
      <c r="M65" s="177">
        <v>73988.800000000003</v>
      </c>
      <c r="N65" s="177">
        <v>30660.26</v>
      </c>
      <c r="O65" s="177">
        <v>70.959999999999994</v>
      </c>
      <c r="P65" s="177">
        <v>0</v>
      </c>
      <c r="Q65" s="177">
        <v>250</v>
      </c>
      <c r="R65" s="177">
        <f>SUM(M65:Q65)</f>
        <v>104970.02</v>
      </c>
      <c r="S65" s="113"/>
      <c r="T65" s="290">
        <v>38.479999999999997</v>
      </c>
      <c r="U65" s="113"/>
      <c r="V65" s="177">
        <f t="shared" ref="V65:V72" si="20">2080*T65</f>
        <v>80038.399999999994</v>
      </c>
      <c r="W65" s="177">
        <f t="shared" ref="W65:W72" si="21">(+I65*T65)*1.5</f>
        <v>33004.295999999995</v>
      </c>
      <c r="X65" s="177">
        <f t="shared" si="16"/>
        <v>76.959999999999994</v>
      </c>
      <c r="Y65" s="177">
        <v>0</v>
      </c>
      <c r="Z65" s="177">
        <v>250</v>
      </c>
      <c r="AA65" s="177">
        <f>SUM(V65:Z65)</f>
        <v>113369.656</v>
      </c>
      <c r="AB65" s="114"/>
      <c r="AC65" s="177">
        <f t="shared" si="15"/>
        <v>8399.6359999999986</v>
      </c>
      <c r="AD65" s="294">
        <f t="shared" si="4"/>
        <v>8.0019380771767068E-2</v>
      </c>
      <c r="AE65" s="267"/>
      <c r="AF65" s="268"/>
    </row>
    <row r="66" spans="1:32" s="264" customFormat="1">
      <c r="A66" s="1">
        <f t="shared" si="17"/>
        <v>51</v>
      </c>
      <c r="B66" s="2"/>
      <c r="C66" s="289">
        <v>1</v>
      </c>
      <c r="D66" s="289">
        <v>1254</v>
      </c>
      <c r="E66" s="265"/>
      <c r="F66" s="288"/>
      <c r="G66" s="112"/>
      <c r="H66" s="177">
        <v>1866</v>
      </c>
      <c r="I66" s="177">
        <v>101.15</v>
      </c>
      <c r="J66" s="177">
        <v>0</v>
      </c>
      <c r="K66" s="177">
        <v>0</v>
      </c>
      <c r="L66" s="112"/>
      <c r="M66" s="177">
        <v>54579.12</v>
      </c>
      <c r="N66" s="177">
        <v>4434.3900000000003</v>
      </c>
      <c r="O66" s="177">
        <v>0</v>
      </c>
      <c r="P66" s="177">
        <v>0</v>
      </c>
      <c r="Q66" s="177">
        <v>250</v>
      </c>
      <c r="R66" s="177">
        <f t="shared" ref="R66:R72" si="22">SUM(M66:Q66)</f>
        <v>59263.51</v>
      </c>
      <c r="S66" s="113"/>
      <c r="T66" s="290">
        <v>31.82</v>
      </c>
      <c r="U66" s="113"/>
      <c r="V66" s="177">
        <f t="shared" si="20"/>
        <v>66185.600000000006</v>
      </c>
      <c r="W66" s="177">
        <f t="shared" si="21"/>
        <v>4827.8895000000002</v>
      </c>
      <c r="X66" s="177">
        <f t="shared" si="16"/>
        <v>0</v>
      </c>
      <c r="Y66" s="177">
        <v>0</v>
      </c>
      <c r="Z66" s="177">
        <v>250</v>
      </c>
      <c r="AA66" s="177">
        <f t="shared" ref="AA66:AA72" si="23">SUM(V66:Z66)</f>
        <v>71263.489500000011</v>
      </c>
      <c r="AB66" s="114"/>
      <c r="AC66" s="177">
        <f t="shared" si="15"/>
        <v>11999.979500000009</v>
      </c>
      <c r="AD66" s="294">
        <f t="shared" si="4"/>
        <v>0.20248512955105102</v>
      </c>
      <c r="AE66" s="267"/>
      <c r="AF66" s="268"/>
    </row>
    <row r="67" spans="1:32" s="264" customFormat="1">
      <c r="A67" s="1">
        <f t="shared" si="17"/>
        <v>52</v>
      </c>
      <c r="B67" s="2"/>
      <c r="C67" s="289">
        <v>1</v>
      </c>
      <c r="D67" s="289">
        <v>1255</v>
      </c>
      <c r="E67" s="265"/>
      <c r="F67" s="288"/>
      <c r="G67" s="112"/>
      <c r="H67" s="177">
        <v>2081.75</v>
      </c>
      <c r="I67" s="177">
        <v>56</v>
      </c>
      <c r="J67" s="177">
        <v>0</v>
      </c>
      <c r="K67" s="177">
        <v>0</v>
      </c>
      <c r="L67" s="112"/>
      <c r="M67" s="177">
        <v>56161.67</v>
      </c>
      <c r="N67" s="177">
        <v>2268.77</v>
      </c>
      <c r="O67" s="177">
        <v>0</v>
      </c>
      <c r="P67" s="177">
        <v>0</v>
      </c>
      <c r="Q67" s="177">
        <v>250</v>
      </c>
      <c r="R67" s="177">
        <f t="shared" si="22"/>
        <v>58680.439999999995</v>
      </c>
      <c r="S67" s="113"/>
      <c r="T67" s="290">
        <v>29.54</v>
      </c>
      <c r="U67" s="113"/>
      <c r="V67" s="177">
        <f t="shared" si="20"/>
        <v>61443.199999999997</v>
      </c>
      <c r="W67" s="177">
        <f t="shared" si="21"/>
        <v>2481.36</v>
      </c>
      <c r="X67" s="177">
        <f t="shared" si="16"/>
        <v>0</v>
      </c>
      <c r="Y67" s="177">
        <v>0</v>
      </c>
      <c r="Z67" s="177">
        <v>250</v>
      </c>
      <c r="AA67" s="177">
        <f t="shared" si="23"/>
        <v>64174.559999999998</v>
      </c>
      <c r="AB67" s="114"/>
      <c r="AC67" s="177">
        <f t="shared" si="15"/>
        <v>5494.1200000000026</v>
      </c>
      <c r="AD67" s="294">
        <f t="shared" si="4"/>
        <v>9.3627791475319633E-2</v>
      </c>
      <c r="AE67" s="267"/>
      <c r="AF67" s="268"/>
    </row>
    <row r="68" spans="1:32" s="264" customFormat="1">
      <c r="A68" s="1">
        <f t="shared" si="17"/>
        <v>53</v>
      </c>
      <c r="B68" s="2"/>
      <c r="C68" s="289">
        <v>1</v>
      </c>
      <c r="D68" s="289">
        <v>1256</v>
      </c>
      <c r="E68" s="265"/>
      <c r="F68" s="288"/>
      <c r="G68" s="112"/>
      <c r="H68" s="177">
        <v>2088</v>
      </c>
      <c r="I68" s="177">
        <v>104.75</v>
      </c>
      <c r="J68" s="177">
        <v>0</v>
      </c>
      <c r="K68" s="177">
        <v>0</v>
      </c>
      <c r="L68" s="112"/>
      <c r="M68" s="177">
        <v>56327.519999999997</v>
      </c>
      <c r="N68" s="177">
        <v>4215.7</v>
      </c>
      <c r="O68" s="177">
        <v>0</v>
      </c>
      <c r="P68" s="177">
        <v>0</v>
      </c>
      <c r="Q68" s="177">
        <v>250</v>
      </c>
      <c r="R68" s="177">
        <f t="shared" si="22"/>
        <v>60793.219999999994</v>
      </c>
      <c r="S68" s="113"/>
      <c r="T68" s="290">
        <v>29.54</v>
      </c>
      <c r="U68" s="113"/>
      <c r="V68" s="177">
        <f t="shared" si="20"/>
        <v>61443.199999999997</v>
      </c>
      <c r="W68" s="177">
        <f t="shared" si="21"/>
        <v>4641.4724999999999</v>
      </c>
      <c r="X68" s="177">
        <f t="shared" si="16"/>
        <v>0</v>
      </c>
      <c r="Y68" s="177">
        <v>0</v>
      </c>
      <c r="Z68" s="177">
        <v>250</v>
      </c>
      <c r="AA68" s="177">
        <f t="shared" si="23"/>
        <v>66334.672500000001</v>
      </c>
      <c r="AB68" s="114"/>
      <c r="AC68" s="177">
        <f t="shared" si="15"/>
        <v>5541.4525000000067</v>
      </c>
      <c r="AD68" s="294">
        <f t="shared" si="4"/>
        <v>9.1152475555662305E-2</v>
      </c>
      <c r="AE68" s="267"/>
      <c r="AF68" s="268"/>
    </row>
    <row r="69" spans="1:32" s="264" customFormat="1">
      <c r="A69" s="1">
        <f t="shared" si="17"/>
        <v>54</v>
      </c>
      <c r="B69" s="2"/>
      <c r="C69" s="289">
        <v>1</v>
      </c>
      <c r="D69" s="289">
        <v>1257</v>
      </c>
      <c r="E69" s="265"/>
      <c r="F69" s="288"/>
      <c r="G69" s="112"/>
      <c r="H69" s="177">
        <v>1720</v>
      </c>
      <c r="I69" s="177">
        <v>102.5</v>
      </c>
      <c r="J69" s="177">
        <v>16.5</v>
      </c>
      <c r="K69" s="177">
        <v>0</v>
      </c>
      <c r="L69" s="112"/>
      <c r="M69" s="177">
        <v>43464.800000000003</v>
      </c>
      <c r="N69" s="177">
        <v>3828.53</v>
      </c>
      <c r="O69" s="177">
        <v>816.42</v>
      </c>
      <c r="P69" s="177">
        <v>0</v>
      </c>
      <c r="Q69" s="177">
        <v>250</v>
      </c>
      <c r="R69" s="177">
        <f t="shared" si="22"/>
        <v>48359.75</v>
      </c>
      <c r="S69" s="113"/>
      <c r="T69" s="290">
        <v>27.74</v>
      </c>
      <c r="U69" s="113"/>
      <c r="V69" s="177">
        <f t="shared" si="20"/>
        <v>57699.199999999997</v>
      </c>
      <c r="W69" s="177">
        <f t="shared" si="21"/>
        <v>4265.0249999999996</v>
      </c>
      <c r="X69" s="177">
        <f t="shared" si="16"/>
        <v>915.42</v>
      </c>
      <c r="Y69" s="177">
        <v>0</v>
      </c>
      <c r="Z69" s="177">
        <v>250</v>
      </c>
      <c r="AA69" s="177">
        <f t="shared" si="23"/>
        <v>63129.644999999997</v>
      </c>
      <c r="AB69" s="114"/>
      <c r="AC69" s="177">
        <f t="shared" si="15"/>
        <v>14769.894999999997</v>
      </c>
      <c r="AD69" s="294">
        <f t="shared" si="4"/>
        <v>0.30541710823567114</v>
      </c>
      <c r="AE69" s="267"/>
      <c r="AF69" s="268"/>
    </row>
    <row r="70" spans="1:32" s="264" customFormat="1">
      <c r="A70" s="1">
        <f t="shared" si="17"/>
        <v>55</v>
      </c>
      <c r="B70" s="2"/>
      <c r="C70" s="289">
        <v>1</v>
      </c>
      <c r="D70" s="289">
        <v>1259</v>
      </c>
      <c r="E70" s="265"/>
      <c r="F70" s="288" t="s">
        <v>239</v>
      </c>
      <c r="G70" s="112"/>
      <c r="H70" s="177">
        <v>0</v>
      </c>
      <c r="I70" s="177">
        <v>0</v>
      </c>
      <c r="J70" s="177">
        <v>0</v>
      </c>
      <c r="K70" s="177">
        <v>0</v>
      </c>
      <c r="L70" s="112"/>
      <c r="M70" s="177">
        <v>0</v>
      </c>
      <c r="N70" s="177">
        <v>0</v>
      </c>
      <c r="O70" s="177">
        <v>0</v>
      </c>
      <c r="P70" s="177">
        <v>0</v>
      </c>
      <c r="Q70" s="177">
        <v>0</v>
      </c>
      <c r="R70" s="177">
        <f t="shared" si="22"/>
        <v>0</v>
      </c>
      <c r="S70" s="113"/>
      <c r="T70" s="290">
        <v>38.479999999999997</v>
      </c>
      <c r="U70" s="113"/>
      <c r="V70" s="177">
        <f t="shared" si="20"/>
        <v>80038.399999999994</v>
      </c>
      <c r="W70" s="177">
        <f t="shared" si="21"/>
        <v>0</v>
      </c>
      <c r="X70" s="177">
        <f t="shared" si="16"/>
        <v>0</v>
      </c>
      <c r="Y70" s="177">
        <v>0</v>
      </c>
      <c r="Z70" s="177">
        <v>250</v>
      </c>
      <c r="AA70" s="177">
        <f t="shared" si="23"/>
        <v>80288.399999999994</v>
      </c>
      <c r="AB70" s="114"/>
      <c r="AC70" s="177">
        <f t="shared" si="15"/>
        <v>80288.399999999994</v>
      </c>
      <c r="AD70" s="294"/>
      <c r="AE70" s="267"/>
      <c r="AF70" s="268"/>
    </row>
    <row r="71" spans="1:32" s="264" customFormat="1">
      <c r="A71" s="1">
        <f t="shared" si="17"/>
        <v>56</v>
      </c>
      <c r="B71" s="2"/>
      <c r="C71" s="289">
        <v>1</v>
      </c>
      <c r="D71" s="289">
        <v>1260</v>
      </c>
      <c r="E71" s="265"/>
      <c r="F71" s="288" t="s">
        <v>239</v>
      </c>
      <c r="G71" s="112"/>
      <c r="H71" s="177">
        <v>0</v>
      </c>
      <c r="I71" s="177">
        <v>0</v>
      </c>
      <c r="J71" s="177">
        <v>0</v>
      </c>
      <c r="K71" s="177">
        <v>0</v>
      </c>
      <c r="L71" s="112"/>
      <c r="M71" s="177">
        <v>0</v>
      </c>
      <c r="N71" s="177">
        <v>0</v>
      </c>
      <c r="O71" s="177">
        <v>0</v>
      </c>
      <c r="P71" s="177">
        <v>0</v>
      </c>
      <c r="Q71" s="177">
        <v>0</v>
      </c>
      <c r="R71" s="177">
        <f t="shared" si="22"/>
        <v>0</v>
      </c>
      <c r="S71" s="113"/>
      <c r="T71" s="290">
        <v>29.54</v>
      </c>
      <c r="U71" s="113"/>
      <c r="V71" s="177">
        <f t="shared" si="20"/>
        <v>61443.199999999997</v>
      </c>
      <c r="W71" s="177">
        <f t="shared" si="21"/>
        <v>0</v>
      </c>
      <c r="X71" s="177">
        <f t="shared" si="16"/>
        <v>0</v>
      </c>
      <c r="Y71" s="177">
        <v>0</v>
      </c>
      <c r="Z71" s="177">
        <v>250</v>
      </c>
      <c r="AA71" s="177">
        <f t="shared" si="23"/>
        <v>61693.2</v>
      </c>
      <c r="AB71" s="114"/>
      <c r="AC71" s="177">
        <f t="shared" si="15"/>
        <v>61693.2</v>
      </c>
      <c r="AD71" s="294"/>
      <c r="AE71" s="267"/>
      <c r="AF71" s="268"/>
    </row>
    <row r="72" spans="1:32" s="264" customFormat="1">
      <c r="A72" s="1">
        <f t="shared" si="17"/>
        <v>57</v>
      </c>
      <c r="B72" s="2"/>
      <c r="C72" s="289">
        <v>1</v>
      </c>
      <c r="D72" s="289">
        <v>1261</v>
      </c>
      <c r="E72" s="265"/>
      <c r="F72" s="288" t="s">
        <v>239</v>
      </c>
      <c r="G72" s="112"/>
      <c r="H72" s="177">
        <v>0</v>
      </c>
      <c r="I72" s="177">
        <v>0</v>
      </c>
      <c r="J72" s="177">
        <v>0</v>
      </c>
      <c r="K72" s="177">
        <v>0</v>
      </c>
      <c r="L72" s="112"/>
      <c r="M72" s="177">
        <v>0</v>
      </c>
      <c r="N72" s="177">
        <v>0</v>
      </c>
      <c r="O72" s="177">
        <v>0</v>
      </c>
      <c r="P72" s="177">
        <v>0</v>
      </c>
      <c r="Q72" s="177">
        <v>0</v>
      </c>
      <c r="R72" s="177">
        <f t="shared" si="22"/>
        <v>0</v>
      </c>
      <c r="S72" s="113"/>
      <c r="T72" s="290">
        <v>39.04</v>
      </c>
      <c r="U72" s="113"/>
      <c r="V72" s="177">
        <f t="shared" si="20"/>
        <v>81203.199999999997</v>
      </c>
      <c r="W72" s="177">
        <f t="shared" si="21"/>
        <v>0</v>
      </c>
      <c r="X72" s="177">
        <f t="shared" si="16"/>
        <v>0</v>
      </c>
      <c r="Y72" s="177">
        <v>0</v>
      </c>
      <c r="Z72" s="177">
        <v>250</v>
      </c>
      <c r="AA72" s="177">
        <f t="shared" si="23"/>
        <v>81453.2</v>
      </c>
      <c r="AB72" s="114"/>
      <c r="AC72" s="177">
        <f t="shared" si="15"/>
        <v>81453.2</v>
      </c>
      <c r="AD72" s="294"/>
      <c r="AE72" s="267"/>
      <c r="AF72" s="268"/>
    </row>
    <row r="73" spans="1:32">
      <c r="A73" s="1">
        <f t="shared" si="17"/>
        <v>58</v>
      </c>
      <c r="C73" s="4">
        <f>SUM(C26:C45,C50:C72)</f>
        <v>43</v>
      </c>
      <c r="D73" s="121" t="s">
        <v>22</v>
      </c>
      <c r="E73" s="122" t="s">
        <v>22</v>
      </c>
      <c r="F73" s="121"/>
      <c r="H73" s="182">
        <f>SUM(H26:H45,H50:H67)</f>
        <v>70524.25</v>
      </c>
      <c r="I73" s="182">
        <f>SUM(I26:I45,I50:I67)</f>
        <v>13157.149999999998</v>
      </c>
      <c r="J73" s="182"/>
      <c r="K73" s="182">
        <f>SUM(K26:K45,K50:K67)</f>
        <v>0</v>
      </c>
      <c r="L73" s="183"/>
      <c r="M73" s="182">
        <f>SUM(M26:M45,M50:M69)</f>
        <v>2404383.6899999995</v>
      </c>
      <c r="N73" s="182">
        <f>SUM(N26:N45,N50:N69)</f>
        <v>701953.70000000007</v>
      </c>
      <c r="O73" s="182">
        <f>SUM(O26:O45,O50:O69)</f>
        <v>17006.499999999996</v>
      </c>
      <c r="P73" s="182">
        <f>SUM(P26:P45,P50:P67)</f>
        <v>0</v>
      </c>
      <c r="Q73" s="182">
        <f>SUM(Q26:Q45,Q50:Q67)</f>
        <v>8500</v>
      </c>
      <c r="R73" s="182">
        <f>SUM(R26:R45,R50:R69)</f>
        <v>3132343.8899999992</v>
      </c>
      <c r="S73" s="184"/>
      <c r="T73" s="182"/>
      <c r="U73" s="184"/>
      <c r="V73" s="182">
        <f t="shared" ref="V73:AA73" si="24">SUM(V26:V45,V50:V72)</f>
        <v>2617284.8000000003</v>
      </c>
      <c r="W73" s="182">
        <f t="shared" si="24"/>
        <v>671148.69674999989</v>
      </c>
      <c r="X73" s="182">
        <f t="shared" si="24"/>
        <v>16976.569999999996</v>
      </c>
      <c r="Y73" s="182">
        <f t="shared" si="24"/>
        <v>0</v>
      </c>
      <c r="Z73" s="182">
        <f t="shared" si="24"/>
        <v>9000</v>
      </c>
      <c r="AA73" s="182">
        <f t="shared" si="24"/>
        <v>3314410.0667500007</v>
      </c>
      <c r="AB73" s="185"/>
      <c r="AC73" s="235">
        <f>AA73-R73</f>
        <v>182066.1767500015</v>
      </c>
      <c r="AD73" s="294">
        <f t="shared" si="4"/>
        <v>5.8124581190222235E-2</v>
      </c>
    </row>
    <row r="74" spans="1:32">
      <c r="A74" s="1">
        <f t="shared" si="17"/>
        <v>59</v>
      </c>
      <c r="H74" s="175"/>
      <c r="I74" s="175"/>
      <c r="J74" s="175"/>
      <c r="K74" s="175"/>
      <c r="L74" s="176"/>
      <c r="M74" s="116"/>
      <c r="N74" s="116"/>
      <c r="O74" s="116"/>
      <c r="P74" s="116"/>
      <c r="Q74" s="116"/>
      <c r="R74" s="116"/>
      <c r="S74" s="113"/>
      <c r="T74" s="118"/>
      <c r="U74" s="113"/>
      <c r="V74" s="118"/>
      <c r="W74" s="118"/>
      <c r="X74" s="118"/>
      <c r="Y74" s="118"/>
      <c r="Z74" s="118"/>
      <c r="AA74" s="118"/>
      <c r="AB74" s="114"/>
      <c r="AD74" s="294"/>
      <c r="AF74" s="266"/>
    </row>
    <row r="75" spans="1:32">
      <c r="A75" s="1">
        <f t="shared" si="17"/>
        <v>60</v>
      </c>
      <c r="C75" s="130" t="s">
        <v>364</v>
      </c>
      <c r="F75" s="97"/>
      <c r="H75" s="175"/>
      <c r="I75" s="175"/>
      <c r="J75" s="175"/>
      <c r="K75" s="175"/>
      <c r="L75" s="176"/>
      <c r="M75" s="116"/>
      <c r="N75" s="116"/>
      <c r="O75" s="116"/>
      <c r="P75" s="116"/>
      <c r="Q75" s="116"/>
      <c r="R75" s="116"/>
      <c r="S75" s="113"/>
      <c r="U75" s="113"/>
      <c r="AB75" s="114"/>
      <c r="AD75" s="294"/>
    </row>
    <row r="76" spans="1:32">
      <c r="A76" s="1">
        <f t="shared" si="17"/>
        <v>61</v>
      </c>
      <c r="C76" s="1">
        <v>1</v>
      </c>
      <c r="D76" s="1">
        <v>1258</v>
      </c>
      <c r="E76" s="117"/>
      <c r="F76" s="1" t="s">
        <v>128</v>
      </c>
      <c r="G76" s="112"/>
      <c r="H76" s="34">
        <v>1039.75</v>
      </c>
      <c r="I76" s="94">
        <v>0</v>
      </c>
      <c r="J76" s="94">
        <v>0</v>
      </c>
      <c r="K76" s="94">
        <v>0</v>
      </c>
      <c r="L76" s="176"/>
      <c r="M76" s="177">
        <v>25178.5</v>
      </c>
      <c r="N76" s="177">
        <v>0</v>
      </c>
      <c r="O76" s="177">
        <v>0</v>
      </c>
      <c r="P76" s="177">
        <v>0</v>
      </c>
      <c r="Q76" s="177">
        <v>100</v>
      </c>
      <c r="R76" s="177">
        <f>SUM(M76:Q76)</f>
        <v>25278.5</v>
      </c>
      <c r="S76" s="113"/>
      <c r="T76" s="118">
        <v>26.61</v>
      </c>
      <c r="U76" s="113"/>
      <c r="V76" s="119">
        <f>1039.75*T76</f>
        <v>27667.747499999998</v>
      </c>
      <c r="W76" s="269">
        <f>(+I76*T76)*1.5</f>
        <v>0</v>
      </c>
      <c r="X76" s="269">
        <f>(+J76*T76)*1.5</f>
        <v>0</v>
      </c>
      <c r="Y76" s="269">
        <v>0</v>
      </c>
      <c r="Z76" s="269">
        <v>100</v>
      </c>
      <c r="AA76" s="119">
        <f t="shared" ref="AA76" si="25">SUM(V76:Z76)</f>
        <v>27767.747499999998</v>
      </c>
      <c r="AB76" s="114"/>
      <c r="AC76" s="186">
        <f t="shared" ref="AC76" si="26">AA76-R76</f>
        <v>2489.2474999999977</v>
      </c>
      <c r="AD76" s="294">
        <f t="shared" si="4"/>
        <v>9.847291176296058E-2</v>
      </c>
    </row>
    <row r="77" spans="1:32">
      <c r="A77" s="1">
        <f t="shared" si="17"/>
        <v>62</v>
      </c>
      <c r="C77" s="4">
        <f>SUM(C76:C76)</f>
        <v>1</v>
      </c>
      <c r="D77" s="121" t="s">
        <v>22</v>
      </c>
      <c r="E77" s="122" t="s">
        <v>22</v>
      </c>
      <c r="F77" s="121"/>
      <c r="G77" s="112"/>
      <c r="H77" s="182">
        <f>SUM(H76:H76)</f>
        <v>1039.75</v>
      </c>
      <c r="I77" s="179">
        <f>SUM(I76:I76)</f>
        <v>0</v>
      </c>
      <c r="J77" s="179"/>
      <c r="K77" s="179">
        <f>SUM(K76:K76)</f>
        <v>0</v>
      </c>
      <c r="L77" s="176"/>
      <c r="M77" s="123">
        <f t="shared" ref="M77:R77" si="27">SUM(M76:M76)</f>
        <v>25178.5</v>
      </c>
      <c r="N77" s="123">
        <f t="shared" si="27"/>
        <v>0</v>
      </c>
      <c r="O77" s="123">
        <f t="shared" si="27"/>
        <v>0</v>
      </c>
      <c r="P77" s="123">
        <f t="shared" si="27"/>
        <v>0</v>
      </c>
      <c r="Q77" s="123">
        <f t="shared" si="27"/>
        <v>100</v>
      </c>
      <c r="R77" s="123">
        <f t="shared" si="27"/>
        <v>25278.5</v>
      </c>
      <c r="S77" s="113"/>
      <c r="T77" s="122"/>
      <c r="U77" s="113"/>
      <c r="V77" s="124">
        <f t="shared" ref="V77:AA77" si="28">SUM(V76:V76)</f>
        <v>27667.747499999998</v>
      </c>
      <c r="W77" s="177">
        <f t="shared" si="28"/>
        <v>0</v>
      </c>
      <c r="X77" s="177">
        <f t="shared" si="28"/>
        <v>0</v>
      </c>
      <c r="Y77" s="177">
        <f t="shared" si="28"/>
        <v>0</v>
      </c>
      <c r="Z77" s="177">
        <f t="shared" si="28"/>
        <v>100</v>
      </c>
      <c r="AA77" s="124">
        <f t="shared" si="28"/>
        <v>27767.747499999998</v>
      </c>
      <c r="AB77" s="114"/>
      <c r="AC77" s="235">
        <f>AA77-R77</f>
        <v>2489.2474999999977</v>
      </c>
      <c r="AD77" s="294">
        <f t="shared" ref="AD77:AD84" si="29">AA77/R77-1</f>
        <v>9.847291176296058E-2</v>
      </c>
    </row>
    <row r="78" spans="1:32">
      <c r="A78" s="1">
        <f t="shared" si="17"/>
        <v>63</v>
      </c>
      <c r="G78" s="112"/>
      <c r="H78" s="206"/>
      <c r="I78" s="175"/>
      <c r="J78" s="175"/>
      <c r="K78" s="175"/>
      <c r="L78" s="176"/>
      <c r="M78" s="116"/>
      <c r="N78" s="116"/>
      <c r="O78" s="116"/>
      <c r="P78" s="116"/>
      <c r="Q78" s="116"/>
      <c r="R78" s="116"/>
      <c r="S78" s="113"/>
      <c r="U78" s="113"/>
      <c r="AB78" s="114"/>
      <c r="AD78" s="294"/>
    </row>
    <row r="79" spans="1:32">
      <c r="A79" s="1">
        <f t="shared" si="17"/>
        <v>64</v>
      </c>
      <c r="C79" s="130" t="s">
        <v>365</v>
      </c>
      <c r="F79" s="97"/>
      <c r="G79" s="112"/>
      <c r="H79" s="206"/>
      <c r="I79" s="175"/>
      <c r="J79" s="175"/>
      <c r="K79" s="175"/>
      <c r="L79" s="176"/>
      <c r="M79" s="116"/>
      <c r="N79" s="116"/>
      <c r="O79" s="116"/>
      <c r="P79" s="116"/>
      <c r="Q79" s="116"/>
      <c r="R79" s="116"/>
      <c r="S79" s="113"/>
      <c r="U79" s="113"/>
      <c r="AB79" s="114"/>
      <c r="AD79" s="294"/>
    </row>
    <row r="80" spans="1:32">
      <c r="A80" s="1">
        <f>A79+1</f>
        <v>65</v>
      </c>
      <c r="C80" s="1">
        <v>1</v>
      </c>
      <c r="D80" s="1">
        <v>1205</v>
      </c>
      <c r="E80" s="117"/>
      <c r="G80" s="112"/>
      <c r="H80" s="34">
        <v>2088</v>
      </c>
      <c r="I80" s="175">
        <v>0</v>
      </c>
      <c r="J80" s="175">
        <v>0</v>
      </c>
      <c r="K80" s="175">
        <v>0</v>
      </c>
      <c r="L80" s="176"/>
      <c r="M80" s="116">
        <v>42574.32</v>
      </c>
      <c r="N80" s="116">
        <v>0</v>
      </c>
      <c r="O80" s="116">
        <v>0</v>
      </c>
      <c r="P80" s="116">
        <v>0</v>
      </c>
      <c r="Q80" s="116">
        <v>0</v>
      </c>
      <c r="R80" s="177">
        <f>SUM(M80:Q80)</f>
        <v>42574.32</v>
      </c>
      <c r="S80" s="113"/>
      <c r="T80" s="118">
        <v>20.39</v>
      </c>
      <c r="U80" s="113"/>
      <c r="V80" s="119">
        <f>2080*T80</f>
        <v>42411.200000000004</v>
      </c>
      <c r="W80" s="116">
        <f>(+I80*T80)*1.5</f>
        <v>0</v>
      </c>
      <c r="X80" s="116">
        <f>(+J80*T80)*2</f>
        <v>0</v>
      </c>
      <c r="Y80" s="116">
        <v>0</v>
      </c>
      <c r="Z80" s="116">
        <v>0</v>
      </c>
      <c r="AA80" s="119">
        <f>SUM(V80:Z80)</f>
        <v>42411.200000000004</v>
      </c>
      <c r="AB80" s="114"/>
      <c r="AC80" s="120">
        <f t="shared" ref="AC80:AC82" si="30">AA80-R80</f>
        <v>-163.11999999999534</v>
      </c>
      <c r="AD80" s="294">
        <f t="shared" si="29"/>
        <v>-3.8314176245209941E-3</v>
      </c>
    </row>
    <row r="81" spans="1:32">
      <c r="A81" s="1">
        <f t="shared" ref="A81:A82" si="31">A80+1</f>
        <v>66</v>
      </c>
      <c r="C81" s="1">
        <v>1</v>
      </c>
      <c r="D81" s="1">
        <v>1213</v>
      </c>
      <c r="E81" s="117"/>
      <c r="G81" s="112"/>
      <c r="H81" s="34">
        <v>2088</v>
      </c>
      <c r="I81" s="175">
        <v>0</v>
      </c>
      <c r="J81" s="175">
        <v>0</v>
      </c>
      <c r="K81" s="175">
        <v>0</v>
      </c>
      <c r="L81" s="176"/>
      <c r="M81" s="116">
        <v>31361.759999999998</v>
      </c>
      <c r="N81" s="116"/>
      <c r="O81" s="116">
        <v>0</v>
      </c>
      <c r="P81" s="116">
        <v>0</v>
      </c>
      <c r="Q81" s="116"/>
      <c r="R81" s="177">
        <f>SUM(M81:Q81)</f>
        <v>31361.759999999998</v>
      </c>
      <c r="S81" s="113"/>
      <c r="T81" s="118">
        <v>15.02</v>
      </c>
      <c r="U81" s="113"/>
      <c r="V81" s="119">
        <f>2080*T81</f>
        <v>31241.599999999999</v>
      </c>
      <c r="W81" s="270">
        <v>0</v>
      </c>
      <c r="X81" s="270">
        <f>(+J81*T81)*2</f>
        <v>0</v>
      </c>
      <c r="Y81" s="270">
        <v>0</v>
      </c>
      <c r="Z81" s="270">
        <v>0</v>
      </c>
      <c r="AA81" s="119">
        <f>SUM(V81:Z81)</f>
        <v>31241.599999999999</v>
      </c>
      <c r="AB81" s="114"/>
      <c r="AC81" s="120">
        <f t="shared" si="30"/>
        <v>-120.15999999999985</v>
      </c>
      <c r="AD81" s="294">
        <f t="shared" si="29"/>
        <v>-3.8314176245211051E-3</v>
      </c>
    </row>
    <row r="82" spans="1:32">
      <c r="A82" s="1">
        <f t="shared" si="31"/>
        <v>67</v>
      </c>
      <c r="C82" s="4">
        <f>SUM(C80:C81)</f>
        <v>2</v>
      </c>
      <c r="D82" s="121" t="s">
        <v>22</v>
      </c>
      <c r="E82" s="122" t="s">
        <v>22</v>
      </c>
      <c r="F82" s="121"/>
      <c r="G82" s="112"/>
      <c r="H82" s="182">
        <f>SUM(H80:H80)</f>
        <v>2088</v>
      </c>
      <c r="I82" s="179">
        <f>SUM(I80:I80)</f>
        <v>0</v>
      </c>
      <c r="J82" s="179">
        <v>0</v>
      </c>
      <c r="K82" s="179">
        <f>SUM(K80:K80)</f>
        <v>0</v>
      </c>
      <c r="L82" s="176"/>
      <c r="M82" s="123">
        <f>SUM(M80:M81)</f>
        <v>73936.08</v>
      </c>
      <c r="N82" s="123">
        <f>SUM(N80:N80)</f>
        <v>0</v>
      </c>
      <c r="O82" s="123">
        <f>SUM(O80:O80)</f>
        <v>0</v>
      </c>
      <c r="P82" s="123">
        <f>SUM(P80:P80)</f>
        <v>0</v>
      </c>
      <c r="Q82" s="123">
        <f>SUM(Q80:Q80)</f>
        <v>0</v>
      </c>
      <c r="R82" s="123">
        <f>SUM(R80:R81)</f>
        <v>73936.08</v>
      </c>
      <c r="S82" s="113"/>
      <c r="T82" s="122"/>
      <c r="U82" s="113"/>
      <c r="V82" s="124">
        <f t="shared" ref="V82:AA82" si="32">SUM(V80:V80)</f>
        <v>42411.200000000004</v>
      </c>
      <c r="W82" s="181">
        <f t="shared" si="32"/>
        <v>0</v>
      </c>
      <c r="X82" s="181">
        <f t="shared" si="32"/>
        <v>0</v>
      </c>
      <c r="Y82" s="181">
        <f t="shared" si="32"/>
        <v>0</v>
      </c>
      <c r="Z82" s="181">
        <f t="shared" si="32"/>
        <v>0</v>
      </c>
      <c r="AA82" s="124">
        <f t="shared" si="32"/>
        <v>42411.200000000004</v>
      </c>
      <c r="AB82" s="271"/>
      <c r="AC82" s="235">
        <f t="shared" si="30"/>
        <v>-31524.879999999997</v>
      </c>
      <c r="AD82" s="294">
        <f t="shared" si="29"/>
        <v>-0.42638019218763012</v>
      </c>
    </row>
    <row r="83" spans="1:32">
      <c r="A83" s="1">
        <f t="shared" si="17"/>
        <v>68</v>
      </c>
      <c r="G83" s="112"/>
      <c r="H83" s="206"/>
      <c r="I83" s="175"/>
      <c r="J83" s="175"/>
      <c r="K83" s="175"/>
      <c r="L83" s="176"/>
      <c r="M83" s="116"/>
      <c r="N83" s="116"/>
      <c r="O83" s="116"/>
      <c r="P83" s="116"/>
      <c r="Q83" s="116"/>
      <c r="R83" s="116"/>
      <c r="S83" s="113"/>
      <c r="U83" s="113"/>
      <c r="AB83" s="114"/>
      <c r="AD83" s="294"/>
    </row>
    <row r="84" spans="1:32" s="187" customFormat="1" ht="15.75" customHeight="1">
      <c r="A84" s="1">
        <f t="shared" si="17"/>
        <v>69</v>
      </c>
      <c r="C84" s="188">
        <f>+C23+C73+C77+C82</f>
        <v>57</v>
      </c>
      <c r="D84" s="188" t="s">
        <v>14</v>
      </c>
      <c r="E84" s="189" t="s">
        <v>14</v>
      </c>
      <c r="F84" s="188"/>
      <c r="G84" s="112"/>
      <c r="H84" s="292">
        <f>+H82+H77+H73+H23</f>
        <v>94702</v>
      </c>
      <c r="I84" s="292">
        <f>+I82+I77+I73+I23</f>
        <v>13157.149999999998</v>
      </c>
      <c r="J84" s="190"/>
      <c r="K84" s="292">
        <f>+K82+K77+K73+K23</f>
        <v>381</v>
      </c>
      <c r="L84" s="191"/>
      <c r="M84" s="192">
        <f t="shared" ref="M84:R84" si="33">+M82+M77+M73+M23</f>
        <v>3722442.9199999995</v>
      </c>
      <c r="N84" s="192">
        <f t="shared" si="33"/>
        <v>701953.70000000007</v>
      </c>
      <c r="O84" s="192">
        <f t="shared" si="33"/>
        <v>17006.499999999996</v>
      </c>
      <c r="P84" s="192">
        <f t="shared" si="33"/>
        <v>20432.509999999998</v>
      </c>
      <c r="Q84" s="192">
        <f t="shared" si="33"/>
        <v>10850</v>
      </c>
      <c r="R84" s="192">
        <f t="shared" si="33"/>
        <v>4473185.629999999</v>
      </c>
      <c r="S84" s="193"/>
      <c r="T84" s="189"/>
      <c r="U84" s="113"/>
      <c r="V84" s="194">
        <f t="shared" ref="V84:AA84" si="34">+V82+V77+V73+V23</f>
        <v>3898859.7475000005</v>
      </c>
      <c r="W84" s="194">
        <f t="shared" si="34"/>
        <v>671148.69674999989</v>
      </c>
      <c r="X84" s="194">
        <f t="shared" si="34"/>
        <v>16976.569999999996</v>
      </c>
      <c r="Y84" s="116">
        <f t="shared" si="34"/>
        <v>0</v>
      </c>
      <c r="Z84" s="194">
        <f t="shared" si="34"/>
        <v>11350</v>
      </c>
      <c r="AA84" s="194">
        <f t="shared" si="34"/>
        <v>4598335.0142500009</v>
      </c>
      <c r="AB84" s="195"/>
      <c r="AC84" s="236">
        <f>AA84-R84</f>
        <v>125149.38425000198</v>
      </c>
      <c r="AD84" s="294">
        <f t="shared" si="29"/>
        <v>2.7977686284841763E-2</v>
      </c>
      <c r="AE84" s="260"/>
      <c r="AF84" s="272"/>
    </row>
    <row r="85" spans="1:32" s="187" customFormat="1">
      <c r="A85" s="1">
        <f t="shared" si="17"/>
        <v>70</v>
      </c>
      <c r="C85" s="154"/>
      <c r="D85" s="154"/>
      <c r="F85" s="154"/>
      <c r="G85" s="112"/>
      <c r="L85" s="191"/>
      <c r="S85" s="193"/>
      <c r="U85" s="113"/>
      <c r="AB85" s="195"/>
      <c r="AD85" s="294"/>
      <c r="AE85" s="260"/>
      <c r="AF85" s="272"/>
    </row>
    <row r="86" spans="1:32" s="187" customFormat="1" ht="13.5" customHeight="1" thickBot="1">
      <c r="A86" s="1">
        <f t="shared" si="17"/>
        <v>71</v>
      </c>
      <c r="C86" s="230" t="s">
        <v>470</v>
      </c>
      <c r="D86" s="230"/>
      <c r="E86" s="230" t="s">
        <v>15</v>
      </c>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233">
        <f>AC84</f>
        <v>125149.38425000198</v>
      </c>
      <c r="AD86" s="294"/>
      <c r="AE86" s="260"/>
      <c r="AF86" s="272"/>
    </row>
    <row r="87" spans="1:32" ht="13.5" thickTop="1"/>
    <row r="88" spans="1:32">
      <c r="D88" s="144" t="s">
        <v>366</v>
      </c>
      <c r="E88" s="197" t="s">
        <v>366</v>
      </c>
      <c r="H88" s="131" t="s">
        <v>127</v>
      </c>
      <c r="I88" s="224" t="s">
        <v>464</v>
      </c>
      <c r="J88" s="224"/>
      <c r="M88" s="131" t="s">
        <v>128</v>
      </c>
      <c r="N88" s="224" t="s">
        <v>465</v>
      </c>
      <c r="O88" s="224"/>
      <c r="T88" s="131" t="s">
        <v>239</v>
      </c>
      <c r="V88" s="224" t="s">
        <v>528</v>
      </c>
      <c r="X88" s="131" t="s">
        <v>260</v>
      </c>
      <c r="Y88" s="224" t="s">
        <v>529</v>
      </c>
    </row>
    <row r="89" spans="1:32">
      <c r="A89" s="154"/>
    </row>
    <row r="90" spans="1:32" ht="30" customHeight="1">
      <c r="A90" s="154"/>
      <c r="B90" s="41"/>
      <c r="C90" s="362" t="s">
        <v>368</v>
      </c>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41"/>
      <c r="AC90" s="41"/>
    </row>
    <row r="92" spans="1:32">
      <c r="A92" s="154"/>
      <c r="D92" s="129" t="s">
        <v>369</v>
      </c>
      <c r="E92" s="42" t="s">
        <v>369</v>
      </c>
      <c r="M92" s="47" t="s">
        <v>130</v>
      </c>
      <c r="N92" s="47" t="s">
        <v>129</v>
      </c>
      <c r="O92" s="47"/>
      <c r="P92" s="47"/>
      <c r="Q92" s="47"/>
      <c r="R92" s="47" t="s">
        <v>15</v>
      </c>
      <c r="S92" s="198"/>
    </row>
    <row r="93" spans="1:32" ht="3.75" customHeight="1">
      <c r="A93" s="154"/>
    </row>
    <row r="94" spans="1:32">
      <c r="A94" s="154">
        <f>A86+1</f>
        <v>72</v>
      </c>
      <c r="C94" s="2"/>
      <c r="D94" s="1" t="s">
        <v>120</v>
      </c>
      <c r="E94" s="1" t="s">
        <v>120</v>
      </c>
      <c r="F94" s="2" t="s">
        <v>121</v>
      </c>
      <c r="H94" s="1"/>
      <c r="M94" s="36">
        <f>M122+M123+M124+M125+M126</f>
        <v>516880.92</v>
      </c>
      <c r="N94" s="96">
        <f>N122+N123+N124+N125+N126</f>
        <v>7.2209244785294224E-2</v>
      </c>
      <c r="O94" s="96"/>
      <c r="R94" s="178">
        <f>$AC$86*N94</f>
        <v>9036.9425220372395</v>
      </c>
    </row>
    <row r="95" spans="1:32">
      <c r="A95" s="154">
        <f>A94+1</f>
        <v>73</v>
      </c>
      <c r="C95" s="2"/>
      <c r="D95" s="1" t="s">
        <v>122</v>
      </c>
      <c r="E95" s="1" t="s">
        <v>122</v>
      </c>
      <c r="F95" s="2" t="s">
        <v>123</v>
      </c>
      <c r="H95" s="1"/>
      <c r="M95" s="36">
        <f>M127+M128+M129+M130+M131</f>
        <v>1615350.5299999998</v>
      </c>
      <c r="N95" s="96">
        <f>N127+N128+N129+N130+N131</f>
        <v>0.22566753254274649</v>
      </c>
      <c r="O95" s="96"/>
      <c r="R95" s="178">
        <f>$AC$86*N95</f>
        <v>28242.152742942006</v>
      </c>
    </row>
    <row r="96" spans="1:32">
      <c r="A96" s="154">
        <f t="shared" ref="A96:A98" si="35">A95+1</f>
        <v>74</v>
      </c>
      <c r="C96" s="2"/>
      <c r="D96" s="1" t="s">
        <v>124</v>
      </c>
      <c r="E96" s="1" t="s">
        <v>124</v>
      </c>
      <c r="F96" s="2" t="s">
        <v>103</v>
      </c>
      <c r="H96" s="1"/>
      <c r="M96" s="36">
        <f>M132+M133</f>
        <v>1068571.44</v>
      </c>
      <c r="N96" s="96">
        <f>N132+N133</f>
        <v>0.14928145670676785</v>
      </c>
      <c r="O96" s="96"/>
      <c r="R96" s="178">
        <f>$AC$86*N96</f>
        <v>18682.482386795324</v>
      </c>
    </row>
    <row r="97" spans="1:20">
      <c r="A97" s="154">
        <f t="shared" si="35"/>
        <v>75</v>
      </c>
      <c r="C97" s="2"/>
      <c r="D97" s="1" t="s">
        <v>370</v>
      </c>
      <c r="E97" s="1" t="s">
        <v>370</v>
      </c>
      <c r="F97" s="2" t="s">
        <v>78</v>
      </c>
      <c r="H97" s="1"/>
      <c r="M97" s="36">
        <f>M134</f>
        <v>155730.89000000001</v>
      </c>
      <c r="N97" s="96">
        <f>N134</f>
        <v>2.1755900675617373E-2</v>
      </c>
      <c r="O97" s="96"/>
      <c r="R97" s="178">
        <f>$AC$86*N97</f>
        <v>2722.7375733577164</v>
      </c>
    </row>
    <row r="98" spans="1:20">
      <c r="A98" s="154">
        <f t="shared" si="35"/>
        <v>76</v>
      </c>
      <c r="C98" s="2"/>
      <c r="D98" s="1" t="s">
        <v>125</v>
      </c>
      <c r="E98" s="1" t="s">
        <v>125</v>
      </c>
      <c r="F98" s="2" t="s">
        <v>119</v>
      </c>
      <c r="H98" s="1"/>
      <c r="M98" s="36">
        <f>M135+M136+M137</f>
        <v>1251723.0899999999</v>
      </c>
      <c r="N98" s="96">
        <f>N135+N136+N137</f>
        <v>0.17486808955767777</v>
      </c>
      <c r="O98" s="96"/>
      <c r="R98" s="178">
        <f>$AC$86*N98</f>
        <v>21884.633733117575</v>
      </c>
    </row>
    <row r="99" spans="1:20" ht="15" customHeight="1">
      <c r="A99" s="154">
        <f>A98+1</f>
        <v>77</v>
      </c>
      <c r="C99" s="2"/>
      <c r="D99" s="232" t="s">
        <v>471</v>
      </c>
      <c r="E99" s="4"/>
      <c r="F99" s="227"/>
      <c r="G99" s="4"/>
      <c r="H99" s="4"/>
      <c r="I99" s="44"/>
      <c r="J99" s="44"/>
      <c r="K99" s="44"/>
      <c r="L99" s="366">
        <f>SUM(M94:M98)</f>
        <v>4608256.8699999992</v>
      </c>
      <c r="M99" s="366"/>
      <c r="N99" s="199">
        <f>SUM(N94:N98)</f>
        <v>0.64378222426810372</v>
      </c>
      <c r="O99" s="96"/>
      <c r="R99" s="226">
        <f>SUM(R94:R98)</f>
        <v>80568.94895824985</v>
      </c>
      <c r="T99" s="2" t="s">
        <v>538</v>
      </c>
    </row>
    <row r="100" spans="1:20" ht="5.25" customHeight="1">
      <c r="A100" s="154"/>
      <c r="C100" s="2"/>
      <c r="E100" s="1"/>
      <c r="F100" s="2"/>
      <c r="H100" s="1"/>
      <c r="L100" s="43"/>
      <c r="M100" s="43"/>
      <c r="N100" s="96"/>
      <c r="O100" s="96"/>
    </row>
    <row r="101" spans="1:20">
      <c r="A101" s="1">
        <f>A99+1</f>
        <v>78</v>
      </c>
      <c r="C101" s="2"/>
      <c r="D101" s="1" t="s">
        <v>371</v>
      </c>
      <c r="E101" s="1" t="s">
        <v>371</v>
      </c>
      <c r="F101" s="2" t="s">
        <v>372</v>
      </c>
      <c r="H101" s="1"/>
      <c r="M101" s="36">
        <f>M116+M117</f>
        <v>2059643.1199999999</v>
      </c>
      <c r="N101" s="96">
        <f>N116+N117</f>
        <v>0.28773604996374619</v>
      </c>
      <c r="O101" s="96"/>
      <c r="R101" s="178">
        <f>$AC$86*N101</f>
        <v>36009.989479490643</v>
      </c>
    </row>
    <row r="102" spans="1:20">
      <c r="A102" s="1">
        <f>A101+1</f>
        <v>79</v>
      </c>
      <c r="C102" s="2"/>
      <c r="D102" s="1" t="s">
        <v>373</v>
      </c>
      <c r="E102" s="1" t="s">
        <v>373</v>
      </c>
      <c r="F102" s="2" t="s">
        <v>374</v>
      </c>
      <c r="H102" s="1"/>
      <c r="M102" s="36">
        <f>M119+M118</f>
        <v>144329.66999999998</v>
      </c>
      <c r="N102" s="96">
        <f>N119+N118</f>
        <v>2.0163128619277985E-2</v>
      </c>
      <c r="O102" s="96"/>
      <c r="R102" s="178">
        <f>$AC$86*N102</f>
        <v>2523.4031312562324</v>
      </c>
    </row>
    <row r="103" spans="1:20">
      <c r="A103" s="1">
        <f>A102+1</f>
        <v>80</v>
      </c>
      <c r="C103" s="2"/>
      <c r="D103" s="1" t="s">
        <v>375</v>
      </c>
      <c r="E103" s="1" t="s">
        <v>375</v>
      </c>
      <c r="F103" s="2" t="s">
        <v>376</v>
      </c>
      <c r="H103" s="1"/>
      <c r="M103" s="36">
        <f>M120</f>
        <v>210213.42</v>
      </c>
      <c r="N103" s="96">
        <f t="shared" ref="N103:N104" si="36">N120</f>
        <v>2.936721344238024E-2</v>
      </c>
      <c r="O103" s="96"/>
      <c r="R103" s="178">
        <f>$AC$86*N103</f>
        <v>3675.2886794522678</v>
      </c>
    </row>
    <row r="104" spans="1:20">
      <c r="A104" s="1">
        <f>A103+1</f>
        <v>81</v>
      </c>
      <c r="C104" s="2"/>
      <c r="D104" s="1" t="s">
        <v>377</v>
      </c>
      <c r="E104" s="1" t="s">
        <v>377</v>
      </c>
      <c r="F104" s="2" t="s">
        <v>378</v>
      </c>
      <c r="H104" s="1"/>
      <c r="M104" s="36">
        <f>M121</f>
        <v>135655.88</v>
      </c>
      <c r="N104" s="96">
        <f t="shared" si="36"/>
        <v>1.8951383706491815E-2</v>
      </c>
      <c r="O104" s="96"/>
      <c r="R104" s="178">
        <f>$AC$86*N104</f>
        <v>2371.7540015529707</v>
      </c>
    </row>
    <row r="105" spans="1:20" ht="15" customHeight="1">
      <c r="A105" s="1">
        <f>A104+1</f>
        <v>82</v>
      </c>
      <c r="C105" s="2"/>
      <c r="D105" s="4"/>
      <c r="E105" s="4"/>
      <c r="F105" s="44"/>
      <c r="G105" s="4"/>
      <c r="H105" s="4"/>
      <c r="I105" s="44" t="s">
        <v>22</v>
      </c>
      <c r="J105" s="44"/>
      <c r="K105" s="44"/>
      <c r="L105" s="366">
        <f>SUM(M101:M104)</f>
        <v>2549842.09</v>
      </c>
      <c r="M105" s="366"/>
      <c r="N105" s="199">
        <f>SUM(N101:N104)</f>
        <v>0.35621777573189622</v>
      </c>
      <c r="O105" s="96"/>
      <c r="R105" s="200">
        <f>SUM(R101:R104)</f>
        <v>44580.435291752117</v>
      </c>
      <c r="T105" s="2" t="s">
        <v>536</v>
      </c>
    </row>
    <row r="106" spans="1:20" ht="5.25" customHeight="1">
      <c r="A106" s="154"/>
      <c r="C106" s="2"/>
      <c r="E106" s="1"/>
      <c r="F106" s="2"/>
      <c r="H106" s="1"/>
      <c r="L106" s="43"/>
      <c r="M106" s="43"/>
      <c r="N106" s="37"/>
      <c r="O106" s="37"/>
    </row>
    <row r="107" spans="1:20" ht="15" customHeight="1" thickBot="1">
      <c r="A107" s="1">
        <f>A105+1</f>
        <v>83</v>
      </c>
      <c r="C107" s="2"/>
      <c r="D107" s="45"/>
      <c r="E107" s="45"/>
      <c r="F107" s="3" t="s">
        <v>43</v>
      </c>
      <c r="G107" s="45"/>
      <c r="H107" s="45"/>
      <c r="I107" s="3"/>
      <c r="J107" s="3"/>
      <c r="K107" s="3"/>
      <c r="L107" s="367">
        <f>L99+L105</f>
        <v>7158098.959999999</v>
      </c>
      <c r="M107" s="367"/>
      <c r="N107" s="46">
        <f>N99+N105</f>
        <v>1</v>
      </c>
      <c r="O107" s="37"/>
      <c r="R107" s="201">
        <f>R99+R105</f>
        <v>125149.38425000197</v>
      </c>
      <c r="S107" s="201"/>
      <c r="T107" s="2" t="s">
        <v>537</v>
      </c>
    </row>
    <row r="108" spans="1:20" ht="13.5" thickTop="1"/>
    <row r="112" spans="1:20">
      <c r="D112" s="129" t="s">
        <v>379</v>
      </c>
      <c r="E112" s="42" t="s">
        <v>379</v>
      </c>
    </row>
    <row r="113" spans="4:18">
      <c r="K113" s="1"/>
      <c r="L113" s="1"/>
      <c r="M113" s="1">
        <v>2023</v>
      </c>
    </row>
    <row r="114" spans="4:18">
      <c r="D114" s="129" t="s">
        <v>380</v>
      </c>
      <c r="E114" s="129" t="s">
        <v>380</v>
      </c>
      <c r="F114" s="129" t="s">
        <v>381</v>
      </c>
      <c r="G114" s="129"/>
      <c r="M114" s="129" t="s">
        <v>382</v>
      </c>
      <c r="N114" s="202" t="s">
        <v>383</v>
      </c>
      <c r="O114" s="202"/>
    </row>
    <row r="115" spans="4:18">
      <c r="E115" s="1"/>
      <c r="F115" s="2"/>
    </row>
    <row r="116" spans="4:18">
      <c r="D116" s="285">
        <v>107.2</v>
      </c>
      <c r="E116" s="156">
        <v>107.2</v>
      </c>
      <c r="F116" s="2" t="s">
        <v>384</v>
      </c>
      <c r="M116" s="342">
        <v>1957285.43</v>
      </c>
      <c r="N116" s="203">
        <f t="shared" ref="N116:N137" si="37">M116/L$138</f>
        <v>0.27343648655005459</v>
      </c>
      <c r="O116" s="203"/>
      <c r="R116" s="178"/>
    </row>
    <row r="117" spans="4:18">
      <c r="D117" s="285">
        <v>108.8</v>
      </c>
      <c r="E117" s="156">
        <v>108.8</v>
      </c>
      <c r="F117" s="2" t="s">
        <v>385</v>
      </c>
      <c r="M117" s="342">
        <v>102357.69</v>
      </c>
      <c r="N117" s="203">
        <f t="shared" si="37"/>
        <v>1.4299563413691615E-2</v>
      </c>
      <c r="O117" s="203"/>
      <c r="R117" s="178"/>
    </row>
    <row r="118" spans="4:18">
      <c r="D118" s="286">
        <v>143</v>
      </c>
      <c r="E118" s="156"/>
      <c r="F118" s="2" t="s">
        <v>386</v>
      </c>
      <c r="M118" s="342">
        <f>1326.3+18136.23+381.6</f>
        <v>19844.129999999997</v>
      </c>
      <c r="N118" s="203">
        <f t="shared" si="37"/>
        <v>2.7722625952631419E-3</v>
      </c>
      <c r="O118" s="203"/>
      <c r="R118" s="178"/>
    </row>
    <row r="119" spans="4:18">
      <c r="D119" s="286">
        <v>163</v>
      </c>
      <c r="E119" s="156">
        <v>163</v>
      </c>
      <c r="F119" s="2" t="s">
        <v>387</v>
      </c>
      <c r="M119" s="342">
        <v>124485.54</v>
      </c>
      <c r="N119" s="203">
        <f t="shared" si="37"/>
        <v>1.7390866024014844E-2</v>
      </c>
      <c r="O119" s="203"/>
      <c r="R119" s="178"/>
    </row>
    <row r="120" spans="4:18">
      <c r="D120" s="286">
        <v>184.1</v>
      </c>
      <c r="E120" s="156">
        <v>184.1</v>
      </c>
      <c r="F120" s="2" t="s">
        <v>117</v>
      </c>
      <c r="M120" s="342">
        <v>210213.42</v>
      </c>
      <c r="N120" s="203">
        <f t="shared" si="37"/>
        <v>2.936721344238024E-2</v>
      </c>
      <c r="O120" s="203"/>
      <c r="R120" s="178"/>
    </row>
    <row r="121" spans="4:18">
      <c r="D121" s="286">
        <v>242</v>
      </c>
      <c r="E121" s="156">
        <v>242</v>
      </c>
      <c r="F121" s="2" t="s">
        <v>388</v>
      </c>
      <c r="M121" s="342">
        <f>131561.17+4094.71</f>
        <v>135655.88</v>
      </c>
      <c r="N121" s="203">
        <f t="shared" si="37"/>
        <v>1.8951383706491815E-2</v>
      </c>
      <c r="O121" s="203"/>
      <c r="R121" s="178"/>
    </row>
    <row r="122" spans="4:18" hidden="1">
      <c r="D122" s="286">
        <v>580</v>
      </c>
      <c r="E122" s="156">
        <v>580</v>
      </c>
      <c r="F122" s="2" t="s">
        <v>389</v>
      </c>
      <c r="M122" s="342">
        <v>0</v>
      </c>
      <c r="N122" s="203">
        <f t="shared" si="37"/>
        <v>0</v>
      </c>
      <c r="O122" s="203"/>
      <c r="R122" s="178"/>
    </row>
    <row r="123" spans="4:18">
      <c r="D123" s="286">
        <v>583</v>
      </c>
      <c r="E123" s="156">
        <v>583</v>
      </c>
      <c r="F123" s="2" t="s">
        <v>390</v>
      </c>
      <c r="M123" s="342">
        <v>229301.95</v>
      </c>
      <c r="N123" s="203">
        <f t="shared" si="37"/>
        <v>3.2033917284652907E-2</v>
      </c>
      <c r="O123" s="203"/>
      <c r="R123" s="178"/>
    </row>
    <row r="124" spans="4:18">
      <c r="D124" s="286">
        <v>586</v>
      </c>
      <c r="E124" s="156">
        <v>586</v>
      </c>
      <c r="F124" s="2" t="s">
        <v>118</v>
      </c>
      <c r="M124" s="342">
        <v>273942.78999999998</v>
      </c>
      <c r="N124" s="203">
        <f t="shared" si="37"/>
        <v>3.8270327293714865E-2</v>
      </c>
      <c r="O124" s="203"/>
      <c r="R124" s="178"/>
    </row>
    <row r="125" spans="4:18">
      <c r="D125" s="286">
        <v>587</v>
      </c>
      <c r="E125" s="156">
        <v>587</v>
      </c>
      <c r="F125" s="2" t="s">
        <v>391</v>
      </c>
      <c r="M125" s="342">
        <v>13636.18</v>
      </c>
      <c r="N125" s="203">
        <f t="shared" si="37"/>
        <v>1.9050002069264491E-3</v>
      </c>
      <c r="O125" s="203"/>
      <c r="R125" s="178"/>
    </row>
    <row r="126" spans="4:18" hidden="1">
      <c r="D126" s="286">
        <v>588</v>
      </c>
      <c r="E126" s="156">
        <v>588</v>
      </c>
      <c r="F126" s="2" t="s">
        <v>392</v>
      </c>
      <c r="M126" s="342">
        <v>0</v>
      </c>
      <c r="N126" s="203">
        <f t="shared" si="37"/>
        <v>0</v>
      </c>
      <c r="O126" s="203"/>
      <c r="R126" s="178"/>
    </row>
    <row r="127" spans="4:18" hidden="1">
      <c r="D127" s="286">
        <v>590</v>
      </c>
      <c r="E127" s="156">
        <v>590</v>
      </c>
      <c r="F127" s="2" t="s">
        <v>393</v>
      </c>
      <c r="M127" s="342">
        <v>0</v>
      </c>
      <c r="N127" s="203">
        <f t="shared" si="37"/>
        <v>0</v>
      </c>
      <c r="O127" s="203"/>
      <c r="R127" s="178"/>
    </row>
    <row r="128" spans="4:18">
      <c r="D128" s="286">
        <v>593</v>
      </c>
      <c r="E128" s="156">
        <v>593</v>
      </c>
      <c r="F128" s="2" t="s">
        <v>394</v>
      </c>
      <c r="M128" s="342">
        <f>1288575.43+1717.41+74809.83+31236.45</f>
        <v>1396339.1199999999</v>
      </c>
      <c r="N128" s="203">
        <f t="shared" si="37"/>
        <v>0.1950712232120356</v>
      </c>
      <c r="O128" s="203"/>
      <c r="R128" s="178"/>
    </row>
    <row r="129" spans="4:18" hidden="1">
      <c r="D129" s="286">
        <v>595</v>
      </c>
      <c r="E129" s="156">
        <v>595</v>
      </c>
      <c r="F129" s="2" t="s">
        <v>395</v>
      </c>
      <c r="M129" s="342">
        <v>0</v>
      </c>
      <c r="N129" s="203">
        <f t="shared" si="37"/>
        <v>0</v>
      </c>
      <c r="O129" s="203"/>
      <c r="R129" s="178"/>
    </row>
    <row r="130" spans="4:18">
      <c r="D130" s="286">
        <v>597</v>
      </c>
      <c r="E130" s="156">
        <v>597</v>
      </c>
      <c r="F130" s="2" t="s">
        <v>396</v>
      </c>
      <c r="M130" s="342">
        <v>17887.91</v>
      </c>
      <c r="N130" s="203">
        <f t="shared" si="37"/>
        <v>2.4989749513046689E-3</v>
      </c>
      <c r="O130" s="203"/>
      <c r="R130" s="178"/>
    </row>
    <row r="131" spans="4:18">
      <c r="D131" s="286">
        <v>598</v>
      </c>
      <c r="E131" s="156">
        <v>598</v>
      </c>
      <c r="F131" s="2" t="s">
        <v>397</v>
      </c>
      <c r="M131" s="342">
        <v>201123.5</v>
      </c>
      <c r="N131" s="203">
        <f t="shared" si="37"/>
        <v>2.8097334379406234E-2</v>
      </c>
      <c r="O131" s="203"/>
      <c r="R131" s="178"/>
    </row>
    <row r="132" spans="4:18">
      <c r="D132" s="286">
        <v>902</v>
      </c>
      <c r="E132" s="156">
        <v>902</v>
      </c>
      <c r="F132" s="2" t="s">
        <v>398</v>
      </c>
      <c r="M132" s="342">
        <v>38467.46</v>
      </c>
      <c r="N132" s="203">
        <f t="shared" si="37"/>
        <v>5.3739771152870449E-3</v>
      </c>
      <c r="O132" s="203"/>
      <c r="R132" s="178"/>
    </row>
    <row r="133" spans="4:18">
      <c r="D133" s="286">
        <v>903</v>
      </c>
      <c r="E133" s="156">
        <v>903</v>
      </c>
      <c r="F133" s="2" t="s">
        <v>399</v>
      </c>
      <c r="M133" s="342">
        <f>1012616.63+12258.15+5229.2</f>
        <v>1030103.98</v>
      </c>
      <c r="N133" s="203">
        <f t="shared" si="37"/>
        <v>0.14390747959148081</v>
      </c>
      <c r="O133" s="203"/>
      <c r="R133" s="178"/>
    </row>
    <row r="134" spans="4:18">
      <c r="D134" s="287">
        <v>908</v>
      </c>
      <c r="E134" s="204" t="s">
        <v>400</v>
      </c>
      <c r="F134" s="2" t="s">
        <v>401</v>
      </c>
      <c r="M134" s="342">
        <v>155730.89000000001</v>
      </c>
      <c r="N134" s="203">
        <f t="shared" si="37"/>
        <v>2.1755900675617373E-2</v>
      </c>
      <c r="O134" s="203"/>
      <c r="R134" s="178"/>
    </row>
    <row r="135" spans="4:18">
      <c r="D135" s="286">
        <v>920</v>
      </c>
      <c r="E135" s="156">
        <v>920</v>
      </c>
      <c r="F135" s="2" t="s">
        <v>119</v>
      </c>
      <c r="M135" s="342">
        <v>1213573.17</v>
      </c>
      <c r="N135" s="203">
        <f t="shared" si="37"/>
        <v>0.16953847338260325</v>
      </c>
      <c r="O135" s="203"/>
      <c r="R135" s="178"/>
    </row>
    <row r="136" spans="4:18">
      <c r="D136" s="286">
        <v>921</v>
      </c>
      <c r="E136" s="156">
        <v>926</v>
      </c>
      <c r="F136" s="2" t="s">
        <v>402</v>
      </c>
      <c r="M136" s="342">
        <v>7253.47</v>
      </c>
      <c r="N136" s="203">
        <f t="shared" si="37"/>
        <v>1.0133235151585556E-3</v>
      </c>
      <c r="O136" s="203"/>
      <c r="R136" s="178"/>
    </row>
    <row r="137" spans="4:18">
      <c r="D137" s="286">
        <v>932</v>
      </c>
      <c r="E137" s="156">
        <v>935</v>
      </c>
      <c r="F137" s="2" t="s">
        <v>403</v>
      </c>
      <c r="M137" s="342">
        <v>30896.45</v>
      </c>
      <c r="N137" s="203">
        <f t="shared" si="37"/>
        <v>4.3162926599159511E-3</v>
      </c>
      <c r="O137" s="203"/>
      <c r="R137" s="178"/>
    </row>
    <row r="138" spans="4:18" ht="15" customHeight="1">
      <c r="D138" s="4"/>
      <c r="E138" s="44"/>
      <c r="F138" s="44" t="s">
        <v>43</v>
      </c>
      <c r="G138" s="4"/>
      <c r="H138" s="44"/>
      <c r="I138" s="44"/>
      <c r="J138" s="44"/>
      <c r="K138" s="44"/>
      <c r="L138" s="366">
        <f>SUM(M116:M137)</f>
        <v>7158098.96</v>
      </c>
      <c r="M138" s="366"/>
      <c r="N138" s="205">
        <f>L138/L$138</f>
        <v>1</v>
      </c>
      <c r="O138" s="273"/>
      <c r="R138" s="178"/>
    </row>
    <row r="139" spans="4:18">
      <c r="R139" s="178"/>
    </row>
    <row r="140" spans="4:18">
      <c r="R140" s="178"/>
    </row>
    <row r="141" spans="4:18">
      <c r="J141" s="2" t="s">
        <v>532</v>
      </c>
      <c r="M141" s="120">
        <v>7158098.96</v>
      </c>
      <c r="R141" s="178"/>
    </row>
    <row r="142" spans="4:18">
      <c r="J142" s="2" t="s">
        <v>533</v>
      </c>
      <c r="M142" s="178">
        <f>M141-L138</f>
        <v>0</v>
      </c>
      <c r="R142" s="178"/>
    </row>
    <row r="144" spans="4:18">
      <c r="J144" s="2" t="s">
        <v>534</v>
      </c>
      <c r="M144" s="178">
        <f>L107</f>
        <v>7158098.959999999</v>
      </c>
    </row>
    <row r="145" spans="13:13">
      <c r="M145" s="178">
        <f>M144-M141</f>
        <v>0</v>
      </c>
    </row>
  </sheetData>
  <mergeCells count="20">
    <mergeCell ref="C90:AA90"/>
    <mergeCell ref="L99:M99"/>
    <mergeCell ref="L105:M105"/>
    <mergeCell ref="L107:M107"/>
    <mergeCell ref="L138:M138"/>
    <mergeCell ref="AC47:AC48"/>
    <mergeCell ref="A3:AC3"/>
    <mergeCell ref="A4:AC4"/>
    <mergeCell ref="A6:AC6"/>
    <mergeCell ref="C8:F8"/>
    <mergeCell ref="H8:K8"/>
    <mergeCell ref="M8:R8"/>
    <mergeCell ref="T8:T9"/>
    <mergeCell ref="V8:AA8"/>
    <mergeCell ref="AC8:AC9"/>
    <mergeCell ref="C47:F47"/>
    <mergeCell ref="H47:K47"/>
    <mergeCell ref="M47:R47"/>
    <mergeCell ref="T47:T48"/>
    <mergeCell ref="V47:AA47"/>
  </mergeCells>
  <pageMargins left="0.25" right="0.25" top="0.75" bottom="0.5" header="0.5" footer="0.5"/>
  <pageSetup scale="57" fitToHeight="3" orientation="landscape" r:id="rId1"/>
  <headerFooter alignWithMargins="0">
    <oddFooter>&amp;RExhibit JW-2
Page &amp;P of &amp;N</oddFooter>
  </headerFooter>
  <rowBreaks count="2" manualBreakCount="2">
    <brk id="45" max="25" man="1"/>
    <brk id="88" max="25" man="1"/>
  </rowBreaks>
  <ignoredErrors>
    <ignoredError sqref="C73:R73" formulaRange="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53"/>
  <sheetViews>
    <sheetView view="pageBreakPreview" topLeftCell="A26" zoomScaleNormal="100" zoomScaleSheetLayoutView="100" workbookViewId="0">
      <selection activeCell="L10" sqref="L10:L42"/>
    </sheetView>
  </sheetViews>
  <sheetFormatPr defaultColWidth="9.140625" defaultRowHeight="12.75"/>
  <cols>
    <col min="1" max="1" width="5.85546875" style="9" customWidth="1"/>
    <col min="2" max="2" width="2.28515625" style="10" customWidth="1"/>
    <col min="3" max="3" width="14.85546875" style="9" bestFit="1" customWidth="1"/>
    <col min="4" max="4" width="8.28515625" style="9" customWidth="1"/>
    <col min="5" max="5" width="33.28515625" style="10" bestFit="1" customWidth="1"/>
    <col min="6" max="6" width="11.85546875" style="10" customWidth="1"/>
    <col min="7" max="7" width="1.5703125" style="10" customWidth="1"/>
    <col min="8" max="8" width="28.85546875" style="10" bestFit="1" customWidth="1"/>
    <col min="9" max="9" width="11.140625" style="10" customWidth="1"/>
    <col min="10" max="10" width="7.28515625" style="9" customWidth="1"/>
    <col min="11" max="16384" width="9.140625" style="10"/>
  </cols>
  <sheetData>
    <row r="1" spans="1:12">
      <c r="D1" s="143"/>
      <c r="J1" s="5" t="s">
        <v>114</v>
      </c>
    </row>
    <row r="2" spans="1:12" ht="20.25" customHeight="1">
      <c r="D2" s="143"/>
      <c r="F2" s="5"/>
      <c r="G2" s="5"/>
    </row>
    <row r="3" spans="1:12">
      <c r="A3" s="356" t="str">
        <f>RevReq!A1</f>
        <v>CUMBERLAND VALLEY ELECTRIC</v>
      </c>
      <c r="B3" s="356"/>
      <c r="C3" s="356"/>
      <c r="D3" s="356"/>
      <c r="E3" s="356"/>
      <c r="F3" s="356"/>
      <c r="G3" s="356"/>
      <c r="H3" s="356"/>
      <c r="I3" s="356"/>
      <c r="J3" s="356"/>
    </row>
    <row r="4" spans="1:12">
      <c r="A4" s="356" t="str">
        <f>RevReq!A3</f>
        <v>For the 12 Months Ended December 31, 2023</v>
      </c>
      <c r="B4" s="356"/>
      <c r="C4" s="356"/>
      <c r="D4" s="356"/>
      <c r="E4" s="356"/>
      <c r="F4" s="356"/>
      <c r="G4" s="356"/>
      <c r="H4" s="356"/>
      <c r="I4" s="356"/>
      <c r="J4" s="356"/>
    </row>
    <row r="6" spans="1:12" s="6" customFormat="1" ht="15" customHeight="1">
      <c r="A6" s="357" t="s">
        <v>345</v>
      </c>
      <c r="B6" s="357"/>
      <c r="C6" s="357"/>
      <c r="D6" s="357"/>
      <c r="E6" s="357"/>
      <c r="F6" s="357"/>
      <c r="G6" s="357"/>
      <c r="H6" s="357"/>
      <c r="I6" s="357"/>
      <c r="J6" s="357"/>
    </row>
    <row r="7" spans="1:12">
      <c r="I7" s="9" t="s">
        <v>346</v>
      </c>
    </row>
    <row r="8" spans="1:12">
      <c r="A8" s="9" t="s">
        <v>0</v>
      </c>
      <c r="C8" s="9" t="s">
        <v>347</v>
      </c>
      <c r="D8" s="9" t="s">
        <v>112</v>
      </c>
      <c r="E8" s="9" t="s">
        <v>40</v>
      </c>
      <c r="F8" s="9" t="s">
        <v>290</v>
      </c>
      <c r="G8" s="9"/>
      <c r="H8" s="9" t="s">
        <v>1</v>
      </c>
      <c r="I8" s="9" t="s">
        <v>348</v>
      </c>
      <c r="J8" s="9" t="s">
        <v>257</v>
      </c>
      <c r="K8" s="6"/>
    </row>
    <row r="9" spans="1:12">
      <c r="A9" s="11" t="s">
        <v>21</v>
      </c>
      <c r="C9" s="12" t="s">
        <v>18</v>
      </c>
      <c r="D9" s="12" t="s">
        <v>20</v>
      </c>
      <c r="E9" s="12" t="s">
        <v>19</v>
      </c>
      <c r="F9" s="12" t="s">
        <v>25</v>
      </c>
      <c r="G9" s="12"/>
      <c r="H9" s="12" t="s">
        <v>47</v>
      </c>
      <c r="I9" s="12" t="s">
        <v>48</v>
      </c>
      <c r="J9" s="12" t="s">
        <v>49</v>
      </c>
    </row>
    <row r="10" spans="1:12">
      <c r="J10" s="234"/>
      <c r="K10" s="6"/>
    </row>
    <row r="11" spans="1:12" s="2" customFormat="1">
      <c r="A11" s="1">
        <f t="shared" ref="A11:A47" si="0">A10+1</f>
        <v>1</v>
      </c>
      <c r="C11" s="276">
        <v>44929</v>
      </c>
      <c r="D11" s="10">
        <v>88914</v>
      </c>
      <c r="E11" s="10" t="s">
        <v>515</v>
      </c>
      <c r="F11" s="277">
        <v>1000</v>
      </c>
      <c r="G11" s="277"/>
      <c r="H11" s="10" t="s">
        <v>349</v>
      </c>
      <c r="I11" s="94">
        <v>0</v>
      </c>
      <c r="J11" s="1"/>
      <c r="L11" s="10"/>
    </row>
    <row r="12" spans="1:12" s="2" customFormat="1">
      <c r="A12" s="1">
        <f t="shared" si="0"/>
        <v>2</v>
      </c>
      <c r="C12" s="276">
        <v>44960</v>
      </c>
      <c r="D12" s="10">
        <v>89112</v>
      </c>
      <c r="E12" s="10" t="s">
        <v>515</v>
      </c>
      <c r="F12" s="277">
        <v>1000</v>
      </c>
      <c r="G12" s="277"/>
      <c r="H12" s="10" t="s">
        <v>349</v>
      </c>
      <c r="I12" s="175">
        <v>0</v>
      </c>
      <c r="J12" s="1"/>
      <c r="L12" s="10"/>
    </row>
    <row r="13" spans="1:12" s="2" customFormat="1">
      <c r="A13" s="1">
        <f t="shared" si="0"/>
        <v>3</v>
      </c>
      <c r="C13" s="276">
        <v>44985</v>
      </c>
      <c r="D13" s="10">
        <v>89298</v>
      </c>
      <c r="E13" s="10" t="s">
        <v>515</v>
      </c>
      <c r="F13" s="277">
        <v>250</v>
      </c>
      <c r="G13" s="10"/>
      <c r="H13" s="10" t="s">
        <v>351</v>
      </c>
      <c r="I13" s="175">
        <v>250</v>
      </c>
      <c r="J13" s="1" t="s">
        <v>127</v>
      </c>
      <c r="L13" s="10"/>
    </row>
    <row r="14" spans="1:12" s="2" customFormat="1">
      <c r="A14" s="1">
        <f t="shared" si="0"/>
        <v>4</v>
      </c>
      <c r="C14" s="276">
        <v>44985</v>
      </c>
      <c r="D14" s="10">
        <v>89374</v>
      </c>
      <c r="E14" s="10" t="s">
        <v>516</v>
      </c>
      <c r="F14" s="277">
        <v>267.5</v>
      </c>
      <c r="G14" s="10"/>
      <c r="H14" s="10" t="s">
        <v>519</v>
      </c>
      <c r="I14" s="175">
        <f>F14*2/3</f>
        <v>178.33333333333334</v>
      </c>
      <c r="J14" s="1" t="s">
        <v>128</v>
      </c>
      <c r="L14" s="10"/>
    </row>
    <row r="15" spans="1:12" s="2" customFormat="1">
      <c r="A15" s="1">
        <f t="shared" si="0"/>
        <v>5</v>
      </c>
      <c r="C15" s="276">
        <v>44985</v>
      </c>
      <c r="D15" s="10">
        <v>89400</v>
      </c>
      <c r="E15" s="10" t="s">
        <v>516</v>
      </c>
      <c r="F15" s="277">
        <v>1979.5</v>
      </c>
      <c r="G15" s="277"/>
      <c r="H15" s="10" t="s">
        <v>351</v>
      </c>
      <c r="I15" s="175">
        <v>0</v>
      </c>
      <c r="J15" s="1"/>
      <c r="L15" s="10"/>
    </row>
    <row r="16" spans="1:12" s="2" customFormat="1">
      <c r="A16" s="1">
        <f t="shared" si="0"/>
        <v>6</v>
      </c>
      <c r="C16" s="276">
        <v>44987</v>
      </c>
      <c r="D16" s="10">
        <v>89298</v>
      </c>
      <c r="E16" s="10" t="s">
        <v>515</v>
      </c>
      <c r="F16" s="277">
        <v>1000</v>
      </c>
      <c r="G16" s="277"/>
      <c r="H16" s="10" t="s">
        <v>349</v>
      </c>
      <c r="I16" s="175">
        <v>0</v>
      </c>
      <c r="J16" s="1"/>
      <c r="L16" s="10"/>
    </row>
    <row r="17" spans="1:12" s="2" customFormat="1">
      <c r="A17" s="1">
        <f t="shared" si="0"/>
        <v>7</v>
      </c>
      <c r="C17" s="276">
        <v>45021</v>
      </c>
      <c r="D17" s="10">
        <v>89505</v>
      </c>
      <c r="E17" s="10" t="s">
        <v>515</v>
      </c>
      <c r="F17" s="277">
        <v>1000</v>
      </c>
      <c r="G17" s="277"/>
      <c r="H17" s="10" t="s">
        <v>349</v>
      </c>
      <c r="I17" s="94">
        <v>0</v>
      </c>
      <c r="J17" s="1"/>
      <c r="L17" s="10"/>
    </row>
    <row r="18" spans="1:12" s="2" customFormat="1">
      <c r="A18" s="1">
        <f t="shared" si="0"/>
        <v>8</v>
      </c>
      <c r="C18" s="276">
        <v>45042</v>
      </c>
      <c r="D18" s="10">
        <v>89602</v>
      </c>
      <c r="E18" s="10" t="s">
        <v>516</v>
      </c>
      <c r="F18" s="277">
        <v>8132</v>
      </c>
      <c r="G18" s="277"/>
      <c r="H18" s="10" t="s">
        <v>351</v>
      </c>
      <c r="I18" s="94">
        <v>0</v>
      </c>
      <c r="J18" s="1"/>
      <c r="L18" s="10"/>
    </row>
    <row r="19" spans="1:12" s="2" customFormat="1">
      <c r="A19" s="1">
        <f t="shared" si="0"/>
        <v>9</v>
      </c>
      <c r="C19" s="276">
        <v>45046</v>
      </c>
      <c r="D19" s="10">
        <v>89751</v>
      </c>
      <c r="E19" s="10" t="s">
        <v>516</v>
      </c>
      <c r="F19" s="277">
        <v>8137.43</v>
      </c>
      <c r="G19" s="277"/>
      <c r="H19" s="10" t="s">
        <v>351</v>
      </c>
      <c r="I19" s="94">
        <v>0</v>
      </c>
      <c r="J19" s="1"/>
      <c r="L19" s="10"/>
    </row>
    <row r="20" spans="1:12" s="2" customFormat="1">
      <c r="A20" s="1">
        <f t="shared" si="0"/>
        <v>10</v>
      </c>
      <c r="C20" s="276">
        <v>45057</v>
      </c>
      <c r="D20" s="10">
        <v>89726</v>
      </c>
      <c r="E20" s="10" t="s">
        <v>515</v>
      </c>
      <c r="F20" s="277">
        <v>1000</v>
      </c>
      <c r="G20" s="277"/>
      <c r="H20" s="10" t="s">
        <v>349</v>
      </c>
      <c r="I20" s="94">
        <v>0</v>
      </c>
      <c r="J20" s="1"/>
      <c r="L20" s="10"/>
    </row>
    <row r="21" spans="1:12" s="2" customFormat="1">
      <c r="A21" s="1">
        <f t="shared" si="0"/>
        <v>11</v>
      </c>
      <c r="C21" s="276">
        <v>45077</v>
      </c>
      <c r="D21" s="10">
        <v>89875</v>
      </c>
      <c r="E21" s="10" t="s">
        <v>515</v>
      </c>
      <c r="F21" s="277">
        <v>7111.5</v>
      </c>
      <c r="G21" s="277"/>
      <c r="H21" s="10" t="s">
        <v>351</v>
      </c>
      <c r="I21" s="94">
        <v>0</v>
      </c>
      <c r="J21" s="1"/>
      <c r="L21" s="10"/>
    </row>
    <row r="22" spans="1:12" s="2" customFormat="1">
      <c r="A22" s="1">
        <f t="shared" si="0"/>
        <v>12</v>
      </c>
      <c r="C22" s="276">
        <v>45078</v>
      </c>
      <c r="D22" s="10">
        <v>89841</v>
      </c>
      <c r="E22" s="10" t="s">
        <v>515</v>
      </c>
      <c r="F22" s="277">
        <v>1000</v>
      </c>
      <c r="G22" s="277"/>
      <c r="H22" s="10" t="s">
        <v>349</v>
      </c>
      <c r="I22" s="94">
        <v>0</v>
      </c>
      <c r="J22" s="1"/>
      <c r="L22" s="10"/>
    </row>
    <row r="23" spans="1:12" s="2" customFormat="1">
      <c r="A23" s="1">
        <f t="shared" si="0"/>
        <v>13</v>
      </c>
      <c r="C23" s="276">
        <v>45091</v>
      </c>
      <c r="D23" s="10">
        <v>89916</v>
      </c>
      <c r="E23" s="10" t="s">
        <v>516</v>
      </c>
      <c r="F23" s="277">
        <v>2354</v>
      </c>
      <c r="G23" s="277"/>
      <c r="H23" s="10" t="s">
        <v>351</v>
      </c>
      <c r="I23" s="94">
        <v>0</v>
      </c>
      <c r="J23" s="1"/>
      <c r="L23" s="10"/>
    </row>
    <row r="24" spans="1:12" s="2" customFormat="1">
      <c r="A24" s="1">
        <f t="shared" si="0"/>
        <v>14</v>
      </c>
      <c r="C24" s="276">
        <v>45107</v>
      </c>
      <c r="D24" s="10">
        <v>90263</v>
      </c>
      <c r="E24" s="10" t="s">
        <v>517</v>
      </c>
      <c r="F24" s="277">
        <v>2200</v>
      </c>
      <c r="G24" s="277"/>
      <c r="H24" s="10" t="s">
        <v>350</v>
      </c>
      <c r="I24" s="94">
        <v>0</v>
      </c>
      <c r="J24" s="1"/>
      <c r="L24" s="10"/>
    </row>
    <row r="25" spans="1:12" s="2" customFormat="1">
      <c r="A25" s="1">
        <f t="shared" si="0"/>
        <v>15</v>
      </c>
      <c r="C25" s="276">
        <v>45112</v>
      </c>
      <c r="D25" s="10">
        <v>90191</v>
      </c>
      <c r="E25" s="10" t="s">
        <v>515</v>
      </c>
      <c r="F25" s="277">
        <v>1000</v>
      </c>
      <c r="G25" s="277"/>
      <c r="H25" s="10" t="s">
        <v>349</v>
      </c>
      <c r="I25" s="94">
        <v>0</v>
      </c>
      <c r="J25" s="1"/>
      <c r="L25" s="10"/>
    </row>
    <row r="26" spans="1:12" s="2" customFormat="1">
      <c r="A26" s="1">
        <f t="shared" si="0"/>
        <v>16</v>
      </c>
      <c r="C26" s="276">
        <v>45138</v>
      </c>
      <c r="D26" s="10">
        <v>90439</v>
      </c>
      <c r="E26" s="10" t="s">
        <v>517</v>
      </c>
      <c r="F26" s="277">
        <v>3000</v>
      </c>
      <c r="G26" s="277"/>
      <c r="H26" s="10" t="s">
        <v>350</v>
      </c>
      <c r="I26" s="94">
        <v>3000</v>
      </c>
      <c r="J26" s="1" t="s">
        <v>127</v>
      </c>
      <c r="L26" s="10"/>
    </row>
    <row r="27" spans="1:12" s="2" customFormat="1">
      <c r="A27" s="1">
        <f t="shared" si="0"/>
        <v>17</v>
      </c>
      <c r="C27" s="276">
        <v>45140</v>
      </c>
      <c r="D27" s="10">
        <v>90358</v>
      </c>
      <c r="E27" s="10" t="s">
        <v>515</v>
      </c>
      <c r="F27" s="277">
        <v>1000</v>
      </c>
      <c r="G27" s="277"/>
      <c r="H27" s="10" t="s">
        <v>349</v>
      </c>
      <c r="I27" s="94">
        <v>0</v>
      </c>
      <c r="J27" s="1"/>
      <c r="L27" s="10"/>
    </row>
    <row r="28" spans="1:12" s="2" customFormat="1">
      <c r="A28" s="1">
        <f t="shared" si="0"/>
        <v>18</v>
      </c>
      <c r="C28" s="276">
        <v>45155</v>
      </c>
      <c r="D28" s="10">
        <v>90433</v>
      </c>
      <c r="E28" s="10" t="s">
        <v>352</v>
      </c>
      <c r="F28" s="277">
        <v>4050</v>
      </c>
      <c r="G28" s="277"/>
      <c r="H28" s="10" t="s">
        <v>353</v>
      </c>
      <c r="I28" s="94">
        <v>0</v>
      </c>
      <c r="J28" s="1"/>
      <c r="L28" s="10"/>
    </row>
    <row r="29" spans="1:12" s="2" customFormat="1">
      <c r="A29" s="1">
        <f t="shared" si="0"/>
        <v>19</v>
      </c>
      <c r="C29" s="276">
        <v>45155</v>
      </c>
      <c r="D29" s="10">
        <v>90426</v>
      </c>
      <c r="E29" s="10" t="s">
        <v>516</v>
      </c>
      <c r="F29" s="277">
        <v>4012.5</v>
      </c>
      <c r="G29" s="277"/>
      <c r="H29" s="10" t="s">
        <v>351</v>
      </c>
      <c r="I29" s="94">
        <v>0</v>
      </c>
      <c r="J29" s="1"/>
      <c r="L29" s="10"/>
    </row>
    <row r="30" spans="1:12" s="2" customFormat="1">
      <c r="A30" s="1">
        <f t="shared" si="0"/>
        <v>20</v>
      </c>
      <c r="C30" s="276">
        <v>45176</v>
      </c>
      <c r="D30" s="10">
        <v>90560</v>
      </c>
      <c r="E30" s="10" t="s">
        <v>515</v>
      </c>
      <c r="F30" s="277">
        <v>1000</v>
      </c>
      <c r="G30" s="277"/>
      <c r="H30" s="10" t="s">
        <v>349</v>
      </c>
      <c r="I30" s="94">
        <v>0</v>
      </c>
      <c r="J30" s="1"/>
      <c r="L30" s="10"/>
    </row>
    <row r="31" spans="1:12" s="2" customFormat="1">
      <c r="A31" s="1">
        <f t="shared" si="0"/>
        <v>21</v>
      </c>
      <c r="C31" s="276">
        <v>45176</v>
      </c>
      <c r="D31" s="10">
        <v>90597</v>
      </c>
      <c r="E31" s="10" t="s">
        <v>518</v>
      </c>
      <c r="F31" s="277">
        <v>1000</v>
      </c>
      <c r="G31" s="277"/>
      <c r="H31" s="10" t="s">
        <v>349</v>
      </c>
      <c r="I31" s="94">
        <v>0</v>
      </c>
      <c r="J31" s="1"/>
      <c r="L31" s="10"/>
    </row>
    <row r="32" spans="1:12" s="2" customFormat="1">
      <c r="A32" s="1">
        <f t="shared" si="0"/>
        <v>22</v>
      </c>
      <c r="C32" s="276">
        <v>45203</v>
      </c>
      <c r="D32" s="10">
        <v>90736</v>
      </c>
      <c r="E32" s="10" t="s">
        <v>515</v>
      </c>
      <c r="F32" s="277">
        <v>1000</v>
      </c>
      <c r="G32" s="277"/>
      <c r="H32" s="10" t="s">
        <v>349</v>
      </c>
      <c r="I32" s="175">
        <v>0</v>
      </c>
      <c r="J32" s="1"/>
      <c r="L32" s="10"/>
    </row>
    <row r="33" spans="1:12" s="2" customFormat="1">
      <c r="A33" s="1">
        <f t="shared" si="0"/>
        <v>23</v>
      </c>
      <c r="C33" s="276">
        <v>45203</v>
      </c>
      <c r="D33" s="10">
        <v>90758</v>
      </c>
      <c r="E33" s="10" t="s">
        <v>518</v>
      </c>
      <c r="F33" s="277">
        <v>1000</v>
      </c>
      <c r="G33" s="277"/>
      <c r="H33" s="10" t="s">
        <v>349</v>
      </c>
      <c r="I33" s="175">
        <v>0</v>
      </c>
      <c r="J33" s="1"/>
      <c r="L33" s="10"/>
    </row>
    <row r="34" spans="1:12" s="2" customFormat="1">
      <c r="A34" s="1">
        <f t="shared" si="0"/>
        <v>24</v>
      </c>
      <c r="C34" s="276">
        <v>45225</v>
      </c>
      <c r="D34" s="10">
        <v>90814</v>
      </c>
      <c r="E34" s="10" t="s">
        <v>515</v>
      </c>
      <c r="F34" s="277">
        <v>1134.7</v>
      </c>
      <c r="G34" s="277"/>
      <c r="H34" s="10" t="s">
        <v>351</v>
      </c>
      <c r="I34" s="175">
        <v>0</v>
      </c>
      <c r="J34" s="1"/>
      <c r="L34" s="10"/>
    </row>
    <row r="35" spans="1:12" s="2" customFormat="1">
      <c r="A35" s="1">
        <f t="shared" si="0"/>
        <v>25</v>
      </c>
      <c r="C35" s="276">
        <v>45230</v>
      </c>
      <c r="D35" s="10">
        <v>90972</v>
      </c>
      <c r="E35" s="10" t="s">
        <v>516</v>
      </c>
      <c r="F35" s="277">
        <v>4280</v>
      </c>
      <c r="G35" s="277"/>
      <c r="H35" s="10" t="s">
        <v>351</v>
      </c>
      <c r="I35" s="175">
        <v>0</v>
      </c>
      <c r="J35" s="1"/>
      <c r="L35" s="10"/>
    </row>
    <row r="36" spans="1:12" s="2" customFormat="1">
      <c r="A36" s="1">
        <f t="shared" si="0"/>
        <v>26</v>
      </c>
      <c r="C36" s="276">
        <v>45232</v>
      </c>
      <c r="D36" s="10">
        <v>90898</v>
      </c>
      <c r="E36" s="10" t="s">
        <v>515</v>
      </c>
      <c r="F36" s="277">
        <v>1000</v>
      </c>
      <c r="G36" s="277"/>
      <c r="H36" s="10" t="s">
        <v>349</v>
      </c>
      <c r="I36" s="175">
        <v>0</v>
      </c>
      <c r="J36" s="1"/>
      <c r="L36" s="10"/>
    </row>
    <row r="37" spans="1:12" s="2" customFormat="1">
      <c r="A37" s="1">
        <f t="shared" si="0"/>
        <v>27</v>
      </c>
      <c r="C37" s="276">
        <v>45232</v>
      </c>
      <c r="D37" s="10">
        <v>90921</v>
      </c>
      <c r="E37" s="10" t="s">
        <v>518</v>
      </c>
      <c r="F37" s="277">
        <v>1000</v>
      </c>
      <c r="G37" s="277"/>
      <c r="H37" s="10" t="s">
        <v>349</v>
      </c>
      <c r="I37" s="175">
        <v>0</v>
      </c>
      <c r="J37" s="1"/>
      <c r="L37" s="10"/>
    </row>
    <row r="38" spans="1:12" s="2" customFormat="1">
      <c r="A38" s="1">
        <f t="shared" si="0"/>
        <v>28</v>
      </c>
      <c r="C38" s="276">
        <v>45266</v>
      </c>
      <c r="D38" s="10">
        <v>91099</v>
      </c>
      <c r="E38" s="10" t="s">
        <v>515</v>
      </c>
      <c r="F38" s="277">
        <v>1000</v>
      </c>
      <c r="G38" s="277"/>
      <c r="H38" s="10" t="s">
        <v>349</v>
      </c>
      <c r="I38" s="175">
        <v>0</v>
      </c>
      <c r="J38" s="1"/>
      <c r="L38" s="10"/>
    </row>
    <row r="39" spans="1:12" s="2" customFormat="1">
      <c r="A39" s="1">
        <f t="shared" si="0"/>
        <v>29</v>
      </c>
      <c r="C39" s="276">
        <v>45266</v>
      </c>
      <c r="D39" s="10">
        <v>91134</v>
      </c>
      <c r="E39" s="10" t="s">
        <v>518</v>
      </c>
      <c r="F39" s="277">
        <v>1000</v>
      </c>
      <c r="G39" s="277"/>
      <c r="H39" s="10" t="s">
        <v>349</v>
      </c>
      <c r="I39" s="175">
        <v>0</v>
      </c>
      <c r="J39" s="1"/>
      <c r="L39" s="10"/>
    </row>
    <row r="40" spans="1:12" s="2" customFormat="1">
      <c r="A40" s="1">
        <f t="shared" si="0"/>
        <v>30</v>
      </c>
      <c r="C40" s="276">
        <v>45138</v>
      </c>
      <c r="D40" s="10">
        <v>90439</v>
      </c>
      <c r="E40" s="10" t="s">
        <v>517</v>
      </c>
      <c r="F40" s="277">
        <v>10000</v>
      </c>
      <c r="G40" s="170"/>
      <c r="H40" s="10" t="s">
        <v>354</v>
      </c>
      <c r="I40" s="175">
        <v>0</v>
      </c>
      <c r="J40" s="1"/>
      <c r="L40" s="10"/>
    </row>
    <row r="41" spans="1:12" s="2" customFormat="1">
      <c r="A41" s="1">
        <f t="shared" si="0"/>
        <v>31</v>
      </c>
      <c r="C41" s="276">
        <v>45219</v>
      </c>
      <c r="D41" s="10">
        <v>90800</v>
      </c>
      <c r="E41" s="10" t="s">
        <v>517</v>
      </c>
      <c r="F41" s="277">
        <v>3150</v>
      </c>
      <c r="G41" s="170"/>
      <c r="H41" s="10" t="s">
        <v>354</v>
      </c>
      <c r="I41" s="175">
        <v>0</v>
      </c>
      <c r="J41" s="1"/>
      <c r="L41" s="10"/>
    </row>
    <row r="42" spans="1:12" s="2" customFormat="1">
      <c r="A42" s="1">
        <f t="shared" si="0"/>
        <v>32</v>
      </c>
      <c r="C42" s="1"/>
      <c r="D42" s="1"/>
      <c r="E42" s="117"/>
      <c r="F42" s="173"/>
      <c r="G42" s="173"/>
      <c r="H42" s="117"/>
      <c r="I42" s="228"/>
      <c r="J42" s="1"/>
      <c r="L42" s="10"/>
    </row>
    <row r="43" spans="1:12" s="2" customFormat="1">
      <c r="A43" s="1">
        <f t="shared" si="0"/>
        <v>33</v>
      </c>
      <c r="D43" s="9"/>
      <c r="E43" s="14" t="s">
        <v>36</v>
      </c>
      <c r="F43" s="162">
        <f>SUM(F11:F41)</f>
        <v>76059.13</v>
      </c>
      <c r="G43" s="163"/>
      <c r="H43" s="10"/>
      <c r="I43" s="229">
        <f>SUM(I11:I41)</f>
        <v>3428.3333333333335</v>
      </c>
      <c r="J43" s="1"/>
    </row>
    <row r="44" spans="1:12" s="2" customFormat="1">
      <c r="A44" s="1">
        <f t="shared" si="0"/>
        <v>34</v>
      </c>
      <c r="D44" s="9"/>
      <c r="E44" s="14"/>
      <c r="F44" s="163"/>
      <c r="G44" s="163"/>
      <c r="H44" s="10"/>
      <c r="I44" s="163"/>
      <c r="J44" s="1"/>
    </row>
    <row r="45" spans="1:12" s="2" customFormat="1">
      <c r="A45" s="1">
        <f t="shared" si="0"/>
        <v>35</v>
      </c>
      <c r="D45" s="9"/>
      <c r="E45" s="14" t="s">
        <v>151</v>
      </c>
      <c r="F45" s="163">
        <f>F43-I43</f>
        <v>72630.796666666676</v>
      </c>
      <c r="G45" s="163"/>
      <c r="H45" s="10"/>
      <c r="I45" s="163"/>
      <c r="J45" s="1"/>
    </row>
    <row r="46" spans="1:12">
      <c r="A46" s="1">
        <f t="shared" si="0"/>
        <v>36</v>
      </c>
      <c r="C46" s="1"/>
      <c r="D46" s="1"/>
      <c r="I46" s="163"/>
    </row>
    <row r="47" spans="1:12" ht="13.5" thickBot="1">
      <c r="A47" s="1">
        <f t="shared" si="0"/>
        <v>37</v>
      </c>
      <c r="C47" s="45" t="s">
        <v>15</v>
      </c>
      <c r="D47" s="45"/>
      <c r="E47" s="19"/>
      <c r="F47" s="278">
        <f>F45-F43</f>
        <v>-3428.3333333333285</v>
      </c>
      <c r="G47" s="21"/>
      <c r="I47" s="163"/>
    </row>
    <row r="48" spans="1:12" ht="13.5" thickTop="1"/>
    <row r="49" spans="3:9">
      <c r="C49" s="207" t="s">
        <v>474</v>
      </c>
    </row>
    <row r="50" spans="3:9">
      <c r="C50" s="9" t="s">
        <v>127</v>
      </c>
      <c r="D50" s="14" t="s">
        <v>473</v>
      </c>
    </row>
    <row r="51" spans="3:9">
      <c r="C51" s="9" t="s">
        <v>128</v>
      </c>
      <c r="D51" s="14" t="s">
        <v>475</v>
      </c>
    </row>
    <row r="53" spans="3:9" ht="27.75" customHeight="1">
      <c r="C53" s="358" t="s">
        <v>355</v>
      </c>
      <c r="D53" s="358"/>
      <c r="E53" s="358"/>
      <c r="F53" s="358"/>
      <c r="G53" s="358"/>
      <c r="H53" s="358"/>
      <c r="I53" s="358"/>
    </row>
  </sheetData>
  <mergeCells count="4">
    <mergeCell ref="C53:I53"/>
    <mergeCell ref="A3:J3"/>
    <mergeCell ref="A4:J4"/>
    <mergeCell ref="A6:J6"/>
  </mergeCells>
  <printOptions horizontalCentered="1"/>
  <pageMargins left="1" right="0.75" top="0.75" bottom="0.5" header="0.5" footer="0.5"/>
  <pageSetup scale="68" orientation="portrait" r:id="rId1"/>
  <headerFooter alignWithMargins="0">
    <oddFooter>&amp;RExhibit JW-2
Page &amp;P of &amp;N</oddFooter>
  </headerFooter>
  <ignoredErrors>
    <ignoredError sqref="C9:J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1"/>
  <sheetViews>
    <sheetView view="pageBreakPreview" topLeftCell="A11" zoomScaleNormal="100" zoomScaleSheetLayoutView="100" workbookViewId="0">
      <selection activeCell="P50" sqref="P50"/>
    </sheetView>
  </sheetViews>
  <sheetFormatPr defaultColWidth="9.140625" defaultRowHeight="12.75"/>
  <cols>
    <col min="1" max="1" width="5.85546875" style="10" customWidth="1"/>
    <col min="2" max="2" width="2.28515625" style="10" customWidth="1"/>
    <col min="3" max="3" width="37.7109375" style="10" bestFit="1" customWidth="1"/>
    <col min="4" max="4" width="9.42578125" style="10" customWidth="1"/>
    <col min="5" max="5" width="2.42578125" style="10" customWidth="1"/>
    <col min="6" max="6" width="15.7109375" style="10" customWidth="1"/>
    <col min="7" max="16384" width="9.140625" style="10"/>
  </cols>
  <sheetData>
    <row r="1" spans="1:6">
      <c r="D1" s="5"/>
      <c r="F1" s="5" t="s">
        <v>469</v>
      </c>
    </row>
    <row r="2" spans="1:6" ht="20.25" customHeight="1">
      <c r="D2" s="5"/>
      <c r="F2" s="5"/>
    </row>
    <row r="3" spans="1:6">
      <c r="A3" s="356" t="str">
        <f>RevReq!A1</f>
        <v>CUMBERLAND VALLEY ELECTRIC</v>
      </c>
      <c r="B3" s="356"/>
      <c r="C3" s="356"/>
      <c r="D3" s="356"/>
      <c r="E3" s="356"/>
      <c r="F3" s="356"/>
    </row>
    <row r="4" spans="1:6">
      <c r="A4" s="356" t="str">
        <f>RevReq!A3</f>
        <v>For the 12 Months Ended December 31, 2023</v>
      </c>
      <c r="B4" s="356"/>
      <c r="C4" s="356"/>
      <c r="D4" s="356"/>
      <c r="E4" s="356"/>
      <c r="F4" s="356"/>
    </row>
    <row r="6" spans="1:6" s="6" customFormat="1" ht="15" customHeight="1">
      <c r="A6" s="357" t="s">
        <v>31</v>
      </c>
      <c r="B6" s="357"/>
      <c r="C6" s="357"/>
      <c r="D6" s="357"/>
      <c r="E6" s="357"/>
      <c r="F6" s="357"/>
    </row>
    <row r="8" spans="1:6">
      <c r="A8" s="9" t="s">
        <v>0</v>
      </c>
      <c r="C8" s="9" t="s">
        <v>40</v>
      </c>
      <c r="D8" s="9" t="s">
        <v>300</v>
      </c>
      <c r="E8" s="9"/>
      <c r="F8" s="9" t="s">
        <v>24</v>
      </c>
    </row>
    <row r="9" spans="1:6">
      <c r="A9" s="11" t="s">
        <v>21</v>
      </c>
      <c r="C9" s="12" t="s">
        <v>18</v>
      </c>
      <c r="D9" s="12" t="s">
        <v>20</v>
      </c>
      <c r="E9" s="12"/>
      <c r="F9" s="12" t="s">
        <v>19</v>
      </c>
    </row>
    <row r="10" spans="1:6">
      <c r="A10" s="9"/>
    </row>
    <row r="11" spans="1:6">
      <c r="A11" s="9"/>
    </row>
    <row r="12" spans="1:6">
      <c r="A12" s="9">
        <v>1</v>
      </c>
      <c r="C12" s="14" t="s">
        <v>357</v>
      </c>
      <c r="D12" s="26">
        <v>423</v>
      </c>
      <c r="E12" s="1"/>
      <c r="F12" s="174">
        <f>RevReq!C35</f>
        <v>739072</v>
      </c>
    </row>
    <row r="13" spans="1:6">
      <c r="A13" s="9">
        <v>2</v>
      </c>
      <c r="C13" s="2"/>
      <c r="D13" s="2"/>
      <c r="E13" s="2"/>
      <c r="F13" s="18"/>
    </row>
    <row r="14" spans="1:6">
      <c r="A14" s="9">
        <v>3</v>
      </c>
      <c r="C14" s="2" t="s">
        <v>36</v>
      </c>
      <c r="D14" s="2"/>
      <c r="E14" s="2"/>
      <c r="F14" s="18">
        <f>F12</f>
        <v>739072</v>
      </c>
    </row>
    <row r="15" spans="1:6">
      <c r="A15" s="9">
        <v>4</v>
      </c>
      <c r="C15" s="2"/>
      <c r="D15" s="2"/>
      <c r="E15" s="2"/>
    </row>
    <row r="16" spans="1:6">
      <c r="A16" s="9">
        <v>5</v>
      </c>
      <c r="C16" s="2" t="s">
        <v>37</v>
      </c>
      <c r="D16" s="2"/>
      <c r="F16" s="13">
        <v>0</v>
      </c>
    </row>
    <row r="17" spans="1:6">
      <c r="A17" s="9">
        <v>6</v>
      </c>
      <c r="C17" s="2"/>
      <c r="D17" s="2"/>
    </row>
    <row r="18" spans="1:6" ht="13.5" thickBot="1">
      <c r="A18" s="9">
        <v>7</v>
      </c>
      <c r="C18" s="3" t="s">
        <v>15</v>
      </c>
      <c r="D18" s="3"/>
      <c r="E18" s="19"/>
      <c r="F18" s="278">
        <f>ROUND(F16-F14,2)</f>
        <v>-739072</v>
      </c>
    </row>
    <row r="19" spans="1:6" ht="13.5" thickTop="1"/>
    <row r="21" spans="1:6" ht="30" customHeight="1">
      <c r="C21" s="358" t="s">
        <v>358</v>
      </c>
      <c r="D21" s="358"/>
      <c r="E21" s="358"/>
      <c r="F21" s="358"/>
    </row>
  </sheetData>
  <mergeCells count="4">
    <mergeCell ref="A3:F3"/>
    <mergeCell ref="A4:F4"/>
    <mergeCell ref="A6:F6"/>
    <mergeCell ref="C21:F21"/>
  </mergeCells>
  <printOptions horizontalCentered="1"/>
  <pageMargins left="1" right="0.75" top="0.75" bottom="0.5" header="0.5" footer="0.5"/>
  <pageSetup orientation="portrait" r:id="rId1"/>
  <headerFooter alignWithMargins="0">
    <oddFooter>&amp;RExhibit JW-2
Page &amp;P of &amp;N</oddFooter>
  </headerFooter>
  <ignoredErrors>
    <ignoredError sqref="C9:F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55"/>
  <sheetViews>
    <sheetView view="pageBreakPreview" zoomScaleNormal="100" zoomScaleSheetLayoutView="100" workbookViewId="0">
      <selection activeCell="P50" sqref="P50"/>
    </sheetView>
  </sheetViews>
  <sheetFormatPr defaultColWidth="9.140625" defaultRowHeight="12.75"/>
  <cols>
    <col min="1" max="1" width="5.85546875" style="10" customWidth="1"/>
    <col min="2" max="2" width="2.28515625" style="9" customWidth="1"/>
    <col min="3" max="3" width="11.7109375" style="10" customWidth="1"/>
    <col min="4" max="4" width="5.7109375" style="10" customWidth="1"/>
    <col min="5" max="5" width="10.85546875" style="10" customWidth="1"/>
    <col min="6" max="6" width="12.5703125" style="10" customWidth="1"/>
    <col min="7" max="7" width="13.7109375" style="10" customWidth="1"/>
    <col min="8" max="8" width="12.7109375" style="10" customWidth="1"/>
    <col min="9" max="9" width="11.140625" style="10" customWidth="1"/>
    <col min="10" max="10" width="13.28515625" style="10" customWidth="1"/>
    <col min="11" max="11" width="10.42578125" style="10" customWidth="1"/>
    <col min="12" max="16384" width="9.140625" style="10"/>
  </cols>
  <sheetData>
    <row r="1" spans="1:11">
      <c r="G1" s="5"/>
      <c r="J1" s="5"/>
      <c r="K1" s="5" t="s">
        <v>268</v>
      </c>
    </row>
    <row r="2" spans="1:11" ht="13.5" customHeight="1">
      <c r="G2" s="5"/>
      <c r="H2" s="5"/>
    </row>
    <row r="3" spans="1:11">
      <c r="A3" s="356" t="str">
        <f>RevReq!A1</f>
        <v>CUMBERLAND VALLEY ELECTRIC</v>
      </c>
      <c r="B3" s="356"/>
      <c r="C3" s="356"/>
      <c r="D3" s="356"/>
      <c r="E3" s="356"/>
      <c r="F3" s="356"/>
      <c r="G3" s="356"/>
      <c r="H3" s="356"/>
      <c r="I3" s="356"/>
      <c r="J3" s="356"/>
      <c r="K3" s="356"/>
    </row>
    <row r="4" spans="1:11">
      <c r="A4" s="356" t="str">
        <f>RevReq!A3</f>
        <v>For the 12 Months Ended December 31, 2023</v>
      </c>
      <c r="B4" s="356"/>
      <c r="C4" s="356"/>
      <c r="D4" s="356"/>
      <c r="E4" s="356"/>
      <c r="F4" s="356"/>
      <c r="G4" s="356"/>
      <c r="H4" s="356"/>
      <c r="I4" s="356"/>
      <c r="J4" s="356"/>
      <c r="K4" s="356"/>
    </row>
    <row r="6" spans="1:11" s="6" customFormat="1" ht="15" customHeight="1">
      <c r="A6" s="357" t="s">
        <v>97</v>
      </c>
      <c r="B6" s="357"/>
      <c r="C6" s="357"/>
      <c r="D6" s="357"/>
      <c r="E6" s="357"/>
      <c r="F6" s="357"/>
      <c r="G6" s="357"/>
      <c r="H6" s="357"/>
      <c r="I6" s="357"/>
      <c r="J6" s="357"/>
      <c r="K6" s="357"/>
    </row>
    <row r="8" spans="1:11" s="27" customFormat="1" ht="38.25" customHeight="1">
      <c r="A8" s="27" t="s">
        <v>0</v>
      </c>
      <c r="C8" s="27" t="s">
        <v>406</v>
      </c>
      <c r="D8" s="27" t="s">
        <v>257</v>
      </c>
      <c r="E8" s="27" t="s">
        <v>407</v>
      </c>
      <c r="F8" s="27" t="s">
        <v>408</v>
      </c>
      <c r="G8" s="27" t="s">
        <v>409</v>
      </c>
      <c r="H8" s="27" t="s">
        <v>410</v>
      </c>
      <c r="I8" s="27" t="s">
        <v>411</v>
      </c>
      <c r="J8" s="27" t="s">
        <v>412</v>
      </c>
      <c r="K8" s="27" t="s">
        <v>126</v>
      </c>
    </row>
    <row r="9" spans="1:11">
      <c r="A9" s="11" t="s">
        <v>21</v>
      </c>
      <c r="C9" s="12" t="s">
        <v>18</v>
      </c>
      <c r="D9" s="12" t="s">
        <v>20</v>
      </c>
      <c r="E9" s="12" t="s">
        <v>19</v>
      </c>
      <c r="F9" s="12" t="s">
        <v>25</v>
      </c>
      <c r="G9" s="12" t="s">
        <v>47</v>
      </c>
      <c r="H9" s="12" t="s">
        <v>48</v>
      </c>
      <c r="I9" s="12" t="s">
        <v>49</v>
      </c>
      <c r="J9" s="12" t="s">
        <v>50</v>
      </c>
      <c r="K9" s="12" t="s">
        <v>413</v>
      </c>
    </row>
    <row r="10" spans="1:11">
      <c r="A10" s="9"/>
    </row>
    <row r="11" spans="1:11">
      <c r="A11" s="9">
        <v>1</v>
      </c>
      <c r="C11" s="35" t="s">
        <v>414</v>
      </c>
      <c r="D11" s="35"/>
    </row>
    <row r="12" spans="1:11">
      <c r="A12" s="9">
        <f>A11+1</f>
        <v>2</v>
      </c>
      <c r="C12" s="14" t="s">
        <v>415</v>
      </c>
      <c r="D12" s="14"/>
      <c r="E12" s="213">
        <v>36748</v>
      </c>
      <c r="F12" s="213">
        <v>49369</v>
      </c>
      <c r="G12" s="13">
        <v>540323.80000000005</v>
      </c>
      <c r="H12" s="214">
        <v>1.8749999999999999E-2</v>
      </c>
      <c r="I12" s="24">
        <f>ROUND(G12*H12,2)</f>
        <v>10131.07</v>
      </c>
      <c r="J12" s="13">
        <v>11885.86</v>
      </c>
      <c r="K12" s="13">
        <f>I12-J12</f>
        <v>-1754.7900000000009</v>
      </c>
    </row>
    <row r="13" spans="1:11">
      <c r="A13" s="9">
        <f t="shared" ref="A13:A52" si="0">A12+1</f>
        <v>3</v>
      </c>
      <c r="C13" s="14"/>
      <c r="D13" s="14"/>
      <c r="E13" s="213"/>
      <c r="F13" s="213"/>
      <c r="G13" s="16">
        <f>SUM(G12:G12)</f>
        <v>540323.80000000005</v>
      </c>
      <c r="H13" s="214"/>
      <c r="I13" s="24">
        <f>SUM(I12:I12)</f>
        <v>10131.07</v>
      </c>
      <c r="J13" s="24">
        <f>SUM(J12:J12)</f>
        <v>11885.86</v>
      </c>
      <c r="K13" s="24">
        <f>SUM(K12:K12)</f>
        <v>-1754.7900000000009</v>
      </c>
    </row>
    <row r="14" spans="1:11">
      <c r="A14" s="9">
        <f t="shared" si="0"/>
        <v>4</v>
      </c>
      <c r="C14" s="14"/>
      <c r="D14" s="14"/>
      <c r="E14" s="213"/>
      <c r="F14" s="213"/>
      <c r="G14" s="13"/>
      <c r="H14" s="214"/>
      <c r="I14" s="24"/>
      <c r="J14" s="13"/>
      <c r="K14" s="13"/>
    </row>
    <row r="15" spans="1:11">
      <c r="A15" s="9">
        <f t="shared" si="0"/>
        <v>5</v>
      </c>
      <c r="C15" s="35" t="s">
        <v>416</v>
      </c>
      <c r="D15" s="35"/>
      <c r="E15" s="213"/>
      <c r="G15" s="13"/>
      <c r="H15" s="214"/>
      <c r="I15" s="24"/>
      <c r="J15" s="13"/>
      <c r="K15" s="13"/>
    </row>
    <row r="16" spans="1:11">
      <c r="A16" s="9">
        <f t="shared" si="0"/>
        <v>6</v>
      </c>
      <c r="C16" s="14" t="s">
        <v>417</v>
      </c>
      <c r="D16" s="9"/>
      <c r="E16" s="213">
        <v>36970</v>
      </c>
      <c r="F16" s="213">
        <v>12786</v>
      </c>
      <c r="G16" s="13">
        <v>1615559.4</v>
      </c>
      <c r="H16" s="215">
        <v>4.1230000000000003E-2</v>
      </c>
      <c r="I16" s="24">
        <f t="shared" ref="I16:I22" si="1">ROUND(G16*H16,2)</f>
        <v>66609.509999999995</v>
      </c>
      <c r="J16" s="13">
        <v>75169.05</v>
      </c>
      <c r="K16" s="13">
        <f t="shared" ref="K16:K31" si="2">I16-J16</f>
        <v>-8559.5400000000081</v>
      </c>
    </row>
    <row r="17" spans="1:14">
      <c r="A17" s="9">
        <f t="shared" si="0"/>
        <v>7</v>
      </c>
      <c r="C17" s="14" t="s">
        <v>418</v>
      </c>
      <c r="D17" s="9"/>
      <c r="E17" s="213">
        <v>37803</v>
      </c>
      <c r="F17" s="213">
        <v>12786</v>
      </c>
      <c r="G17" s="13">
        <v>1940284.59</v>
      </c>
      <c r="H17" s="215">
        <v>4.1230000000000003E-2</v>
      </c>
      <c r="I17" s="24">
        <f t="shared" si="1"/>
        <v>79997.929999999993</v>
      </c>
      <c r="J17" s="13">
        <v>90277.94</v>
      </c>
      <c r="K17" s="13">
        <f t="shared" si="2"/>
        <v>-10280.010000000009</v>
      </c>
    </row>
    <row r="18" spans="1:14">
      <c r="A18" s="9">
        <f t="shared" si="0"/>
        <v>8</v>
      </c>
      <c r="B18" s="1"/>
      <c r="C18" s="14" t="s">
        <v>419</v>
      </c>
      <c r="D18" s="9"/>
      <c r="E18" s="213">
        <v>38181</v>
      </c>
      <c r="F18" s="213">
        <v>50405</v>
      </c>
      <c r="G18" s="13">
        <v>1058187.1200000001</v>
      </c>
      <c r="H18" s="215">
        <v>4.0980000000000003E-2</v>
      </c>
      <c r="I18" s="24">
        <f t="shared" si="1"/>
        <v>43364.51</v>
      </c>
      <c r="J18" s="13">
        <v>48539.94</v>
      </c>
      <c r="K18" s="13">
        <f t="shared" si="2"/>
        <v>-5175.43</v>
      </c>
    </row>
    <row r="19" spans="1:14">
      <c r="A19" s="9">
        <f t="shared" si="0"/>
        <v>9</v>
      </c>
      <c r="B19" s="1"/>
      <c r="C19" s="14" t="s">
        <v>420</v>
      </c>
      <c r="D19" s="9"/>
      <c r="E19" s="213">
        <v>38385</v>
      </c>
      <c r="F19" s="213">
        <v>50405</v>
      </c>
      <c r="G19" s="13">
        <v>961988.29</v>
      </c>
      <c r="H19" s="215">
        <v>4.0980000000000003E-2</v>
      </c>
      <c r="I19" s="24">
        <f t="shared" si="1"/>
        <v>39422.28</v>
      </c>
      <c r="J19" s="13">
        <v>44127.23</v>
      </c>
      <c r="K19" s="13">
        <f t="shared" si="2"/>
        <v>-4704.9500000000044</v>
      </c>
    </row>
    <row r="20" spans="1:14">
      <c r="A20" s="9">
        <f t="shared" si="0"/>
        <v>10</v>
      </c>
      <c r="B20" s="1"/>
      <c r="C20" s="14" t="s">
        <v>421</v>
      </c>
      <c r="D20" s="9"/>
      <c r="E20" s="213">
        <v>38652</v>
      </c>
      <c r="F20" s="213">
        <v>13880</v>
      </c>
      <c r="G20" s="13">
        <v>1439364.68</v>
      </c>
      <c r="H20" s="215">
        <v>4.0980000000000003E-2</v>
      </c>
      <c r="I20" s="24">
        <f t="shared" si="1"/>
        <v>58985.16</v>
      </c>
      <c r="J20" s="13">
        <v>66024.88</v>
      </c>
      <c r="K20" s="13">
        <f t="shared" si="2"/>
        <v>-7039.7200000000012</v>
      </c>
    </row>
    <row r="21" spans="1:14">
      <c r="A21" s="9">
        <f t="shared" si="0"/>
        <v>11</v>
      </c>
      <c r="B21" s="1"/>
      <c r="C21" s="14" t="s">
        <v>422</v>
      </c>
      <c r="D21" s="9"/>
      <c r="E21" s="213">
        <v>38975</v>
      </c>
      <c r="F21" s="213">
        <v>13880</v>
      </c>
      <c r="G21" s="13">
        <v>979348.65</v>
      </c>
      <c r="H21" s="215">
        <v>4.0980000000000003E-2</v>
      </c>
      <c r="I21" s="24">
        <f t="shared" si="1"/>
        <v>40133.71</v>
      </c>
      <c r="J21" s="13">
        <v>44923.55</v>
      </c>
      <c r="K21" s="13">
        <f t="shared" si="2"/>
        <v>-4789.8400000000038</v>
      </c>
    </row>
    <row r="22" spans="1:14">
      <c r="A22" s="9">
        <f t="shared" si="0"/>
        <v>12</v>
      </c>
      <c r="B22" s="1"/>
      <c r="C22" s="10" t="s">
        <v>423</v>
      </c>
      <c r="D22" s="9"/>
      <c r="E22" s="213">
        <v>39223</v>
      </c>
      <c r="F22" s="213">
        <v>13880</v>
      </c>
      <c r="G22" s="17">
        <v>545432.26</v>
      </c>
      <c r="H22" s="215">
        <v>4.0980000000000003E-2</v>
      </c>
      <c r="I22" s="24">
        <f t="shared" si="1"/>
        <v>22351.81</v>
      </c>
      <c r="J22" s="13">
        <v>25019.45</v>
      </c>
      <c r="K22" s="13">
        <f t="shared" si="2"/>
        <v>-2667.6399999999994</v>
      </c>
    </row>
    <row r="23" spans="1:14">
      <c r="A23" s="9">
        <f t="shared" si="0"/>
        <v>13</v>
      </c>
      <c r="C23" s="14" t="s">
        <v>424</v>
      </c>
      <c r="D23" s="9"/>
      <c r="E23" s="213">
        <v>39661</v>
      </c>
      <c r="F23" s="213">
        <v>52231</v>
      </c>
      <c r="G23" s="17">
        <v>2447592.2999999998</v>
      </c>
      <c r="H23" s="215">
        <v>4.1459999999999997E-2</v>
      </c>
      <c r="I23" s="24">
        <f t="shared" ref="I23:I34" si="3">ROUND(G23*H23,2)</f>
        <v>101477.18</v>
      </c>
      <c r="J23" s="13">
        <v>111641.88</v>
      </c>
      <c r="K23" s="13">
        <f t="shared" si="2"/>
        <v>-10164.700000000012</v>
      </c>
    </row>
    <row r="24" spans="1:14">
      <c r="A24" s="9">
        <f t="shared" si="0"/>
        <v>14</v>
      </c>
      <c r="C24" s="14" t="s">
        <v>425</v>
      </c>
      <c r="D24" s="9"/>
      <c r="E24" s="213">
        <v>39755</v>
      </c>
      <c r="F24" s="213">
        <v>52231</v>
      </c>
      <c r="G24" s="17">
        <v>1529745.15</v>
      </c>
      <c r="H24" s="215">
        <v>4.1459999999999997E-2</v>
      </c>
      <c r="I24" s="24">
        <f t="shared" si="3"/>
        <v>63423.23</v>
      </c>
      <c r="J24" s="13">
        <v>69776.17</v>
      </c>
      <c r="K24" s="13">
        <f t="shared" si="2"/>
        <v>-6352.9399999999951</v>
      </c>
    </row>
    <row r="25" spans="1:14">
      <c r="A25" s="9">
        <f t="shared" si="0"/>
        <v>15</v>
      </c>
      <c r="C25" s="14" t="s">
        <v>426</v>
      </c>
      <c r="D25" s="9"/>
      <c r="E25" s="213">
        <v>40186</v>
      </c>
      <c r="F25" s="213">
        <v>52231</v>
      </c>
      <c r="G25" s="17">
        <v>1883304.26</v>
      </c>
      <c r="H25" s="214">
        <v>2.2859999999999998E-2</v>
      </c>
      <c r="I25" s="24">
        <f t="shared" si="3"/>
        <v>43052.34</v>
      </c>
      <c r="J25" s="13">
        <v>44051.87</v>
      </c>
      <c r="K25" s="13">
        <f t="shared" si="2"/>
        <v>-999.53000000000611</v>
      </c>
    </row>
    <row r="26" spans="1:14">
      <c r="A26" s="9">
        <f t="shared" si="0"/>
        <v>16</v>
      </c>
      <c r="C26" s="14" t="s">
        <v>427</v>
      </c>
      <c r="D26" s="9"/>
      <c r="E26" s="213">
        <v>40750</v>
      </c>
      <c r="F26" s="213">
        <v>52231</v>
      </c>
      <c r="G26" s="17">
        <v>2629495.62</v>
      </c>
      <c r="H26" s="214">
        <v>2.2859999999999998E-2</v>
      </c>
      <c r="I26" s="24">
        <f t="shared" si="3"/>
        <v>60110.27</v>
      </c>
      <c r="J26" s="13">
        <v>61505.83</v>
      </c>
      <c r="K26" s="13">
        <f t="shared" si="2"/>
        <v>-1395.5600000000049</v>
      </c>
      <c r="N26" s="214"/>
    </row>
    <row r="27" spans="1:14">
      <c r="A27" s="9">
        <f t="shared" si="0"/>
        <v>17</v>
      </c>
      <c r="C27" s="10" t="s">
        <v>428</v>
      </c>
      <c r="D27" s="9"/>
      <c r="E27" s="213">
        <v>41107</v>
      </c>
      <c r="F27" s="213">
        <v>52231</v>
      </c>
      <c r="G27" s="13">
        <v>1608947.67</v>
      </c>
      <c r="H27" s="214">
        <v>2.3769999999999999E-2</v>
      </c>
      <c r="I27" s="24">
        <f t="shared" si="3"/>
        <v>38244.69</v>
      </c>
      <c r="J27" s="13">
        <v>39122.980000000003</v>
      </c>
      <c r="K27" s="13">
        <f t="shared" si="2"/>
        <v>-878.29000000000087</v>
      </c>
    </row>
    <row r="28" spans="1:14">
      <c r="A28" s="9">
        <f t="shared" si="0"/>
        <v>18</v>
      </c>
      <c r="C28" s="10" t="s">
        <v>429</v>
      </c>
      <c r="D28" s="9"/>
      <c r="E28" s="213">
        <v>41282</v>
      </c>
      <c r="F28" s="213">
        <v>17167</v>
      </c>
      <c r="G28" s="13">
        <v>2343618.63</v>
      </c>
      <c r="H28" s="214">
        <v>2.452E-2</v>
      </c>
      <c r="I28" s="24">
        <f t="shared" si="3"/>
        <v>57465.53</v>
      </c>
      <c r="J28" s="13">
        <v>58457.86</v>
      </c>
      <c r="K28" s="13">
        <f t="shared" si="2"/>
        <v>-992.33000000000175</v>
      </c>
    </row>
    <row r="29" spans="1:14">
      <c r="A29" s="9">
        <f t="shared" si="0"/>
        <v>19</v>
      </c>
      <c r="C29" s="10" t="s">
        <v>430</v>
      </c>
      <c r="D29" s="9"/>
      <c r="E29" s="213">
        <v>41438</v>
      </c>
      <c r="F29" s="213">
        <v>17167</v>
      </c>
      <c r="G29" s="13">
        <v>1484291.82</v>
      </c>
      <c r="H29" s="214">
        <v>2.452E-2</v>
      </c>
      <c r="I29" s="24">
        <f t="shared" si="3"/>
        <v>36394.839999999997</v>
      </c>
      <c r="J29" s="13">
        <v>37023.31</v>
      </c>
      <c r="K29" s="13">
        <f t="shared" si="2"/>
        <v>-628.47000000000116</v>
      </c>
    </row>
    <row r="30" spans="1:14">
      <c r="A30" s="9">
        <f t="shared" si="0"/>
        <v>20</v>
      </c>
      <c r="C30" s="10" t="s">
        <v>431</v>
      </c>
      <c r="D30" s="9"/>
      <c r="E30" s="213">
        <v>41613</v>
      </c>
      <c r="F30" s="213">
        <v>17167</v>
      </c>
      <c r="G30" s="13">
        <v>1562412.17</v>
      </c>
      <c r="H30" s="214">
        <v>2.452E-2</v>
      </c>
      <c r="I30" s="24">
        <f t="shared" si="3"/>
        <v>38310.35</v>
      </c>
      <c r="J30" s="13">
        <v>38971.879999999997</v>
      </c>
      <c r="K30" s="13">
        <f t="shared" si="2"/>
        <v>-661.52999999999884</v>
      </c>
    </row>
    <row r="31" spans="1:14">
      <c r="A31" s="9">
        <f t="shared" si="0"/>
        <v>21</v>
      </c>
      <c r="C31" s="10" t="s">
        <v>432</v>
      </c>
      <c r="D31" s="9"/>
      <c r="E31" s="213">
        <v>41842</v>
      </c>
      <c r="F31" s="213">
        <v>17167</v>
      </c>
      <c r="G31" s="13">
        <v>2343716.41</v>
      </c>
      <c r="H31" s="214">
        <v>2.452E-2</v>
      </c>
      <c r="I31" s="24">
        <f t="shared" si="3"/>
        <v>57467.93</v>
      </c>
      <c r="J31" s="13">
        <v>58460.29</v>
      </c>
      <c r="K31" s="13">
        <f t="shared" si="2"/>
        <v>-992.36000000000058</v>
      </c>
    </row>
    <row r="32" spans="1:14">
      <c r="A32" s="9">
        <f t="shared" si="0"/>
        <v>22</v>
      </c>
      <c r="C32" s="10" t="s">
        <v>433</v>
      </c>
      <c r="D32" s="9"/>
      <c r="E32" s="213">
        <v>42258</v>
      </c>
      <c r="F32" s="213">
        <v>17167</v>
      </c>
      <c r="G32" s="13">
        <v>2436916.6</v>
      </c>
      <c r="H32" s="214">
        <v>2.8070000000000001E-2</v>
      </c>
      <c r="I32" s="24">
        <f t="shared" si="3"/>
        <v>68404.25</v>
      </c>
      <c r="J32" s="13">
        <v>69522.77</v>
      </c>
      <c r="K32" s="13">
        <f t="shared" ref="K32:K43" si="4">I32-J32</f>
        <v>-1118.5200000000041</v>
      </c>
    </row>
    <row r="33" spans="1:11">
      <c r="A33" s="9">
        <f t="shared" si="0"/>
        <v>23</v>
      </c>
      <c r="C33" s="10" t="s">
        <v>434</v>
      </c>
      <c r="D33" s="9"/>
      <c r="E33" s="213">
        <v>42332</v>
      </c>
      <c r="F33" s="213">
        <v>17167</v>
      </c>
      <c r="G33" s="13">
        <v>2283668.39</v>
      </c>
      <c r="H33" s="214">
        <v>2.818E-2</v>
      </c>
      <c r="I33" s="24">
        <f t="shared" si="3"/>
        <v>64353.78</v>
      </c>
      <c r="J33" s="13">
        <v>65404.28</v>
      </c>
      <c r="K33" s="13">
        <f t="shared" si="4"/>
        <v>-1050.5</v>
      </c>
    </row>
    <row r="34" spans="1:11">
      <c r="A34" s="9">
        <f t="shared" si="0"/>
        <v>24</v>
      </c>
      <c r="C34" s="10" t="s">
        <v>435</v>
      </c>
      <c r="D34" s="9"/>
      <c r="E34" s="213">
        <v>42650</v>
      </c>
      <c r="F34" s="213">
        <v>17167</v>
      </c>
      <c r="G34" s="13">
        <v>963794.88</v>
      </c>
      <c r="H34" s="215">
        <v>4.163E-2</v>
      </c>
      <c r="I34" s="24">
        <f t="shared" si="3"/>
        <v>40122.78</v>
      </c>
      <c r="J34" s="13">
        <v>43814.37</v>
      </c>
      <c r="K34" s="13">
        <f t="shared" si="4"/>
        <v>-3691.5900000000038</v>
      </c>
    </row>
    <row r="35" spans="1:11">
      <c r="A35" s="9">
        <f t="shared" si="0"/>
        <v>25</v>
      </c>
      <c r="C35" s="14" t="s">
        <v>436</v>
      </c>
      <c r="D35" s="9"/>
      <c r="E35" s="213">
        <v>43508</v>
      </c>
      <c r="F35" s="213">
        <v>55154</v>
      </c>
      <c r="G35" s="13">
        <v>3606897.06</v>
      </c>
      <c r="H35" s="214">
        <v>2.9899999999999999E-2</v>
      </c>
      <c r="I35" s="24">
        <f>ROUND(G35*H35,2)</f>
        <v>107846.22</v>
      </c>
      <c r="J35" s="13">
        <v>109153.38</v>
      </c>
      <c r="K35" s="13">
        <f t="shared" si="4"/>
        <v>-1307.1600000000035</v>
      </c>
    </row>
    <row r="36" spans="1:11">
      <c r="A36" s="9">
        <f t="shared" si="0"/>
        <v>26</v>
      </c>
      <c r="C36" s="14" t="s">
        <v>437</v>
      </c>
      <c r="D36" s="9"/>
      <c r="E36" s="213">
        <v>43831</v>
      </c>
      <c r="F36" s="213">
        <v>18629</v>
      </c>
      <c r="G36" s="13">
        <v>2704326.87</v>
      </c>
      <c r="H36" s="216">
        <v>4.147E-2</v>
      </c>
      <c r="I36" s="24">
        <f>ROUND(G36*H36,2)</f>
        <v>112148.44</v>
      </c>
      <c r="J36" s="13">
        <v>122277.49</v>
      </c>
      <c r="K36" s="13">
        <f t="shared" si="4"/>
        <v>-10129.050000000003</v>
      </c>
    </row>
    <row r="37" spans="1:11">
      <c r="A37" s="9">
        <f t="shared" si="0"/>
        <v>27</v>
      </c>
      <c r="C37" s="14" t="s">
        <v>438</v>
      </c>
      <c r="D37" s="9"/>
      <c r="E37" s="213">
        <v>43922</v>
      </c>
      <c r="F37" s="213">
        <v>55154</v>
      </c>
      <c r="G37" s="13">
        <v>3542560.45</v>
      </c>
      <c r="H37" s="216">
        <v>4.147E-2</v>
      </c>
      <c r="I37" s="24">
        <f>ROUND(G37*H37,2)</f>
        <v>146909.98000000001</v>
      </c>
      <c r="J37" s="13">
        <v>160737.59</v>
      </c>
      <c r="K37" s="13">
        <f t="shared" si="4"/>
        <v>-13827.609999999986</v>
      </c>
    </row>
    <row r="38" spans="1:11">
      <c r="A38" s="9">
        <f t="shared" si="0"/>
        <v>28</v>
      </c>
      <c r="C38" s="14" t="s">
        <v>520</v>
      </c>
      <c r="D38" s="9"/>
      <c r="E38" s="213">
        <v>44378</v>
      </c>
      <c r="F38" s="213">
        <v>55154</v>
      </c>
      <c r="G38" s="13">
        <v>3309509.52</v>
      </c>
      <c r="H38" s="216">
        <v>4.147E-2</v>
      </c>
      <c r="I38" s="24">
        <f>ROUND(G38*H38,2)</f>
        <v>137245.35999999999</v>
      </c>
      <c r="J38" s="13">
        <v>149641.15</v>
      </c>
      <c r="K38" s="13">
        <f t="shared" si="4"/>
        <v>-12395.790000000008</v>
      </c>
    </row>
    <row r="39" spans="1:11">
      <c r="A39" s="9">
        <f t="shared" si="0"/>
        <v>29</v>
      </c>
      <c r="C39" s="10" t="s">
        <v>521</v>
      </c>
      <c r="D39" s="9"/>
      <c r="E39" s="213">
        <v>44440</v>
      </c>
      <c r="F39" s="213">
        <v>55154</v>
      </c>
      <c r="G39" s="13">
        <v>3204653.37</v>
      </c>
      <c r="H39" s="214">
        <v>4.147E-2</v>
      </c>
      <c r="I39" s="24">
        <f>ROUND(G39*H39,2)</f>
        <v>132896.98000000001</v>
      </c>
      <c r="J39" s="13">
        <v>144900.03</v>
      </c>
      <c r="K39" s="13">
        <f t="shared" si="4"/>
        <v>-12003.049999999988</v>
      </c>
    </row>
    <row r="40" spans="1:11">
      <c r="A40" s="9">
        <f t="shared" si="0"/>
        <v>30</v>
      </c>
      <c r="C40" s="14"/>
      <c r="D40" s="14"/>
      <c r="E40" s="213"/>
      <c r="F40" s="213"/>
      <c r="G40" s="16">
        <f>SUM(G16:G39)</f>
        <v>48425616.160000004</v>
      </c>
      <c r="H40" s="214"/>
      <c r="I40" s="16">
        <f>SUM(I16:I39)</f>
        <v>1656739.06</v>
      </c>
      <c r="J40" s="16">
        <f>SUM(J16:J39)</f>
        <v>1778545.1700000002</v>
      </c>
      <c r="K40" s="16">
        <f>I40-J40</f>
        <v>-121806.1100000001</v>
      </c>
    </row>
    <row r="41" spans="1:11">
      <c r="A41" s="9">
        <f t="shared" si="0"/>
        <v>31</v>
      </c>
      <c r="C41" s="35" t="s">
        <v>439</v>
      </c>
      <c r="D41" s="35"/>
      <c r="E41" s="1"/>
      <c r="F41" s="213"/>
      <c r="G41" s="13"/>
      <c r="H41" s="214"/>
      <c r="J41" s="13"/>
      <c r="K41" s="13"/>
    </row>
    <row r="42" spans="1:11">
      <c r="A42" s="9">
        <f t="shared" si="0"/>
        <v>32</v>
      </c>
      <c r="C42" s="14">
        <v>2684885</v>
      </c>
      <c r="D42" s="14"/>
      <c r="E42" s="213">
        <v>41333</v>
      </c>
      <c r="F42" s="213">
        <v>47969</v>
      </c>
      <c r="G42" s="13">
        <v>800424.46</v>
      </c>
      <c r="H42" s="214">
        <v>3.6799999999999999E-2</v>
      </c>
      <c r="I42" s="24">
        <f>ROUND(G42*H42,2)</f>
        <v>29455.62</v>
      </c>
      <c r="J42" s="13">
        <v>31926.959999999999</v>
      </c>
      <c r="K42" s="13">
        <f t="shared" si="4"/>
        <v>-2471.34</v>
      </c>
    </row>
    <row r="43" spans="1:11">
      <c r="A43" s="9">
        <f t="shared" si="0"/>
        <v>33</v>
      </c>
      <c r="C43" s="14">
        <v>3160644</v>
      </c>
      <c r="D43" s="14"/>
      <c r="E43" s="213">
        <v>43395</v>
      </c>
      <c r="F43" s="213">
        <v>48144</v>
      </c>
      <c r="G43" s="13">
        <v>1352805.47</v>
      </c>
      <c r="H43" s="214">
        <v>4.2900000000000001E-2</v>
      </c>
      <c r="I43" s="24">
        <f>ROUND(G43*H43,2)</f>
        <v>58035.35</v>
      </c>
      <c r="J43" s="13">
        <v>62544.58</v>
      </c>
      <c r="K43" s="13">
        <f t="shared" si="4"/>
        <v>-4509.2300000000032</v>
      </c>
    </row>
    <row r="44" spans="1:11">
      <c r="A44" s="9">
        <f t="shared" si="0"/>
        <v>34</v>
      </c>
      <c r="C44" s="14"/>
      <c r="D44" s="14"/>
      <c r="E44" s="213"/>
      <c r="F44" s="213"/>
      <c r="G44" s="16">
        <f>SUM(G42:G43)</f>
        <v>2153229.9299999997</v>
      </c>
      <c r="H44" s="214"/>
      <c r="I44" s="16">
        <f>SUM(I42:I43)</f>
        <v>87490.97</v>
      </c>
      <c r="J44" s="16">
        <f>SUM(J42:J43)</f>
        <v>94471.540000000008</v>
      </c>
      <c r="K44" s="16">
        <f>I44-J44</f>
        <v>-6980.570000000007</v>
      </c>
    </row>
    <row r="45" spans="1:11">
      <c r="A45" s="9">
        <f t="shared" si="0"/>
        <v>35</v>
      </c>
      <c r="C45" s="35"/>
      <c r="D45" s="35"/>
      <c r="E45" s="1"/>
      <c r="F45" s="213"/>
      <c r="G45" s="13"/>
      <c r="H45" s="214"/>
      <c r="J45" s="13"/>
      <c r="K45" s="13"/>
    </row>
    <row r="46" spans="1:11">
      <c r="A46" s="9">
        <f t="shared" si="0"/>
        <v>36</v>
      </c>
      <c r="C46" s="14"/>
      <c r="D46" s="14"/>
      <c r="E46" s="1"/>
      <c r="F46" s="13"/>
      <c r="G46" s="17"/>
      <c r="H46" s="214"/>
      <c r="I46" s="17"/>
      <c r="J46" s="17"/>
      <c r="K46" s="17"/>
    </row>
    <row r="47" spans="1:11" ht="13.5" thickBot="1">
      <c r="A47" s="9">
        <f t="shared" si="0"/>
        <v>37</v>
      </c>
      <c r="C47" s="14" t="s">
        <v>440</v>
      </c>
      <c r="D47" s="14"/>
      <c r="E47" s="1"/>
      <c r="F47" s="13"/>
      <c r="G47" s="21">
        <f>G13+G40+G44</f>
        <v>51119169.890000001</v>
      </c>
      <c r="H47" s="13"/>
      <c r="I47" s="21">
        <f>I13+I40+I44</f>
        <v>1754361.1</v>
      </c>
      <c r="J47" s="21">
        <f>J13+J40+J44</f>
        <v>1884902.5700000003</v>
      </c>
      <c r="K47" s="21">
        <f>I47-J47</f>
        <v>-130541.4700000002</v>
      </c>
    </row>
    <row r="48" spans="1:11" ht="13.5" thickTop="1">
      <c r="A48" s="9">
        <f t="shared" si="0"/>
        <v>38</v>
      </c>
      <c r="C48" s="14"/>
      <c r="D48" s="14"/>
      <c r="E48" s="1"/>
      <c r="F48" s="13"/>
      <c r="G48" s="13"/>
      <c r="H48" s="13"/>
    </row>
    <row r="49" spans="1:11">
      <c r="A49" s="9">
        <f t="shared" si="0"/>
        <v>39</v>
      </c>
      <c r="C49" s="14" t="s">
        <v>441</v>
      </c>
      <c r="D49" s="14"/>
      <c r="E49" s="1"/>
      <c r="F49" s="13"/>
      <c r="G49" s="13"/>
      <c r="H49" s="13"/>
      <c r="I49" s="214">
        <f>I47/G47</f>
        <v>3.4319045160066078E-2</v>
      </c>
      <c r="J49" s="214">
        <f>J47/G47</f>
        <v>3.6872714757614389E-2</v>
      </c>
      <c r="K49" s="214"/>
    </row>
    <row r="50" spans="1:11">
      <c r="A50" s="9">
        <f t="shared" si="0"/>
        <v>40</v>
      </c>
      <c r="C50" s="14"/>
      <c r="D50" s="14"/>
      <c r="E50" s="1"/>
      <c r="F50" s="13"/>
      <c r="G50" s="13"/>
      <c r="H50" s="13"/>
    </row>
    <row r="51" spans="1:11">
      <c r="A51" s="9">
        <f t="shared" si="0"/>
        <v>41</v>
      </c>
      <c r="C51" s="14"/>
      <c r="D51" s="14"/>
      <c r="E51" s="1"/>
      <c r="F51" s="13"/>
      <c r="G51" s="13"/>
    </row>
    <row r="52" spans="1:11" ht="13.5" thickBot="1">
      <c r="A52" s="9">
        <f t="shared" si="0"/>
        <v>42</v>
      </c>
      <c r="C52" s="217" t="s">
        <v>442</v>
      </c>
      <c r="D52" s="217"/>
      <c r="E52" s="45"/>
      <c r="F52" s="21"/>
      <c r="G52" s="21"/>
      <c r="H52" s="21"/>
      <c r="I52" s="19"/>
      <c r="J52" s="19"/>
      <c r="K52" s="279">
        <f>K47</f>
        <v>-130541.4700000002</v>
      </c>
    </row>
    <row r="53" spans="1:11" ht="13.5" thickTop="1">
      <c r="A53" s="9"/>
      <c r="C53" s="14"/>
      <c r="D53" s="14"/>
      <c r="E53" s="1"/>
      <c r="F53" s="13"/>
      <c r="G53" s="13"/>
      <c r="H53" s="13"/>
    </row>
    <row r="54" spans="1:11">
      <c r="A54" s="9"/>
    </row>
    <row r="55" spans="1:11" ht="33.75" customHeight="1">
      <c r="A55" s="9"/>
      <c r="C55" s="358" t="s">
        <v>443</v>
      </c>
      <c r="D55" s="358"/>
      <c r="E55" s="358"/>
      <c r="F55" s="358"/>
      <c r="G55" s="358"/>
      <c r="H55" s="358"/>
      <c r="I55" s="358"/>
      <c r="J55" s="358"/>
      <c r="K55" s="358"/>
    </row>
  </sheetData>
  <mergeCells count="4">
    <mergeCell ref="A3:K3"/>
    <mergeCell ref="A4:K4"/>
    <mergeCell ref="A6:K6"/>
    <mergeCell ref="C55:K55"/>
  </mergeCells>
  <printOptions horizontalCentered="1"/>
  <pageMargins left="1" right="0.75" top="0.75" bottom="0.5" header="0.5" footer="0.5"/>
  <pageSetup scale="77" orientation="portrait" r:id="rId1"/>
  <headerFooter alignWithMargins="0">
    <oddFooter>&amp;RExhibit JW-2
Page &amp;P of &amp;N</oddFooter>
  </headerFooter>
  <ignoredErrors>
    <ignoredError sqref="C9:K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100"/>
  <sheetViews>
    <sheetView view="pageBreakPreview" topLeftCell="A58" zoomScaleNormal="110" zoomScaleSheetLayoutView="100" workbookViewId="0">
      <selection activeCell="L67" sqref="L67"/>
    </sheetView>
  </sheetViews>
  <sheetFormatPr defaultColWidth="9.140625" defaultRowHeight="12.75"/>
  <cols>
    <col min="1" max="1" width="9.140625" style="10"/>
    <col min="2" max="2" width="11.5703125" style="10" customWidth="1"/>
    <col min="3" max="3" width="5.7109375" style="10" customWidth="1"/>
    <col min="4" max="4" width="14.5703125" style="10" customWidth="1"/>
    <col min="5" max="5" width="19.42578125" style="10" customWidth="1"/>
    <col min="6" max="9" width="16.85546875" style="10" customWidth="1"/>
    <col min="10" max="10" width="9.140625" style="10"/>
    <col min="11" max="11" width="11.28515625" style="10" bestFit="1" customWidth="1"/>
    <col min="12" max="12" width="9.140625" style="10"/>
    <col min="13" max="13" width="11.28515625" style="10" bestFit="1" customWidth="1"/>
    <col min="14" max="16384" width="9.140625" style="10"/>
  </cols>
  <sheetData>
    <row r="1" spans="1:16" ht="15" customHeight="1">
      <c r="H1" s="5"/>
      <c r="I1" s="5" t="s">
        <v>356</v>
      </c>
    </row>
    <row r="2" spans="1:16" ht="20.25" customHeight="1">
      <c r="H2" s="5"/>
      <c r="I2" s="5"/>
    </row>
    <row r="3" spans="1:16">
      <c r="H3" s="5"/>
      <c r="I3" s="5"/>
    </row>
    <row r="4" spans="1:16">
      <c r="B4" s="356" t="str">
        <f>RevReq!A1</f>
        <v>CUMBERLAND VALLEY ELECTRIC</v>
      </c>
      <c r="C4" s="356"/>
      <c r="D4" s="356"/>
      <c r="E4" s="356"/>
      <c r="F4" s="356"/>
      <c r="G4" s="356"/>
      <c r="H4" s="356"/>
      <c r="I4" s="356"/>
      <c r="J4" s="7"/>
      <c r="K4" s="7"/>
      <c r="L4" s="7"/>
      <c r="M4" s="7"/>
      <c r="N4" s="7"/>
      <c r="O4" s="7"/>
      <c r="P4" s="7"/>
    </row>
    <row r="5" spans="1:16">
      <c r="B5" s="356" t="str">
        <f>RevReq!A3</f>
        <v>For the 12 Months Ended December 31, 2023</v>
      </c>
      <c r="C5" s="356"/>
      <c r="D5" s="356"/>
      <c r="E5" s="356"/>
      <c r="F5" s="356"/>
      <c r="G5" s="356"/>
      <c r="H5" s="356"/>
      <c r="I5" s="356"/>
      <c r="J5" s="7"/>
      <c r="K5" s="7"/>
      <c r="L5" s="7"/>
      <c r="M5" s="7"/>
    </row>
    <row r="6" spans="1:16">
      <c r="J6" s="7"/>
    </row>
    <row r="7" spans="1:16" s="6" customFormat="1" ht="15" customHeight="1">
      <c r="B7" s="357" t="s">
        <v>259</v>
      </c>
      <c r="C7" s="357"/>
      <c r="D7" s="357"/>
      <c r="E7" s="357"/>
      <c r="F7" s="357"/>
      <c r="G7" s="357"/>
      <c r="H7" s="357"/>
      <c r="I7" s="357"/>
      <c r="J7" s="7"/>
      <c r="K7" s="130"/>
      <c r="L7" s="130"/>
      <c r="M7" s="130"/>
    </row>
    <row r="8" spans="1:16">
      <c r="J8" s="7"/>
    </row>
    <row r="9" spans="1:16">
      <c r="B9" s="53" t="s">
        <v>127</v>
      </c>
      <c r="C9" s="53" t="s">
        <v>128</v>
      </c>
      <c r="D9" s="53" t="s">
        <v>239</v>
      </c>
      <c r="E9" s="53" t="s">
        <v>260</v>
      </c>
      <c r="F9" s="53" t="s">
        <v>240</v>
      </c>
      <c r="G9" s="53" t="s">
        <v>241</v>
      </c>
      <c r="H9" s="53" t="s">
        <v>242</v>
      </c>
      <c r="I9" s="53" t="s">
        <v>460</v>
      </c>
      <c r="J9" s="7"/>
    </row>
    <row r="10" spans="1:16">
      <c r="A10" s="1"/>
      <c r="B10" s="53"/>
      <c r="C10" s="53"/>
      <c r="D10" s="53"/>
      <c r="E10" s="133"/>
      <c r="F10" s="133"/>
      <c r="G10" s="133"/>
      <c r="H10" s="133" t="s">
        <v>461</v>
      </c>
      <c r="I10" s="133" t="s">
        <v>462</v>
      </c>
      <c r="J10" s="7"/>
    </row>
    <row r="11" spans="1:16" ht="31.5" customHeight="1">
      <c r="A11" s="127" t="s">
        <v>472</v>
      </c>
      <c r="B11" s="127" t="s">
        <v>256</v>
      </c>
      <c r="C11" s="127" t="s">
        <v>257</v>
      </c>
      <c r="D11" s="134" t="s">
        <v>261</v>
      </c>
      <c r="E11" s="134" t="s">
        <v>522</v>
      </c>
      <c r="F11" s="134" t="s">
        <v>523</v>
      </c>
      <c r="G11" s="134" t="s">
        <v>262</v>
      </c>
      <c r="H11" s="134" t="s">
        <v>459</v>
      </c>
      <c r="I11" s="134" t="s">
        <v>263</v>
      </c>
      <c r="J11" s="7"/>
    </row>
    <row r="12" spans="1:16">
      <c r="A12" s="1">
        <v>1</v>
      </c>
      <c r="B12" s="9">
        <v>1201</v>
      </c>
      <c r="C12" s="9" t="s">
        <v>127</v>
      </c>
      <c r="D12" s="128">
        <v>1620.24</v>
      </c>
      <c r="E12" s="118">
        <v>48.19</v>
      </c>
      <c r="F12" s="135">
        <f>+E12*2080</f>
        <v>100235.2</v>
      </c>
      <c r="G12" s="128">
        <f>IF(F12&gt;50000,50000,F12)</f>
        <v>50000</v>
      </c>
      <c r="H12" s="128">
        <f>+F12*3</f>
        <v>300705.59999999998</v>
      </c>
      <c r="I12" s="136">
        <f>((H12-G12)/H12)*D12</f>
        <v>1350.8336437499001</v>
      </c>
      <c r="J12" s="7"/>
      <c r="K12" s="135"/>
      <c r="M12" s="135"/>
    </row>
    <row r="13" spans="1:16">
      <c r="A13" s="9">
        <f>A12+1</f>
        <v>2</v>
      </c>
      <c r="B13" s="9">
        <v>1202</v>
      </c>
      <c r="C13" s="9"/>
      <c r="D13" s="128">
        <v>571.32000000000005</v>
      </c>
      <c r="E13" s="118">
        <v>28.89</v>
      </c>
      <c r="F13" s="135">
        <f t="shared" ref="F13:F61" si="0">+E13*2080</f>
        <v>60091.200000000004</v>
      </c>
      <c r="G13" s="128">
        <f t="shared" ref="G13:G61" si="1">IF(F13&gt;50000,50000,F13)</f>
        <v>50000</v>
      </c>
      <c r="H13" s="128">
        <f t="shared" ref="H13:H61" si="2">+F13*3</f>
        <v>180273.6</v>
      </c>
      <c r="I13" s="136">
        <f t="shared" ref="I13:I61" si="3">((H13-G13)/H13)*D13</f>
        <v>412.86085789599809</v>
      </c>
      <c r="J13" s="7"/>
      <c r="K13" s="135"/>
      <c r="M13" s="135"/>
    </row>
    <row r="14" spans="1:16">
      <c r="A14" s="9">
        <f t="shared" ref="A14:A69" si="4">A13+1</f>
        <v>3</v>
      </c>
      <c r="B14" s="9">
        <v>1203</v>
      </c>
      <c r="C14" s="9"/>
      <c r="D14" s="128">
        <v>741.6</v>
      </c>
      <c r="E14" s="118">
        <v>36.72</v>
      </c>
      <c r="F14" s="135">
        <f t="shared" si="0"/>
        <v>76377.599999999991</v>
      </c>
      <c r="G14" s="128">
        <f t="shared" si="1"/>
        <v>50000</v>
      </c>
      <c r="H14" s="128">
        <f t="shared" si="2"/>
        <v>229132.79999999999</v>
      </c>
      <c r="I14" s="136">
        <f t="shared" si="3"/>
        <v>579.77244846656606</v>
      </c>
      <c r="J14" s="7"/>
      <c r="K14" s="135"/>
      <c r="M14" s="135"/>
    </row>
    <row r="15" spans="1:16">
      <c r="A15" s="9">
        <f t="shared" si="4"/>
        <v>4</v>
      </c>
      <c r="B15" s="9">
        <v>1204</v>
      </c>
      <c r="C15" s="9"/>
      <c r="D15" s="128">
        <v>1236.1199999999999</v>
      </c>
      <c r="E15" s="118">
        <v>36.979999999999997</v>
      </c>
      <c r="F15" s="135">
        <f t="shared" si="0"/>
        <v>76918.399999999994</v>
      </c>
      <c r="G15" s="128">
        <f t="shared" si="1"/>
        <v>50000</v>
      </c>
      <c r="H15" s="128">
        <f t="shared" si="2"/>
        <v>230755.19999999998</v>
      </c>
      <c r="I15" s="136">
        <f t="shared" si="3"/>
        <v>968.27771518908344</v>
      </c>
      <c r="J15" s="7"/>
      <c r="K15" s="135"/>
      <c r="M15" s="135"/>
    </row>
    <row r="16" spans="1:16">
      <c r="A16" s="9">
        <f t="shared" si="4"/>
        <v>5</v>
      </c>
      <c r="B16" s="9">
        <v>1206</v>
      </c>
      <c r="C16" s="9"/>
      <c r="D16" s="128">
        <v>1236.1199999999999</v>
      </c>
      <c r="E16" s="118">
        <v>36.979999999999997</v>
      </c>
      <c r="F16" s="135">
        <f t="shared" si="0"/>
        <v>76918.399999999994</v>
      </c>
      <c r="G16" s="128">
        <f t="shared" si="1"/>
        <v>50000</v>
      </c>
      <c r="H16" s="128">
        <f t="shared" si="2"/>
        <v>230755.19999999998</v>
      </c>
      <c r="I16" s="136">
        <f t="shared" si="3"/>
        <v>968.27771518908344</v>
      </c>
      <c r="J16" s="7"/>
      <c r="K16" s="135"/>
      <c r="M16" s="135"/>
    </row>
    <row r="17" spans="1:13">
      <c r="A17" s="9">
        <f t="shared" si="4"/>
        <v>6</v>
      </c>
      <c r="B17" s="9">
        <v>1207</v>
      </c>
      <c r="C17" s="9"/>
      <c r="D17" s="128">
        <v>1236.1199999999999</v>
      </c>
      <c r="E17" s="118">
        <v>36.72</v>
      </c>
      <c r="F17" s="135">
        <f t="shared" si="0"/>
        <v>76377.599999999991</v>
      </c>
      <c r="G17" s="128">
        <f t="shared" si="1"/>
        <v>50000</v>
      </c>
      <c r="H17" s="128">
        <f t="shared" si="2"/>
        <v>229132.79999999999</v>
      </c>
      <c r="I17" s="136">
        <f t="shared" si="3"/>
        <v>966.38122842299299</v>
      </c>
      <c r="J17" s="7"/>
      <c r="K17" s="135"/>
      <c r="M17" s="135"/>
    </row>
    <row r="18" spans="1:13">
      <c r="A18" s="9">
        <f t="shared" si="4"/>
        <v>7</v>
      </c>
      <c r="B18" s="9">
        <v>1208</v>
      </c>
      <c r="C18" s="9"/>
      <c r="D18" s="128">
        <v>1236.1199999999999</v>
      </c>
      <c r="E18" s="118">
        <v>37.54</v>
      </c>
      <c r="F18" s="135">
        <f t="shared" si="0"/>
        <v>78083.199999999997</v>
      </c>
      <c r="G18" s="128">
        <f t="shared" si="1"/>
        <v>50000</v>
      </c>
      <c r="H18" s="128">
        <f t="shared" si="2"/>
        <v>234249.59999999998</v>
      </c>
      <c r="I18" s="136">
        <f t="shared" si="3"/>
        <v>972.2732314249414</v>
      </c>
      <c r="J18" s="7"/>
      <c r="K18" s="135"/>
      <c r="M18" s="135"/>
    </row>
    <row r="19" spans="1:13">
      <c r="A19" s="9">
        <f t="shared" si="4"/>
        <v>8</v>
      </c>
      <c r="B19" s="9">
        <v>1209</v>
      </c>
      <c r="C19" s="9"/>
      <c r="D19" s="128">
        <v>1236.1199999999999</v>
      </c>
      <c r="E19" s="118">
        <v>36.72</v>
      </c>
      <c r="F19" s="135">
        <f t="shared" si="0"/>
        <v>76377.599999999991</v>
      </c>
      <c r="G19" s="128">
        <f t="shared" si="1"/>
        <v>50000</v>
      </c>
      <c r="H19" s="128">
        <f t="shared" si="2"/>
        <v>229132.79999999999</v>
      </c>
      <c r="I19" s="136">
        <f t="shared" si="3"/>
        <v>966.38122842299299</v>
      </c>
      <c r="J19" s="7"/>
      <c r="K19" s="135"/>
      <c r="M19" s="135"/>
    </row>
    <row r="20" spans="1:13">
      <c r="A20" s="9">
        <f t="shared" si="4"/>
        <v>9</v>
      </c>
      <c r="B20" s="9">
        <v>1210</v>
      </c>
      <c r="C20" s="9"/>
      <c r="D20" s="128">
        <v>314.04000000000002</v>
      </c>
      <c r="E20" s="118">
        <v>28.04</v>
      </c>
      <c r="F20" s="135">
        <f t="shared" si="0"/>
        <v>58323.199999999997</v>
      </c>
      <c r="G20" s="128">
        <f t="shared" si="1"/>
        <v>50000</v>
      </c>
      <c r="H20" s="128">
        <f t="shared" si="2"/>
        <v>174969.59999999998</v>
      </c>
      <c r="I20" s="136">
        <f t="shared" si="3"/>
        <v>224.29869636782621</v>
      </c>
      <c r="J20" s="7"/>
      <c r="K20" s="135"/>
      <c r="M20" s="135"/>
    </row>
    <row r="21" spans="1:13">
      <c r="A21" s="9">
        <f t="shared" si="4"/>
        <v>10</v>
      </c>
      <c r="B21" s="9">
        <v>1211</v>
      </c>
      <c r="C21" s="9" t="s">
        <v>127</v>
      </c>
      <c r="D21" s="128">
        <v>1987.8</v>
      </c>
      <c r="E21" s="118">
        <v>59.39</v>
      </c>
      <c r="F21" s="135">
        <f t="shared" si="0"/>
        <v>123531.2</v>
      </c>
      <c r="G21" s="128">
        <f t="shared" si="1"/>
        <v>50000</v>
      </c>
      <c r="H21" s="128">
        <f t="shared" si="2"/>
        <v>370593.6</v>
      </c>
      <c r="I21" s="136">
        <f t="shared" si="3"/>
        <v>1719.6086442939111</v>
      </c>
      <c r="J21" s="7"/>
      <c r="K21" s="135"/>
      <c r="M21" s="135"/>
    </row>
    <row r="22" spans="1:13">
      <c r="A22" s="9">
        <f t="shared" si="4"/>
        <v>11</v>
      </c>
      <c r="B22" s="9">
        <v>1212</v>
      </c>
      <c r="C22" s="9"/>
      <c r="D22" s="128">
        <v>1236.1199999999999</v>
      </c>
      <c r="E22" s="118">
        <v>36.979999999999997</v>
      </c>
      <c r="F22" s="135">
        <f t="shared" si="0"/>
        <v>76918.399999999994</v>
      </c>
      <c r="G22" s="128">
        <f t="shared" si="1"/>
        <v>50000</v>
      </c>
      <c r="H22" s="128">
        <f t="shared" si="2"/>
        <v>230755.19999999998</v>
      </c>
      <c r="I22" s="136">
        <f t="shared" si="3"/>
        <v>968.27771518908344</v>
      </c>
      <c r="J22" s="7"/>
      <c r="K22" s="135"/>
      <c r="M22" s="135"/>
    </row>
    <row r="23" spans="1:13">
      <c r="A23" s="9">
        <f t="shared" si="4"/>
        <v>12</v>
      </c>
      <c r="B23" s="9">
        <v>1214</v>
      </c>
      <c r="C23" s="9"/>
      <c r="D23" s="128">
        <v>935.4</v>
      </c>
      <c r="E23" s="118">
        <v>28.04</v>
      </c>
      <c r="F23" s="135">
        <f t="shared" si="0"/>
        <v>58323.199999999997</v>
      </c>
      <c r="G23" s="128">
        <f t="shared" si="1"/>
        <v>50000</v>
      </c>
      <c r="H23" s="128">
        <f t="shared" si="2"/>
        <v>174969.59999999998</v>
      </c>
      <c r="I23" s="136">
        <f t="shared" si="3"/>
        <v>668.09642269285632</v>
      </c>
      <c r="J23" s="7"/>
      <c r="K23" s="135"/>
      <c r="M23" s="135"/>
    </row>
    <row r="24" spans="1:13">
      <c r="A24" s="9">
        <f t="shared" si="4"/>
        <v>13</v>
      </c>
      <c r="B24" s="9">
        <v>1215</v>
      </c>
      <c r="C24" s="9"/>
      <c r="D24" s="128">
        <v>1236.1199999999999</v>
      </c>
      <c r="E24" s="118">
        <v>59.39</v>
      </c>
      <c r="F24" s="135">
        <f t="shared" si="0"/>
        <v>123531.2</v>
      </c>
      <c r="G24" s="128">
        <f t="shared" si="1"/>
        <v>50000</v>
      </c>
      <c r="H24" s="128">
        <f t="shared" si="2"/>
        <v>370593.6</v>
      </c>
      <c r="I24" s="136">
        <f t="shared" si="3"/>
        <v>1069.3443190384291</v>
      </c>
      <c r="J24" s="7"/>
      <c r="K24" s="135"/>
      <c r="M24" s="135"/>
    </row>
    <row r="25" spans="1:13">
      <c r="A25" s="9">
        <f t="shared" si="4"/>
        <v>14</v>
      </c>
      <c r="B25" s="9">
        <v>1216</v>
      </c>
      <c r="C25" s="9"/>
      <c r="D25" s="128">
        <v>1236.1199999999999</v>
      </c>
      <c r="E25" s="118">
        <v>36.979999999999997</v>
      </c>
      <c r="F25" s="135">
        <f t="shared" si="0"/>
        <v>76918.399999999994</v>
      </c>
      <c r="G25" s="128">
        <f t="shared" si="1"/>
        <v>50000</v>
      </c>
      <c r="H25" s="128">
        <f t="shared" si="2"/>
        <v>230755.19999999998</v>
      </c>
      <c r="I25" s="136">
        <f t="shared" si="3"/>
        <v>968.27771518908344</v>
      </c>
      <c r="J25" s="7"/>
      <c r="K25" s="135"/>
      <c r="M25" s="135"/>
    </row>
    <row r="26" spans="1:13">
      <c r="A26" s="9">
        <f t="shared" si="4"/>
        <v>15</v>
      </c>
      <c r="B26" s="9">
        <v>1217</v>
      </c>
      <c r="C26" s="9"/>
      <c r="D26" s="128">
        <v>1252.8</v>
      </c>
      <c r="E26" s="118">
        <v>36.979999999999997</v>
      </c>
      <c r="F26" s="135">
        <f t="shared" si="0"/>
        <v>76918.399999999994</v>
      </c>
      <c r="G26" s="128">
        <f t="shared" si="1"/>
        <v>50000</v>
      </c>
      <c r="H26" s="128">
        <f t="shared" si="2"/>
        <v>230755.19999999998</v>
      </c>
      <c r="I26" s="136">
        <f t="shared" si="3"/>
        <v>981.343495444523</v>
      </c>
      <c r="J26" s="7"/>
      <c r="K26" s="135"/>
      <c r="M26" s="135"/>
    </row>
    <row r="27" spans="1:13">
      <c r="A27" s="9">
        <f t="shared" si="4"/>
        <v>16</v>
      </c>
      <c r="B27" s="9">
        <v>1218</v>
      </c>
      <c r="C27" s="9"/>
      <c r="D27" s="128">
        <v>655.8</v>
      </c>
      <c r="E27" s="118">
        <v>96.05</v>
      </c>
      <c r="F27" s="135">
        <f t="shared" si="0"/>
        <v>199784</v>
      </c>
      <c r="G27" s="128">
        <f t="shared" si="1"/>
        <v>50000</v>
      </c>
      <c r="H27" s="128">
        <f t="shared" si="2"/>
        <v>599352</v>
      </c>
      <c r="I27" s="136">
        <f t="shared" si="3"/>
        <v>601.09091418732226</v>
      </c>
      <c r="J27" s="7"/>
      <c r="K27" s="135"/>
      <c r="M27" s="135"/>
    </row>
    <row r="28" spans="1:13">
      <c r="A28" s="9">
        <f t="shared" si="4"/>
        <v>17</v>
      </c>
      <c r="B28" s="9">
        <v>1219</v>
      </c>
      <c r="C28" s="9"/>
      <c r="D28" s="128">
        <v>1236.1199999999999</v>
      </c>
      <c r="E28" s="118">
        <v>36.72</v>
      </c>
      <c r="F28" s="135">
        <f t="shared" si="0"/>
        <v>76377.599999999991</v>
      </c>
      <c r="G28" s="128">
        <f t="shared" si="1"/>
        <v>50000</v>
      </c>
      <c r="H28" s="128">
        <f t="shared" si="2"/>
        <v>229132.79999999999</v>
      </c>
      <c r="I28" s="136">
        <f t="shared" si="3"/>
        <v>966.38122842299299</v>
      </c>
      <c r="J28" s="7"/>
      <c r="K28" s="135"/>
      <c r="M28" s="135"/>
    </row>
    <row r="29" spans="1:13">
      <c r="A29" s="9">
        <f t="shared" si="4"/>
        <v>18</v>
      </c>
      <c r="B29" s="9">
        <v>1220</v>
      </c>
      <c r="C29" s="9"/>
      <c r="D29" s="128">
        <v>561.24</v>
      </c>
      <c r="E29" s="118">
        <v>28.04</v>
      </c>
      <c r="F29" s="135">
        <f t="shared" si="0"/>
        <v>58323.199999999997</v>
      </c>
      <c r="G29" s="128">
        <f t="shared" si="1"/>
        <v>50000</v>
      </c>
      <c r="H29" s="128">
        <f t="shared" si="2"/>
        <v>174969.59999999998</v>
      </c>
      <c r="I29" s="136">
        <f t="shared" si="3"/>
        <v>400.85785361571385</v>
      </c>
      <c r="J29" s="7"/>
      <c r="K29" s="135"/>
      <c r="M29" s="135"/>
    </row>
    <row r="30" spans="1:13">
      <c r="A30" s="9">
        <f t="shared" si="4"/>
        <v>19</v>
      </c>
      <c r="B30" s="9">
        <v>1221</v>
      </c>
      <c r="C30" s="9"/>
      <c r="D30" s="128">
        <v>1252.8</v>
      </c>
      <c r="E30" s="118">
        <v>37.54</v>
      </c>
      <c r="F30" s="135">
        <f t="shared" si="0"/>
        <v>78083.199999999997</v>
      </c>
      <c r="G30" s="128">
        <f t="shared" si="1"/>
        <v>50000</v>
      </c>
      <c r="H30" s="128">
        <f t="shared" si="2"/>
        <v>234249.59999999998</v>
      </c>
      <c r="I30" s="136">
        <f t="shared" si="3"/>
        <v>985.3929265194048</v>
      </c>
      <c r="J30" s="7"/>
      <c r="K30" s="135"/>
      <c r="M30" s="135"/>
    </row>
    <row r="31" spans="1:13">
      <c r="A31" s="9">
        <f t="shared" si="4"/>
        <v>20</v>
      </c>
      <c r="B31" s="9">
        <v>1222</v>
      </c>
      <c r="C31" s="9"/>
      <c r="D31" s="128">
        <v>935.4</v>
      </c>
      <c r="E31" s="118">
        <v>28.04</v>
      </c>
      <c r="F31" s="135">
        <f t="shared" si="0"/>
        <v>58323.199999999997</v>
      </c>
      <c r="G31" s="128">
        <f t="shared" si="1"/>
        <v>50000</v>
      </c>
      <c r="H31" s="128">
        <f t="shared" si="2"/>
        <v>174969.59999999998</v>
      </c>
      <c r="I31" s="136">
        <f t="shared" si="3"/>
        <v>668.09642269285632</v>
      </c>
      <c r="J31" s="7"/>
      <c r="K31" s="135"/>
      <c r="M31" s="135"/>
    </row>
    <row r="32" spans="1:13">
      <c r="A32" s="9">
        <f t="shared" si="4"/>
        <v>21</v>
      </c>
      <c r="B32" s="9">
        <v>1223</v>
      </c>
      <c r="C32" s="9" t="s">
        <v>127</v>
      </c>
      <c r="D32" s="128">
        <v>935.4</v>
      </c>
      <c r="E32" s="118">
        <v>28.04</v>
      </c>
      <c r="F32" s="135">
        <f t="shared" si="0"/>
        <v>58323.199999999997</v>
      </c>
      <c r="G32" s="128">
        <f t="shared" si="1"/>
        <v>50000</v>
      </c>
      <c r="H32" s="128">
        <f t="shared" si="2"/>
        <v>174969.59999999998</v>
      </c>
      <c r="I32" s="136">
        <f t="shared" si="3"/>
        <v>668.09642269285632</v>
      </c>
      <c r="J32" s="7"/>
      <c r="K32" s="135"/>
      <c r="M32" s="135"/>
    </row>
    <row r="33" spans="1:13">
      <c r="A33" s="9">
        <f t="shared" si="4"/>
        <v>22</v>
      </c>
      <c r="B33" s="9">
        <v>1224</v>
      </c>
      <c r="C33" s="9"/>
      <c r="D33" s="128">
        <v>2305.1999999999998</v>
      </c>
      <c r="E33" s="118">
        <v>68.709999999999994</v>
      </c>
      <c r="F33" s="135">
        <f t="shared" si="0"/>
        <v>142916.79999999999</v>
      </c>
      <c r="G33" s="128">
        <f t="shared" si="1"/>
        <v>50000</v>
      </c>
      <c r="H33" s="128">
        <f t="shared" si="2"/>
        <v>428750.39999999997</v>
      </c>
      <c r="I33" s="136">
        <f t="shared" si="3"/>
        <v>2036.3722624631953</v>
      </c>
      <c r="J33" s="7"/>
      <c r="K33" s="135"/>
      <c r="M33" s="135"/>
    </row>
    <row r="34" spans="1:13">
      <c r="A34" s="9">
        <f t="shared" si="4"/>
        <v>23</v>
      </c>
      <c r="B34" s="9">
        <v>1225</v>
      </c>
      <c r="C34" s="9" t="s">
        <v>127</v>
      </c>
      <c r="D34" s="128">
        <v>701.55</v>
      </c>
      <c r="E34" s="118">
        <v>28.04</v>
      </c>
      <c r="F34" s="135">
        <f t="shared" si="0"/>
        <v>58323.199999999997</v>
      </c>
      <c r="G34" s="128">
        <f t="shared" si="1"/>
        <v>50000</v>
      </c>
      <c r="H34" s="128">
        <f t="shared" si="2"/>
        <v>174969.59999999998</v>
      </c>
      <c r="I34" s="136">
        <f t="shared" si="3"/>
        <v>501.07231701964224</v>
      </c>
      <c r="J34" s="7"/>
      <c r="K34" s="135"/>
      <c r="M34" s="135"/>
    </row>
    <row r="35" spans="1:13">
      <c r="A35" s="9">
        <f t="shared" si="4"/>
        <v>24</v>
      </c>
      <c r="B35" s="9">
        <v>1226</v>
      </c>
      <c r="C35" s="9"/>
      <c r="D35" s="128">
        <v>2121.36</v>
      </c>
      <c r="E35" s="118">
        <v>63.29</v>
      </c>
      <c r="F35" s="135">
        <f t="shared" si="0"/>
        <v>131643.20000000001</v>
      </c>
      <c r="G35" s="128">
        <f t="shared" si="1"/>
        <v>50000</v>
      </c>
      <c r="H35" s="128">
        <f t="shared" si="2"/>
        <v>394929.60000000003</v>
      </c>
      <c r="I35" s="136">
        <f t="shared" si="3"/>
        <v>1852.7855502752896</v>
      </c>
      <c r="J35" s="7"/>
      <c r="K35" s="135"/>
      <c r="M35" s="135"/>
    </row>
    <row r="36" spans="1:13">
      <c r="A36" s="9">
        <f t="shared" si="4"/>
        <v>25</v>
      </c>
      <c r="B36" s="9">
        <v>1227</v>
      </c>
      <c r="C36" s="9"/>
      <c r="D36" s="128">
        <v>2171.52</v>
      </c>
      <c r="E36" s="118">
        <v>64.7</v>
      </c>
      <c r="F36" s="135">
        <f t="shared" si="0"/>
        <v>134576</v>
      </c>
      <c r="G36" s="128">
        <f t="shared" si="1"/>
        <v>50000</v>
      </c>
      <c r="H36" s="128">
        <f t="shared" si="2"/>
        <v>403728</v>
      </c>
      <c r="I36" s="136">
        <f t="shared" si="3"/>
        <v>1902.5864605873262</v>
      </c>
      <c r="J36" s="7"/>
      <c r="K36" s="135"/>
      <c r="M36" s="135"/>
    </row>
    <row r="37" spans="1:13">
      <c r="A37" s="9">
        <f t="shared" si="4"/>
        <v>26</v>
      </c>
      <c r="B37" s="9">
        <v>1228</v>
      </c>
      <c r="C37" s="9"/>
      <c r="D37" s="128">
        <v>2004.48</v>
      </c>
      <c r="E37" s="118">
        <v>62.04</v>
      </c>
      <c r="F37" s="135">
        <f t="shared" si="0"/>
        <v>129043.2</v>
      </c>
      <c r="G37" s="128">
        <f t="shared" si="1"/>
        <v>50000</v>
      </c>
      <c r="H37" s="128">
        <f t="shared" si="2"/>
        <v>387129.59999999998</v>
      </c>
      <c r="I37" s="136">
        <f t="shared" si="3"/>
        <v>1745.5899538759113</v>
      </c>
      <c r="J37" s="7"/>
      <c r="K37" s="135"/>
      <c r="M37" s="135"/>
    </row>
    <row r="38" spans="1:13">
      <c r="A38" s="9">
        <f t="shared" si="4"/>
        <v>27</v>
      </c>
      <c r="B38" s="9">
        <v>1229</v>
      </c>
      <c r="C38" s="9"/>
      <c r="D38" s="128">
        <v>1252.8</v>
      </c>
      <c r="E38" s="118">
        <v>37.54</v>
      </c>
      <c r="F38" s="135">
        <f t="shared" si="0"/>
        <v>78083.199999999997</v>
      </c>
      <c r="G38" s="128">
        <f t="shared" si="1"/>
        <v>50000</v>
      </c>
      <c r="H38" s="128">
        <f t="shared" si="2"/>
        <v>234249.59999999998</v>
      </c>
      <c r="I38" s="136">
        <f t="shared" si="3"/>
        <v>985.3929265194048</v>
      </c>
      <c r="J38" s="7"/>
      <c r="K38" s="135"/>
      <c r="M38" s="135"/>
    </row>
    <row r="39" spans="1:13">
      <c r="A39" s="9">
        <f t="shared" si="4"/>
        <v>28</v>
      </c>
      <c r="B39" s="9">
        <v>1230</v>
      </c>
      <c r="C39" s="9"/>
      <c r="D39" s="128">
        <v>1236.1199999999999</v>
      </c>
      <c r="E39" s="118">
        <v>36.979999999999997</v>
      </c>
      <c r="F39" s="135">
        <f t="shared" si="0"/>
        <v>76918.399999999994</v>
      </c>
      <c r="G39" s="128">
        <f t="shared" si="1"/>
        <v>50000</v>
      </c>
      <c r="H39" s="128">
        <f t="shared" si="2"/>
        <v>230755.19999999998</v>
      </c>
      <c r="I39" s="136">
        <f t="shared" si="3"/>
        <v>968.27771518908344</v>
      </c>
      <c r="J39" s="7"/>
      <c r="K39" s="135"/>
      <c r="M39" s="135"/>
    </row>
    <row r="40" spans="1:13">
      <c r="A40" s="9">
        <f t="shared" si="4"/>
        <v>29</v>
      </c>
      <c r="B40" s="9">
        <v>1231</v>
      </c>
      <c r="C40" s="9"/>
      <c r="D40" s="128">
        <v>1236.1199999999999</v>
      </c>
      <c r="E40" s="118">
        <v>36.979999999999997</v>
      </c>
      <c r="F40" s="135">
        <f t="shared" si="0"/>
        <v>76918.399999999994</v>
      </c>
      <c r="G40" s="128">
        <f t="shared" si="1"/>
        <v>50000</v>
      </c>
      <c r="H40" s="128">
        <f t="shared" si="2"/>
        <v>230755.19999999998</v>
      </c>
      <c r="I40" s="136">
        <f t="shared" si="3"/>
        <v>968.27771518908344</v>
      </c>
      <c r="J40" s="7"/>
      <c r="K40" s="135"/>
      <c r="M40" s="135"/>
    </row>
    <row r="41" spans="1:13">
      <c r="A41" s="9">
        <f t="shared" si="4"/>
        <v>30</v>
      </c>
      <c r="B41" s="9">
        <v>1232</v>
      </c>
      <c r="C41" s="9"/>
      <c r="D41" s="128">
        <v>1236.1199999999999</v>
      </c>
      <c r="E41" s="118">
        <v>36.979999999999997</v>
      </c>
      <c r="F41" s="135">
        <f t="shared" si="0"/>
        <v>76918.399999999994</v>
      </c>
      <c r="G41" s="128">
        <f t="shared" si="1"/>
        <v>50000</v>
      </c>
      <c r="H41" s="128">
        <f t="shared" si="2"/>
        <v>230755.19999999998</v>
      </c>
      <c r="I41" s="136">
        <f t="shared" si="3"/>
        <v>968.27771518908344</v>
      </c>
      <c r="J41" s="7"/>
      <c r="K41" s="135"/>
      <c r="M41" s="135"/>
    </row>
    <row r="42" spans="1:13">
      <c r="A42" s="9">
        <f t="shared" si="4"/>
        <v>31</v>
      </c>
      <c r="B42" s="9">
        <v>1233</v>
      </c>
      <c r="C42" s="9"/>
      <c r="D42" s="128">
        <v>1236.1199999999999</v>
      </c>
      <c r="E42" s="118">
        <v>36.979999999999997</v>
      </c>
      <c r="F42" s="135">
        <f t="shared" si="0"/>
        <v>76918.399999999994</v>
      </c>
      <c r="G42" s="128">
        <f t="shared" si="1"/>
        <v>50000</v>
      </c>
      <c r="H42" s="128">
        <f t="shared" si="2"/>
        <v>230755.19999999998</v>
      </c>
      <c r="I42" s="136">
        <f t="shared" si="3"/>
        <v>968.27771518908344</v>
      </c>
      <c r="J42" s="7"/>
      <c r="K42" s="135"/>
      <c r="M42" s="135"/>
    </row>
    <row r="43" spans="1:13">
      <c r="A43" s="9">
        <f t="shared" si="4"/>
        <v>32</v>
      </c>
      <c r="B43" s="9">
        <v>1235</v>
      </c>
      <c r="C43" s="9"/>
      <c r="D43" s="128">
        <v>1536.72</v>
      </c>
      <c r="E43" s="10">
        <v>45.86</v>
      </c>
      <c r="F43" s="135">
        <f t="shared" si="0"/>
        <v>95388.800000000003</v>
      </c>
      <c r="G43" s="128">
        <f t="shared" si="1"/>
        <v>50000</v>
      </c>
      <c r="H43" s="128">
        <f t="shared" si="2"/>
        <v>286166.40000000002</v>
      </c>
      <c r="I43" s="136">
        <f t="shared" si="3"/>
        <v>1268.2188761783354</v>
      </c>
      <c r="J43" s="7"/>
      <c r="K43" s="135"/>
      <c r="M43" s="135"/>
    </row>
    <row r="44" spans="1:13">
      <c r="A44" s="9">
        <f t="shared" si="4"/>
        <v>33</v>
      </c>
      <c r="B44" s="1">
        <v>1236</v>
      </c>
      <c r="C44" s="9"/>
      <c r="D44" s="128">
        <v>935.4</v>
      </c>
      <c r="E44" s="118">
        <v>28.04</v>
      </c>
      <c r="F44" s="135">
        <f t="shared" si="0"/>
        <v>58323.199999999997</v>
      </c>
      <c r="G44" s="128">
        <f t="shared" si="1"/>
        <v>50000</v>
      </c>
      <c r="H44" s="128">
        <f t="shared" si="2"/>
        <v>174969.59999999998</v>
      </c>
      <c r="I44" s="136">
        <f t="shared" si="3"/>
        <v>668.09642269285632</v>
      </c>
      <c r="J44" s="7"/>
      <c r="K44" s="135"/>
      <c r="M44" s="135"/>
    </row>
    <row r="45" spans="1:13">
      <c r="A45" s="9">
        <f t="shared" si="4"/>
        <v>34</v>
      </c>
      <c r="B45" s="9">
        <v>1237</v>
      </c>
      <c r="C45" s="9"/>
      <c r="D45" s="128">
        <v>935.4</v>
      </c>
      <c r="E45" s="118">
        <v>28.04</v>
      </c>
      <c r="F45" s="135">
        <f t="shared" si="0"/>
        <v>58323.199999999997</v>
      </c>
      <c r="G45" s="128">
        <f t="shared" si="1"/>
        <v>50000</v>
      </c>
      <c r="H45" s="128">
        <f t="shared" si="2"/>
        <v>174969.59999999998</v>
      </c>
      <c r="I45" s="136">
        <f t="shared" si="3"/>
        <v>668.09642269285632</v>
      </c>
      <c r="J45" s="7"/>
      <c r="K45" s="135"/>
      <c r="M45" s="135"/>
    </row>
    <row r="46" spans="1:13">
      <c r="A46" s="9">
        <f t="shared" si="4"/>
        <v>35</v>
      </c>
      <c r="B46" s="9">
        <v>1238</v>
      </c>
      <c r="C46" s="9"/>
      <c r="D46" s="128">
        <v>1236.1199999999999</v>
      </c>
      <c r="E46" s="118">
        <v>36.979999999999997</v>
      </c>
      <c r="F46" s="135">
        <f t="shared" si="0"/>
        <v>76918.399999999994</v>
      </c>
      <c r="G46" s="128">
        <f t="shared" si="1"/>
        <v>50000</v>
      </c>
      <c r="H46" s="128">
        <f t="shared" si="2"/>
        <v>230755.19999999998</v>
      </c>
      <c r="I46" s="136">
        <f t="shared" si="3"/>
        <v>968.27771518908344</v>
      </c>
      <c r="J46" s="7"/>
      <c r="K46" s="135"/>
      <c r="M46" s="135"/>
    </row>
    <row r="47" spans="1:13">
      <c r="A47" s="9">
        <f t="shared" si="4"/>
        <v>36</v>
      </c>
      <c r="B47" s="9">
        <v>1239</v>
      </c>
      <c r="C47" s="9"/>
      <c r="D47" s="128">
        <v>1369.68</v>
      </c>
      <c r="E47" s="10">
        <v>40.549999999999997</v>
      </c>
      <c r="F47" s="135">
        <f t="shared" si="0"/>
        <v>84344</v>
      </c>
      <c r="G47" s="128">
        <f t="shared" si="1"/>
        <v>50000</v>
      </c>
      <c r="H47" s="128">
        <f t="shared" si="2"/>
        <v>253032</v>
      </c>
      <c r="I47" s="136">
        <f t="shared" si="3"/>
        <v>1099.0264858199753</v>
      </c>
      <c r="J47" s="7"/>
      <c r="K47" s="135"/>
      <c r="M47" s="135"/>
    </row>
    <row r="48" spans="1:13">
      <c r="A48" s="9">
        <f t="shared" si="4"/>
        <v>37</v>
      </c>
      <c r="B48" s="9">
        <v>1241</v>
      </c>
      <c r="C48" s="9"/>
      <c r="D48" s="128">
        <v>935.4</v>
      </c>
      <c r="E48" s="118">
        <v>28.04</v>
      </c>
      <c r="F48" s="135">
        <f t="shared" si="0"/>
        <v>58323.199999999997</v>
      </c>
      <c r="G48" s="128">
        <f t="shared" si="1"/>
        <v>50000</v>
      </c>
      <c r="H48" s="128">
        <f t="shared" si="2"/>
        <v>174969.59999999998</v>
      </c>
      <c r="I48" s="136">
        <f t="shared" si="3"/>
        <v>668.09642269285632</v>
      </c>
      <c r="J48" s="7"/>
      <c r="K48" s="135"/>
      <c r="M48" s="135"/>
    </row>
    <row r="49" spans="1:13">
      <c r="A49" s="9">
        <f t="shared" si="4"/>
        <v>38</v>
      </c>
      <c r="B49" s="9">
        <v>1242</v>
      </c>
      <c r="C49" s="9"/>
      <c r="D49" s="128">
        <v>1169.28</v>
      </c>
      <c r="E49" s="118">
        <v>34.81</v>
      </c>
      <c r="F49" s="135">
        <f t="shared" si="0"/>
        <v>72404.800000000003</v>
      </c>
      <c r="G49" s="128">
        <f t="shared" si="1"/>
        <v>50000</v>
      </c>
      <c r="H49" s="128">
        <f t="shared" si="2"/>
        <v>217214.40000000002</v>
      </c>
      <c r="I49" s="136">
        <f t="shared" si="3"/>
        <v>900.12657370782051</v>
      </c>
      <c r="J49" s="7"/>
      <c r="K49" s="135"/>
      <c r="M49" s="135"/>
    </row>
    <row r="50" spans="1:13">
      <c r="A50" s="9">
        <f t="shared" si="4"/>
        <v>39</v>
      </c>
      <c r="B50" s="9">
        <v>1244</v>
      </c>
      <c r="C50" s="9"/>
      <c r="D50" s="128">
        <v>1169.28</v>
      </c>
      <c r="E50" s="118">
        <v>34.81</v>
      </c>
      <c r="F50" s="135">
        <f t="shared" si="0"/>
        <v>72404.800000000003</v>
      </c>
      <c r="G50" s="128">
        <f t="shared" si="1"/>
        <v>50000</v>
      </c>
      <c r="H50" s="128">
        <f t="shared" si="2"/>
        <v>217214.40000000002</v>
      </c>
      <c r="I50" s="136">
        <f t="shared" si="3"/>
        <v>900.12657370782051</v>
      </c>
      <c r="J50" s="7"/>
      <c r="K50" s="135"/>
      <c r="M50" s="135"/>
    </row>
    <row r="51" spans="1:13">
      <c r="A51" s="9"/>
      <c r="B51" s="9">
        <v>1245</v>
      </c>
      <c r="C51" s="9"/>
      <c r="D51" s="128">
        <v>1536.72</v>
      </c>
      <c r="E51" s="118">
        <v>45.86</v>
      </c>
      <c r="F51" s="135">
        <f t="shared" si="0"/>
        <v>95388.800000000003</v>
      </c>
      <c r="G51" s="128">
        <f t="shared" si="1"/>
        <v>50000</v>
      </c>
      <c r="H51" s="128">
        <f t="shared" si="2"/>
        <v>286166.40000000002</v>
      </c>
      <c r="I51" s="136">
        <f t="shared" si="3"/>
        <v>1268.2188761783354</v>
      </c>
      <c r="J51" s="7"/>
      <c r="K51" s="135"/>
      <c r="M51" s="135"/>
    </row>
    <row r="52" spans="1:13">
      <c r="A52" s="9">
        <f>A50+1</f>
        <v>40</v>
      </c>
      <c r="B52" s="9">
        <v>1246</v>
      </c>
      <c r="C52" s="9" t="s">
        <v>127</v>
      </c>
      <c r="D52" s="128">
        <v>103.01</v>
      </c>
      <c r="E52" s="118">
        <v>35.479999999999997</v>
      </c>
      <c r="F52" s="135">
        <f t="shared" si="0"/>
        <v>73798.399999999994</v>
      </c>
      <c r="G52" s="128">
        <f t="shared" si="1"/>
        <v>50000</v>
      </c>
      <c r="H52" s="128">
        <f t="shared" si="2"/>
        <v>221395.19999999998</v>
      </c>
      <c r="I52" s="136">
        <f t="shared" si="3"/>
        <v>79.746171335241243</v>
      </c>
      <c r="J52" s="7"/>
      <c r="K52" s="135"/>
      <c r="M52" s="135"/>
    </row>
    <row r="53" spans="1:13">
      <c r="A53" s="9">
        <f t="shared" si="4"/>
        <v>41</v>
      </c>
      <c r="B53" s="9">
        <v>1247</v>
      </c>
      <c r="D53" s="128">
        <v>1637.04</v>
      </c>
      <c r="E53" s="10">
        <v>48.88</v>
      </c>
      <c r="F53" s="135">
        <f t="shared" si="0"/>
        <v>101670.40000000001</v>
      </c>
      <c r="G53" s="128">
        <f t="shared" si="1"/>
        <v>50000</v>
      </c>
      <c r="H53" s="128">
        <f t="shared" si="2"/>
        <v>305011.20000000001</v>
      </c>
      <c r="I53" s="136">
        <f t="shared" si="3"/>
        <v>1368.6826413194008</v>
      </c>
      <c r="J53" s="7"/>
      <c r="K53" s="135"/>
      <c r="M53" s="135"/>
    </row>
    <row r="54" spans="1:13">
      <c r="A54" s="9">
        <f t="shared" si="4"/>
        <v>42</v>
      </c>
      <c r="B54" s="9">
        <v>1248</v>
      </c>
      <c r="C54" s="9" t="s">
        <v>127</v>
      </c>
      <c r="D54" s="128">
        <v>103.01</v>
      </c>
      <c r="E54" s="118">
        <v>35.479999999999997</v>
      </c>
      <c r="F54" s="135">
        <f t="shared" si="0"/>
        <v>73798.399999999994</v>
      </c>
      <c r="G54" s="128">
        <f t="shared" si="1"/>
        <v>50000</v>
      </c>
      <c r="H54" s="128">
        <f t="shared" si="2"/>
        <v>221395.19999999998</v>
      </c>
      <c r="I54" s="136">
        <f t="shared" si="3"/>
        <v>79.746171335241243</v>
      </c>
      <c r="J54" s="7"/>
      <c r="K54" s="135"/>
      <c r="M54" s="135"/>
    </row>
    <row r="55" spans="1:13">
      <c r="A55" s="9">
        <f t="shared" si="4"/>
        <v>43</v>
      </c>
      <c r="B55" s="9">
        <v>1249</v>
      </c>
      <c r="C55" s="9" t="s">
        <v>127</v>
      </c>
      <c r="D55" s="128">
        <v>1085.76</v>
      </c>
      <c r="E55" s="118">
        <v>36.979999999999997</v>
      </c>
      <c r="F55" s="135">
        <f t="shared" si="0"/>
        <v>76918.399999999994</v>
      </c>
      <c r="G55" s="128">
        <f t="shared" si="1"/>
        <v>50000</v>
      </c>
      <c r="H55" s="128">
        <f t="shared" si="2"/>
        <v>230755.19999999998</v>
      </c>
      <c r="I55" s="136">
        <f t="shared" si="3"/>
        <v>850.49769605192</v>
      </c>
      <c r="J55" s="7"/>
      <c r="K55" s="135"/>
      <c r="M55" s="135"/>
    </row>
    <row r="56" spans="1:13">
      <c r="A56" s="9">
        <f t="shared" si="4"/>
        <v>44</v>
      </c>
      <c r="B56" s="9">
        <v>1250</v>
      </c>
      <c r="C56" s="9" t="s">
        <v>127</v>
      </c>
      <c r="D56" s="128">
        <v>103.01</v>
      </c>
      <c r="E56" s="118">
        <v>35.479999999999997</v>
      </c>
      <c r="F56" s="135">
        <f t="shared" si="0"/>
        <v>73798.399999999994</v>
      </c>
      <c r="G56" s="128">
        <f t="shared" si="1"/>
        <v>50000</v>
      </c>
      <c r="H56" s="128">
        <f t="shared" si="2"/>
        <v>221395.19999999998</v>
      </c>
      <c r="I56" s="136">
        <f t="shared" si="3"/>
        <v>79.746171335241243</v>
      </c>
      <c r="J56" s="7"/>
      <c r="K56" s="135"/>
      <c r="M56" s="135"/>
    </row>
    <row r="57" spans="1:13">
      <c r="A57" s="9">
        <f t="shared" si="4"/>
        <v>45</v>
      </c>
      <c r="B57" s="9">
        <v>1252</v>
      </c>
      <c r="C57" s="9"/>
      <c r="D57" s="128">
        <v>1085.76</v>
      </c>
      <c r="E57" s="118">
        <v>36.979999999999997</v>
      </c>
      <c r="F57" s="135">
        <f t="shared" si="0"/>
        <v>76918.399999999994</v>
      </c>
      <c r="G57" s="128">
        <f t="shared" si="1"/>
        <v>50000</v>
      </c>
      <c r="H57" s="128">
        <f t="shared" si="2"/>
        <v>230755.19999999998</v>
      </c>
      <c r="I57" s="136">
        <f t="shared" si="3"/>
        <v>850.49769605192</v>
      </c>
      <c r="J57" s="7"/>
      <c r="K57" s="135"/>
      <c r="M57" s="135"/>
    </row>
    <row r="58" spans="1:13">
      <c r="A58" s="9">
        <f t="shared" si="4"/>
        <v>46</v>
      </c>
      <c r="B58" s="9">
        <v>1254</v>
      </c>
      <c r="C58" s="9"/>
      <c r="D58" s="128">
        <v>935.4</v>
      </c>
      <c r="E58" s="118">
        <v>30.32</v>
      </c>
      <c r="F58" s="135">
        <f t="shared" si="0"/>
        <v>63065.599999999999</v>
      </c>
      <c r="G58" s="128">
        <f t="shared" si="1"/>
        <v>50000</v>
      </c>
      <c r="H58" s="128">
        <f t="shared" si="2"/>
        <v>189196.79999999999</v>
      </c>
      <c r="I58" s="136">
        <f t="shared" si="3"/>
        <v>688.19708747716663</v>
      </c>
      <c r="J58" s="7"/>
      <c r="K58" s="135"/>
      <c r="M58" s="135"/>
    </row>
    <row r="59" spans="1:13">
      <c r="A59" s="9">
        <f t="shared" si="4"/>
        <v>47</v>
      </c>
      <c r="B59" s="9">
        <v>1255</v>
      </c>
      <c r="C59" s="9"/>
      <c r="D59" s="128">
        <v>885.36</v>
      </c>
      <c r="E59" s="118">
        <v>28.04</v>
      </c>
      <c r="F59" s="135">
        <f t="shared" si="0"/>
        <v>58323.199999999997</v>
      </c>
      <c r="G59" s="128">
        <f t="shared" si="1"/>
        <v>50000</v>
      </c>
      <c r="H59" s="128">
        <f t="shared" si="2"/>
        <v>174969.59999999998</v>
      </c>
      <c r="I59" s="136">
        <f t="shared" si="3"/>
        <v>632.35604959947329</v>
      </c>
      <c r="J59" s="7"/>
      <c r="K59" s="135"/>
      <c r="M59" s="135"/>
    </row>
    <row r="60" spans="1:13">
      <c r="A60" s="9">
        <f t="shared" si="4"/>
        <v>48</v>
      </c>
      <c r="B60" s="9">
        <v>1256</v>
      </c>
      <c r="C60" s="9"/>
      <c r="D60" s="128">
        <v>935.4</v>
      </c>
      <c r="E60" s="118">
        <v>28.04</v>
      </c>
      <c r="F60" s="135">
        <f t="shared" si="0"/>
        <v>58323.199999999997</v>
      </c>
      <c r="G60" s="128">
        <f t="shared" si="1"/>
        <v>50000</v>
      </c>
      <c r="H60" s="128">
        <f t="shared" si="2"/>
        <v>174969.59999999998</v>
      </c>
      <c r="I60" s="136">
        <f t="shared" si="3"/>
        <v>668.09642269285632</v>
      </c>
      <c r="J60" s="7"/>
      <c r="K60" s="135"/>
      <c r="M60" s="135"/>
    </row>
    <row r="61" spans="1:13">
      <c r="A61" s="9">
        <f t="shared" si="4"/>
        <v>49</v>
      </c>
      <c r="B61" s="9">
        <v>1257</v>
      </c>
      <c r="C61" s="9"/>
      <c r="D61" s="128">
        <v>579.04</v>
      </c>
      <c r="E61" s="118">
        <v>26.24</v>
      </c>
      <c r="F61" s="135">
        <f t="shared" si="0"/>
        <v>54579.199999999997</v>
      </c>
      <c r="G61" s="128">
        <f t="shared" si="1"/>
        <v>50000</v>
      </c>
      <c r="H61" s="128">
        <f t="shared" si="2"/>
        <v>163737.59999999998</v>
      </c>
      <c r="I61" s="259">
        <f t="shared" si="3"/>
        <v>402.22050343964969</v>
      </c>
      <c r="J61" s="7"/>
      <c r="K61" s="135"/>
      <c r="M61" s="135"/>
    </row>
    <row r="62" spans="1:13">
      <c r="A62" s="9">
        <f t="shared" si="4"/>
        <v>50</v>
      </c>
      <c r="B62" s="141" t="s">
        <v>22</v>
      </c>
      <c r="C62" s="141"/>
      <c r="D62" s="225">
        <f>SUM(D12:D61)</f>
        <v>56667.100000000035</v>
      </c>
      <c r="E62" s="225" t="s">
        <v>476</v>
      </c>
      <c r="F62" s="225"/>
      <c r="G62" s="225">
        <f>SUM(G12:G61)</f>
        <v>2500000</v>
      </c>
      <c r="H62" s="225">
        <f>SUM(H12:H61)</f>
        <v>12330988.799999993</v>
      </c>
      <c r="I62" s="136">
        <f>((H62-G62)/H62)*D62</f>
        <v>45178.341693772381</v>
      </c>
      <c r="J62" s="7"/>
      <c r="K62" s="135"/>
      <c r="M62" s="135"/>
    </row>
    <row r="63" spans="1:13">
      <c r="A63" s="9">
        <f t="shared" si="4"/>
        <v>51</v>
      </c>
      <c r="B63" s="9"/>
      <c r="C63" s="9"/>
      <c r="D63" s="128"/>
      <c r="E63" s="118"/>
      <c r="F63" s="135"/>
      <c r="G63" s="128"/>
      <c r="H63" s="128"/>
      <c r="I63" s="136"/>
      <c r="J63" s="7"/>
      <c r="K63" s="135"/>
      <c r="M63" s="135"/>
    </row>
    <row r="64" spans="1:13">
      <c r="A64" s="9">
        <f t="shared" si="4"/>
        <v>52</v>
      </c>
      <c r="B64" s="9">
        <v>1259</v>
      </c>
      <c r="C64" s="9" t="s">
        <v>128</v>
      </c>
      <c r="D64" s="136">
        <v>1350</v>
      </c>
      <c r="E64" s="118">
        <v>36.979999999999997</v>
      </c>
      <c r="F64" s="135">
        <f t="shared" ref="F64:F66" si="5">+E64*2080</f>
        <v>76918.399999999994</v>
      </c>
      <c r="G64" s="128">
        <f t="shared" ref="G64:G66" si="6">IF(F64&gt;50000,50000,F64)</f>
        <v>50000</v>
      </c>
      <c r="H64" s="128">
        <f t="shared" ref="H64:H66" si="7">+F64*3</f>
        <v>230755.19999999998</v>
      </c>
      <c r="I64" s="136">
        <f t="shared" ref="I64:I66" si="8">((H64-G64)/H64)*D64</f>
        <v>1057.4822149186671</v>
      </c>
      <c r="J64" s="7"/>
      <c r="K64" s="135"/>
      <c r="M64" s="135"/>
    </row>
    <row r="65" spans="1:13">
      <c r="A65" s="9">
        <f t="shared" si="4"/>
        <v>53</v>
      </c>
      <c r="B65" s="9">
        <v>1260</v>
      </c>
      <c r="C65" s="9" t="s">
        <v>128</v>
      </c>
      <c r="D65" s="136">
        <v>1034.4000000000001</v>
      </c>
      <c r="E65" s="118">
        <v>28.04</v>
      </c>
      <c r="F65" s="135">
        <f>+E65*2080</f>
        <v>58323.199999999997</v>
      </c>
      <c r="G65" s="128">
        <f>IF(F65&gt;50000,50000,F65)</f>
        <v>50000</v>
      </c>
      <c r="H65" s="128">
        <f>+F65*3</f>
        <v>174969.59999999998</v>
      </c>
      <c r="I65" s="136">
        <f t="shared" si="8"/>
        <v>738.80579392077254</v>
      </c>
      <c r="J65" s="7"/>
      <c r="K65" s="135"/>
      <c r="M65" s="135"/>
    </row>
    <row r="66" spans="1:13">
      <c r="A66" s="9">
        <f t="shared" si="4"/>
        <v>54</v>
      </c>
      <c r="B66" s="9">
        <v>1261</v>
      </c>
      <c r="C66" s="9" t="s">
        <v>128</v>
      </c>
      <c r="D66" s="136">
        <v>1350</v>
      </c>
      <c r="E66" s="118">
        <v>37.54</v>
      </c>
      <c r="F66" s="135">
        <f t="shared" si="5"/>
        <v>78083.199999999997</v>
      </c>
      <c r="G66" s="128">
        <f t="shared" si="6"/>
        <v>50000</v>
      </c>
      <c r="H66" s="128">
        <f t="shared" si="7"/>
        <v>234249.59999999998</v>
      </c>
      <c r="I66" s="136">
        <f t="shared" si="8"/>
        <v>1061.8458259907379</v>
      </c>
      <c r="J66" s="7"/>
      <c r="K66" s="135"/>
      <c r="M66" s="135"/>
    </row>
    <row r="67" spans="1:13">
      <c r="A67" s="9">
        <f t="shared" si="4"/>
        <v>55</v>
      </c>
      <c r="B67" s="141" t="s">
        <v>22</v>
      </c>
      <c r="C67" s="141"/>
      <c r="D67" s="225">
        <f>D66+D64</f>
        <v>2700</v>
      </c>
      <c r="E67" s="225"/>
      <c r="F67" s="225"/>
      <c r="G67" s="225"/>
      <c r="H67" s="225"/>
      <c r="I67" s="225">
        <f>I66+I64</f>
        <v>2119.328040909405</v>
      </c>
      <c r="J67" s="7"/>
      <c r="K67" s="135"/>
      <c r="M67" s="135"/>
    </row>
    <row r="68" spans="1:13">
      <c r="A68" s="9">
        <f t="shared" si="4"/>
        <v>56</v>
      </c>
      <c r="B68" s="9"/>
      <c r="C68" s="9"/>
      <c r="D68" s="128"/>
      <c r="E68" s="118"/>
      <c r="F68" s="135"/>
      <c r="G68" s="128"/>
      <c r="H68" s="128"/>
      <c r="I68" s="136"/>
      <c r="J68" s="7"/>
      <c r="K68" s="135"/>
      <c r="M68" s="135"/>
    </row>
    <row r="69" spans="1:13">
      <c r="A69" s="9">
        <f t="shared" si="4"/>
        <v>57</v>
      </c>
      <c r="B69" s="141" t="s">
        <v>43</v>
      </c>
      <c r="C69" s="141"/>
      <c r="D69" s="225">
        <f>D62+D67</f>
        <v>59367.100000000035</v>
      </c>
      <c r="E69" s="15"/>
      <c r="F69" s="15"/>
      <c r="G69" s="15"/>
      <c r="H69" s="15"/>
      <c r="I69" s="137">
        <f>I62+I67</f>
        <v>47297.669734681789</v>
      </c>
      <c r="J69" s="7"/>
    </row>
    <row r="70" spans="1:13">
      <c r="B70" s="9"/>
      <c r="C70" s="9"/>
      <c r="D70" s="128"/>
      <c r="I70" s="222"/>
      <c r="J70" s="7"/>
    </row>
    <row r="71" spans="1:13">
      <c r="B71" s="223" t="s">
        <v>366</v>
      </c>
      <c r="C71" s="9"/>
      <c r="D71" s="48" t="s">
        <v>404</v>
      </c>
      <c r="E71" s="10" t="s">
        <v>367</v>
      </c>
      <c r="F71" s="48" t="s">
        <v>463</v>
      </c>
      <c r="G71" s="10" t="s">
        <v>524</v>
      </c>
      <c r="I71" s="222"/>
      <c r="J71" s="7"/>
    </row>
    <row r="72" spans="1:13">
      <c r="B72" s="9"/>
      <c r="C72" s="9"/>
      <c r="D72" s="223"/>
      <c r="E72" s="48"/>
      <c r="G72" s="48"/>
      <c r="I72" s="222"/>
      <c r="J72" s="7"/>
    </row>
    <row r="73" spans="1:13">
      <c r="J73" s="7"/>
    </row>
    <row r="74" spans="1:13">
      <c r="H74" s="48" t="s">
        <v>264</v>
      </c>
      <c r="I74" s="24">
        <f>D69-I69</f>
        <v>12069.430265318246</v>
      </c>
      <c r="J74" s="7"/>
    </row>
    <row r="75" spans="1:13">
      <c r="H75" s="48"/>
      <c r="J75" s="7"/>
    </row>
    <row r="76" spans="1:13">
      <c r="H76" s="48" t="s">
        <v>36</v>
      </c>
      <c r="I76" s="24">
        <f>D62</f>
        <v>56667.100000000035</v>
      </c>
      <c r="J76" s="7"/>
    </row>
    <row r="77" spans="1:13">
      <c r="H77" s="48"/>
      <c r="I77" s="24"/>
      <c r="J77" s="7"/>
    </row>
    <row r="78" spans="1:13">
      <c r="H78" s="48" t="s">
        <v>151</v>
      </c>
      <c r="I78" s="24">
        <f>I74</f>
        <v>12069.430265318246</v>
      </c>
      <c r="J78" s="7"/>
    </row>
    <row r="79" spans="1:13">
      <c r="H79" s="48"/>
      <c r="I79" s="24"/>
      <c r="J79" s="7"/>
    </row>
    <row r="80" spans="1:13">
      <c r="H80" s="48" t="s">
        <v>15</v>
      </c>
      <c r="I80" s="282">
        <f>I78-I76</f>
        <v>-44597.669734681789</v>
      </c>
      <c r="J80" s="7"/>
    </row>
    <row r="81" spans="1:10">
      <c r="J81" s="7"/>
    </row>
    <row r="82" spans="1:10" ht="30" customHeight="1">
      <c r="B82" s="368" t="s">
        <v>265</v>
      </c>
      <c r="C82" s="368"/>
      <c r="D82" s="368"/>
      <c r="E82" s="368"/>
      <c r="F82" s="368"/>
      <c r="G82" s="368"/>
      <c r="H82" s="368"/>
      <c r="I82" s="368"/>
      <c r="J82" s="7"/>
    </row>
    <row r="83" spans="1:10">
      <c r="J83" s="7"/>
    </row>
    <row r="84" spans="1:10">
      <c r="B84" s="83" t="s">
        <v>405</v>
      </c>
      <c r="C84" s="9"/>
      <c r="D84" s="9"/>
      <c r="F84" s="207" t="s">
        <v>129</v>
      </c>
      <c r="G84" s="132" t="s">
        <v>15</v>
      </c>
      <c r="J84" s="7"/>
    </row>
    <row r="85" spans="1:10">
      <c r="C85" s="9"/>
      <c r="D85" s="9"/>
      <c r="J85" s="7"/>
    </row>
    <row r="86" spans="1:10">
      <c r="A86" s="9">
        <f>A69+1</f>
        <v>58</v>
      </c>
      <c r="B86" s="10" t="s">
        <v>120</v>
      </c>
      <c r="C86" s="14"/>
      <c r="D86" s="14" t="s">
        <v>121</v>
      </c>
      <c r="F86" s="208">
        <v>8.1391001633733071E-2</v>
      </c>
      <c r="G86" s="22">
        <f>F86*$I$80</f>
        <v>-3629.8490102361734</v>
      </c>
      <c r="J86" s="7"/>
    </row>
    <row r="87" spans="1:10">
      <c r="A87" s="9">
        <f>A86+1</f>
        <v>59</v>
      </c>
      <c r="B87" s="10" t="s">
        <v>122</v>
      </c>
      <c r="C87" s="14"/>
      <c r="D87" s="14" t="s">
        <v>123</v>
      </c>
      <c r="F87" s="208">
        <v>0.21590586261047123</v>
      </c>
      <c r="G87" s="22">
        <f>F87*$I$80</f>
        <v>-9628.8983544833773</v>
      </c>
      <c r="J87" s="7"/>
    </row>
    <row r="88" spans="1:10">
      <c r="A88" s="9">
        <f t="shared" ref="A88:A98" si="9">A87+1</f>
        <v>60</v>
      </c>
      <c r="B88" s="10" t="s">
        <v>124</v>
      </c>
      <c r="C88" s="14"/>
      <c r="D88" s="14" t="s">
        <v>103</v>
      </c>
      <c r="F88" s="208">
        <v>0.15368658092178045</v>
      </c>
      <c r="G88" s="22">
        <f>F88*$I$80</f>
        <v>-6854.0633786020117</v>
      </c>
      <c r="J88" s="7"/>
    </row>
    <row r="89" spans="1:10">
      <c r="A89" s="9">
        <f t="shared" si="9"/>
        <v>61</v>
      </c>
      <c r="B89" s="10" t="s">
        <v>370</v>
      </c>
      <c r="C89" s="14"/>
      <c r="D89" s="14" t="s">
        <v>78</v>
      </c>
      <c r="F89" s="208">
        <v>1.8889617123394657E-2</v>
      </c>
      <c r="G89" s="22">
        <f>F89*$I$80</f>
        <v>-842.43290588374475</v>
      </c>
      <c r="J89" s="7"/>
    </row>
    <row r="90" spans="1:10">
      <c r="A90" s="9">
        <f t="shared" si="9"/>
        <v>62</v>
      </c>
      <c r="B90" s="10" t="s">
        <v>125</v>
      </c>
      <c r="C90" s="14"/>
      <c r="D90" s="14" t="s">
        <v>119</v>
      </c>
      <c r="F90" s="208">
        <v>0.165977703374033</v>
      </c>
      <c r="G90" s="22">
        <f>F90*$I$80</f>
        <v>-7402.218798396103</v>
      </c>
      <c r="J90" s="7"/>
    </row>
    <row r="91" spans="1:10">
      <c r="A91" s="9">
        <f t="shared" si="9"/>
        <v>63</v>
      </c>
      <c r="B91" s="232" t="s">
        <v>471</v>
      </c>
      <c r="C91" s="15"/>
      <c r="D91" s="15"/>
      <c r="E91" s="15"/>
      <c r="F91" s="209">
        <f>SUM(F86:F90)</f>
        <v>0.63585076566341248</v>
      </c>
      <c r="G91" s="231">
        <f>SUM(G86:G90)</f>
        <v>-28357.462447601414</v>
      </c>
      <c r="J91" s="7"/>
    </row>
    <row r="92" spans="1:10">
      <c r="A92" s="9">
        <f t="shared" si="9"/>
        <v>64</v>
      </c>
      <c r="C92" s="9"/>
      <c r="D92" s="9"/>
      <c r="F92" s="208"/>
      <c r="G92" s="22"/>
      <c r="J92" s="7"/>
    </row>
    <row r="93" spans="1:10">
      <c r="A93" s="9">
        <f t="shared" si="9"/>
        <v>65</v>
      </c>
      <c r="B93" s="10" t="s">
        <v>371</v>
      </c>
      <c r="C93" s="14"/>
      <c r="D93" s="14" t="s">
        <v>372</v>
      </c>
      <c r="F93" s="208">
        <v>0.26961309615902967</v>
      </c>
      <c r="G93" s="22">
        <f>F93*$I$80</f>
        <v>-12024.115818645409</v>
      </c>
      <c r="J93" s="7"/>
    </row>
    <row r="94" spans="1:10">
      <c r="A94" s="9">
        <f t="shared" si="9"/>
        <v>66</v>
      </c>
      <c r="B94" s="10" t="s">
        <v>373</v>
      </c>
      <c r="C94" s="14"/>
      <c r="D94" s="14" t="s">
        <v>374</v>
      </c>
      <c r="F94" s="208">
        <v>3.1768195079521944E-2</v>
      </c>
      <c r="G94" s="22">
        <f>F94*$I$80</f>
        <v>-1416.7874722234628</v>
      </c>
      <c r="J94" s="7"/>
    </row>
    <row r="95" spans="1:10">
      <c r="A95" s="9">
        <f t="shared" si="9"/>
        <v>67</v>
      </c>
      <c r="B95" s="10" t="s">
        <v>375</v>
      </c>
      <c r="C95" s="14"/>
      <c r="D95" s="14" t="s">
        <v>376</v>
      </c>
      <c r="F95" s="208">
        <v>2.5106556340275421E-2</v>
      </c>
      <c r="G95" s="22">
        <f>F95*$I$80</f>
        <v>-1119.6939078387843</v>
      </c>
      <c r="J95" s="7"/>
    </row>
    <row r="96" spans="1:10">
      <c r="A96" s="9">
        <f t="shared" si="9"/>
        <v>68</v>
      </c>
      <c r="B96" s="10" t="s">
        <v>377</v>
      </c>
      <c r="C96" s="14"/>
      <c r="D96" s="14" t="s">
        <v>378</v>
      </c>
      <c r="F96" s="208">
        <v>3.7661386757760471E-2</v>
      </c>
      <c r="G96" s="22">
        <f>F96*$I$80</f>
        <v>-1679.6100883727197</v>
      </c>
      <c r="J96" s="7"/>
    </row>
    <row r="97" spans="1:7">
      <c r="A97" s="9">
        <f t="shared" si="9"/>
        <v>69</v>
      </c>
      <c r="B97" s="15"/>
      <c r="C97" s="15"/>
      <c r="D97" s="15" t="s">
        <v>22</v>
      </c>
      <c r="E97" s="15"/>
      <c r="F97" s="209">
        <f>SUM(F93:F96)</f>
        <v>0.36414923433658752</v>
      </c>
      <c r="G97" s="28">
        <f>SUM(G93:G96)</f>
        <v>-16240.207287080375</v>
      </c>
    </row>
    <row r="98" spans="1:7">
      <c r="A98" s="9">
        <f t="shared" si="9"/>
        <v>70</v>
      </c>
      <c r="C98" s="9"/>
      <c r="D98" s="9"/>
      <c r="F98" s="208"/>
      <c r="G98" s="22"/>
    </row>
    <row r="99" spans="1:7" ht="13.5" thickBot="1">
      <c r="A99" s="9">
        <f>A98+1</f>
        <v>71</v>
      </c>
      <c r="B99" s="19"/>
      <c r="C99" s="19"/>
      <c r="D99" s="210" t="s">
        <v>43</v>
      </c>
      <c r="E99" s="19"/>
      <c r="F99" s="212">
        <v>1</v>
      </c>
      <c r="G99" s="211">
        <f>G91+G97</f>
        <v>-44597.669734681789</v>
      </c>
    </row>
    <row r="100" spans="1:7" ht="13.5" thickTop="1"/>
  </sheetData>
  <mergeCells count="4">
    <mergeCell ref="B4:I4"/>
    <mergeCell ref="B5:I5"/>
    <mergeCell ref="B7:I7"/>
    <mergeCell ref="B82:I82"/>
  </mergeCells>
  <printOptions horizontalCentered="1"/>
  <pageMargins left="0.7" right="0.7" top="0.75" bottom="0.75" header="0.3" footer="0.3"/>
  <pageSetup scale="70" fitToHeight="2" orientation="portrait" r:id="rId1"/>
  <headerFooter>
    <oddFooter>&amp;RExhibit JW-2
Page &amp;P of &amp;N</oddFooter>
  </headerFooter>
  <rowBreaks count="1" manualBreakCount="1">
    <brk id="72"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D8419-8F9D-476E-958C-20983654E298}">
  <sheetPr>
    <tabColor rgb="FFFF0000"/>
    <pageSetUpPr fitToPage="1"/>
  </sheetPr>
  <dimension ref="A1:L26"/>
  <sheetViews>
    <sheetView view="pageBreakPreview" zoomScaleNormal="100" zoomScaleSheetLayoutView="100" workbookViewId="0">
      <selection activeCell="B38" sqref="B38"/>
    </sheetView>
  </sheetViews>
  <sheetFormatPr defaultColWidth="8.85546875" defaultRowHeight="12.75"/>
  <cols>
    <col min="1" max="1" width="8.85546875" style="10"/>
    <col min="2" max="2" width="60.7109375" style="10" customWidth="1"/>
    <col min="3" max="3" width="23.5703125" style="10" customWidth="1"/>
    <col min="4" max="12" width="18.140625" style="10" customWidth="1"/>
    <col min="13" max="13" width="10.5703125" style="10" bestFit="1" customWidth="1"/>
    <col min="14" max="16384" width="8.85546875" style="10"/>
  </cols>
  <sheetData>
    <row r="1" spans="1:12">
      <c r="C1" s="5" t="s">
        <v>530</v>
      </c>
    </row>
    <row r="2" spans="1:12">
      <c r="K2" s="5"/>
    </row>
    <row r="3" spans="1:12">
      <c r="K3" s="5"/>
    </row>
    <row r="4" spans="1:12">
      <c r="A4" s="356" t="s">
        <v>525</v>
      </c>
      <c r="B4" s="356"/>
      <c r="C4" s="356"/>
      <c r="D4" s="7"/>
      <c r="E4" s="7"/>
      <c r="F4" s="7"/>
      <c r="G4" s="7"/>
      <c r="H4" s="7"/>
      <c r="I4" s="7"/>
      <c r="J4" s="7"/>
      <c r="K4" s="7"/>
    </row>
    <row r="5" spans="1:12">
      <c r="A5" s="356" t="s">
        <v>478</v>
      </c>
      <c r="B5" s="356"/>
      <c r="C5" s="356"/>
      <c r="D5" s="7"/>
      <c r="E5" s="7"/>
      <c r="F5" s="7"/>
      <c r="G5" s="7"/>
      <c r="H5" s="7"/>
      <c r="I5" s="7"/>
      <c r="J5" s="7"/>
      <c r="K5" s="7"/>
      <c r="L5" s="7"/>
    </row>
    <row r="6" spans="1:12">
      <c r="A6" s="7"/>
      <c r="B6" s="7"/>
      <c r="C6" s="7"/>
      <c r="D6" s="7"/>
      <c r="E6" s="7"/>
      <c r="F6" s="7"/>
      <c r="G6" s="7"/>
      <c r="H6" s="7"/>
      <c r="I6" s="7"/>
      <c r="J6" s="7"/>
      <c r="K6" s="7"/>
      <c r="L6" s="7"/>
    </row>
    <row r="7" spans="1:12">
      <c r="A7" s="357" t="s">
        <v>480</v>
      </c>
      <c r="B7" s="357"/>
      <c r="C7" s="357"/>
      <c r="D7" s="130"/>
      <c r="E7" s="130"/>
      <c r="F7" s="130"/>
      <c r="G7" s="130"/>
      <c r="H7" s="130"/>
      <c r="I7" s="130"/>
      <c r="J7" s="130"/>
      <c r="K7" s="130"/>
    </row>
    <row r="8" spans="1:12">
      <c r="A8" s="144"/>
      <c r="B8" s="144"/>
      <c r="C8" s="144"/>
      <c r="D8" s="130"/>
      <c r="E8" s="130"/>
      <c r="F8" s="130"/>
      <c r="G8" s="130"/>
      <c r="H8" s="130"/>
      <c r="I8" s="130"/>
      <c r="J8" s="130"/>
      <c r="K8" s="130"/>
    </row>
    <row r="9" spans="1:12">
      <c r="B9" s="9" t="s">
        <v>481</v>
      </c>
      <c r="C9" s="27"/>
      <c r="D9" s="133"/>
      <c r="E9" s="133"/>
      <c r="F9" s="133"/>
      <c r="G9" s="133"/>
      <c r="H9" s="133"/>
      <c r="I9" s="133"/>
      <c r="J9" s="133"/>
      <c r="K9" s="133"/>
      <c r="L9" s="133"/>
    </row>
    <row r="10" spans="1:12">
      <c r="A10" s="251" t="s">
        <v>21</v>
      </c>
      <c r="B10" s="11" t="s">
        <v>40</v>
      </c>
      <c r="C10" s="12" t="s">
        <v>482</v>
      </c>
      <c r="D10" s="252"/>
      <c r="E10" s="252"/>
      <c r="F10" s="252"/>
      <c r="G10" s="252"/>
      <c r="H10" s="252"/>
      <c r="I10" s="252"/>
      <c r="J10" s="252"/>
      <c r="K10" s="252"/>
      <c r="L10" s="252"/>
    </row>
    <row r="11" spans="1:12">
      <c r="A11" s="14"/>
      <c r="B11" s="53"/>
      <c r="C11" s="252"/>
      <c r="D11" s="252"/>
      <c r="E11" s="252"/>
      <c r="F11" s="252"/>
      <c r="G11" s="252"/>
      <c r="H11" s="252"/>
      <c r="I11" s="252"/>
      <c r="J11" s="252"/>
      <c r="K11" s="252"/>
      <c r="L11" s="252"/>
    </row>
    <row r="12" spans="1:12">
      <c r="A12" s="14">
        <v>1</v>
      </c>
      <c r="B12" s="9" t="s">
        <v>483</v>
      </c>
      <c r="C12" s="253">
        <v>1559288</v>
      </c>
      <c r="D12" s="254"/>
      <c r="E12" s="252"/>
      <c r="F12" s="252"/>
      <c r="G12" s="252"/>
      <c r="H12" s="252"/>
      <c r="I12" s="252"/>
      <c r="J12" s="252"/>
      <c r="K12" s="252"/>
      <c r="L12" s="252"/>
    </row>
    <row r="13" spans="1:12">
      <c r="A13" s="14">
        <f>A12+1</f>
        <v>2</v>
      </c>
      <c r="B13" s="9" t="s">
        <v>484</v>
      </c>
      <c r="C13" s="253">
        <f>C12</f>
        <v>1559288</v>
      </c>
      <c r="D13" s="254"/>
      <c r="E13" s="252"/>
      <c r="F13" s="252"/>
      <c r="G13" s="252"/>
      <c r="H13" s="252"/>
      <c r="I13" s="252"/>
      <c r="J13" s="252"/>
      <c r="K13" s="252"/>
      <c r="L13" s="252"/>
    </row>
    <row r="14" spans="1:12">
      <c r="A14" s="14">
        <f>A13+1</f>
        <v>3</v>
      </c>
      <c r="B14" s="141" t="s">
        <v>15</v>
      </c>
      <c r="C14" s="255">
        <f>+C13-C12</f>
        <v>0</v>
      </c>
      <c r="D14" s="254"/>
      <c r="E14" s="252"/>
      <c r="F14" s="252"/>
      <c r="G14" s="252"/>
      <c r="H14" s="252"/>
      <c r="I14" s="252"/>
      <c r="J14" s="252"/>
      <c r="K14" s="252"/>
      <c r="L14" s="252"/>
    </row>
    <row r="15" spans="1:12">
      <c r="B15" s="53"/>
      <c r="D15" s="254"/>
      <c r="E15" s="252"/>
      <c r="F15" s="252"/>
      <c r="G15" s="252"/>
      <c r="H15" s="252"/>
      <c r="I15" s="252"/>
      <c r="J15" s="252"/>
      <c r="K15" s="252"/>
      <c r="L15" s="252"/>
    </row>
    <row r="16" spans="1:12">
      <c r="B16" s="256" t="s">
        <v>485</v>
      </c>
      <c r="C16" s="257"/>
      <c r="D16" s="257"/>
      <c r="E16" s="257"/>
      <c r="F16" s="257"/>
      <c r="G16" s="257"/>
      <c r="H16" s="257"/>
      <c r="I16" s="257"/>
      <c r="J16" s="257"/>
      <c r="K16" s="257"/>
      <c r="L16" s="257"/>
    </row>
    <row r="17" spans="2:8">
      <c r="B17" s="256"/>
      <c r="C17" s="29"/>
      <c r="D17" s="29"/>
      <c r="E17" s="29"/>
      <c r="F17" s="29"/>
      <c r="G17" s="29"/>
      <c r="H17" s="29"/>
    </row>
    <row r="18" spans="2:8">
      <c r="C18" s="29"/>
      <c r="D18" s="29"/>
      <c r="E18" s="29"/>
      <c r="F18" s="29"/>
      <c r="G18" s="29"/>
      <c r="H18" s="29"/>
    </row>
    <row r="19" spans="2:8">
      <c r="B19" s="83"/>
      <c r="C19" s="22"/>
      <c r="D19" s="22"/>
      <c r="E19" s="22"/>
      <c r="F19" s="22"/>
      <c r="G19" s="22"/>
      <c r="H19" s="22"/>
    </row>
    <row r="20" spans="2:8">
      <c r="C20" s="22"/>
      <c r="D20" s="22"/>
      <c r="E20" s="22"/>
      <c r="F20" s="22"/>
      <c r="G20" s="22"/>
      <c r="H20" s="22"/>
    </row>
    <row r="21" spans="2:8">
      <c r="C21" s="22"/>
      <c r="D21" s="22"/>
      <c r="E21" s="22"/>
      <c r="F21" s="22"/>
      <c r="G21" s="22"/>
      <c r="H21" s="22"/>
    </row>
    <row r="22" spans="2:8">
      <c r="C22" s="22"/>
      <c r="D22" s="22"/>
      <c r="E22" s="22"/>
      <c r="F22" s="22"/>
      <c r="G22" s="22"/>
      <c r="H22" s="25"/>
    </row>
    <row r="23" spans="2:8">
      <c r="C23" s="22"/>
      <c r="D23" s="22"/>
      <c r="E23" s="22"/>
      <c r="F23" s="22"/>
      <c r="G23" s="22"/>
      <c r="H23" s="22"/>
    </row>
    <row r="24" spans="2:8">
      <c r="C24" s="22"/>
      <c r="D24" s="22"/>
      <c r="E24" s="22"/>
      <c r="F24" s="22"/>
      <c r="G24" s="22"/>
      <c r="H24" s="22"/>
    </row>
    <row r="25" spans="2:8">
      <c r="C25" s="22"/>
      <c r="D25" s="22"/>
      <c r="E25" s="22"/>
      <c r="F25" s="22"/>
      <c r="G25" s="22"/>
      <c r="H25" s="22"/>
    </row>
    <row r="26" spans="2:8">
      <c r="C26" s="22"/>
      <c r="D26" s="22"/>
      <c r="E26" s="22"/>
      <c r="F26" s="22"/>
      <c r="G26" s="22"/>
      <c r="H26" s="22"/>
    </row>
  </sheetData>
  <mergeCells count="3">
    <mergeCell ref="A4:C4"/>
    <mergeCell ref="A5:C5"/>
    <mergeCell ref="A7:C7"/>
  </mergeCells>
  <printOptions horizontalCentered="1"/>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2A81A-6C57-48AE-8137-A2DE179B4178}">
  <sheetPr>
    <pageSetUpPr fitToPage="1"/>
  </sheetPr>
  <dimension ref="A1:J64"/>
  <sheetViews>
    <sheetView view="pageBreakPreview" topLeftCell="A27" zoomScaleNormal="75" zoomScaleSheetLayoutView="100" workbookViewId="0">
      <selection activeCell="J53" sqref="J53"/>
    </sheetView>
  </sheetViews>
  <sheetFormatPr defaultColWidth="9.140625" defaultRowHeight="12.75"/>
  <cols>
    <col min="1" max="1" width="5.85546875" style="10" customWidth="1"/>
    <col min="2" max="2" width="23.5703125" style="10" bestFit="1" customWidth="1"/>
    <col min="3" max="3" width="2.28515625" style="10" customWidth="1"/>
    <col min="4" max="4" width="4.140625" style="10" customWidth="1"/>
    <col min="5" max="5" width="13.5703125" style="10" customWidth="1"/>
    <col min="6" max="6" width="15.28515625" style="10" customWidth="1"/>
    <col min="7" max="7" width="12.5703125" style="10" customWidth="1"/>
    <col min="8" max="8" width="11.5703125" style="10" bestFit="1" customWidth="1"/>
    <col min="9" max="9" width="12.7109375" style="10" customWidth="1"/>
    <col min="10" max="10" width="11.7109375" style="10" customWidth="1"/>
    <col min="11" max="12" width="14" style="10" bestFit="1" customWidth="1"/>
    <col min="13" max="16384" width="9.140625" style="10"/>
  </cols>
  <sheetData>
    <row r="1" spans="1:10">
      <c r="A1" s="2"/>
      <c r="B1" s="2"/>
      <c r="C1" s="2"/>
      <c r="D1" s="2"/>
      <c r="E1" s="2"/>
      <c r="F1" s="2"/>
      <c r="G1" s="109" t="s">
        <v>562</v>
      </c>
      <c r="H1" s="2"/>
      <c r="I1" s="2"/>
    </row>
    <row r="2" spans="1:10" ht="20.25" customHeight="1">
      <c r="A2" s="2"/>
      <c r="B2" s="2"/>
      <c r="C2" s="2"/>
      <c r="D2" s="2"/>
      <c r="E2" s="2"/>
      <c r="F2" s="2"/>
      <c r="G2" s="2"/>
      <c r="H2" s="2"/>
      <c r="I2" s="2"/>
      <c r="J2" s="109"/>
    </row>
    <row r="3" spans="1:10">
      <c r="A3" s="2"/>
      <c r="B3" s="2"/>
      <c r="C3" s="2"/>
      <c r="D3" s="2"/>
      <c r="E3" s="2"/>
      <c r="F3" s="109"/>
      <c r="G3" s="2"/>
      <c r="H3" s="2"/>
      <c r="I3" s="2"/>
      <c r="J3" s="2"/>
    </row>
    <row r="4" spans="1:10">
      <c r="A4" s="359" t="str">
        <f>RevReq!A1</f>
        <v>CUMBERLAND VALLEY ELECTRIC</v>
      </c>
      <c r="B4" s="359"/>
      <c r="C4" s="359"/>
      <c r="D4" s="359"/>
      <c r="E4" s="359"/>
      <c r="F4" s="359"/>
      <c r="G4" s="359"/>
      <c r="H4" s="295"/>
      <c r="I4" s="295"/>
      <c r="J4" s="295"/>
    </row>
    <row r="5" spans="1:10">
      <c r="A5" s="359" t="str">
        <f>RevReq!A3</f>
        <v>For the 12 Months Ended December 31, 2023</v>
      </c>
      <c r="B5" s="359"/>
      <c r="C5" s="359"/>
      <c r="D5" s="359"/>
      <c r="E5" s="359"/>
      <c r="F5" s="359"/>
      <c r="G5" s="359"/>
      <c r="H5" s="295"/>
      <c r="I5" s="295"/>
      <c r="J5" s="295"/>
    </row>
    <row r="6" spans="1:10">
      <c r="A6" s="2"/>
      <c r="B6" s="2"/>
      <c r="C6" s="2"/>
      <c r="D6" s="2"/>
      <c r="E6" s="2"/>
      <c r="F6" s="2"/>
      <c r="G6" s="2"/>
      <c r="H6" s="2"/>
      <c r="I6" s="2"/>
      <c r="J6" s="2"/>
    </row>
    <row r="7" spans="1:10" s="6" customFormat="1" ht="15" customHeight="1">
      <c r="A7" s="357" t="str">
        <f>'Adj List'!C20</f>
        <v>Large Power Members</v>
      </c>
      <c r="B7" s="357"/>
      <c r="C7" s="357"/>
      <c r="D7" s="357"/>
      <c r="E7" s="357"/>
      <c r="F7" s="357"/>
      <c r="G7" s="357"/>
      <c r="H7" s="130"/>
      <c r="I7" s="130"/>
      <c r="J7" s="130"/>
    </row>
    <row r="8" spans="1:10">
      <c r="A8" s="2"/>
      <c r="B8" s="2"/>
      <c r="C8" s="2"/>
      <c r="D8" s="2"/>
      <c r="E8" s="2"/>
      <c r="F8" s="2"/>
      <c r="G8" s="2"/>
      <c r="H8" s="2"/>
      <c r="I8" s="2"/>
      <c r="J8" s="2"/>
    </row>
    <row r="9" spans="1:10">
      <c r="A9" s="360" t="s">
        <v>0</v>
      </c>
    </row>
    <row r="10" spans="1:10">
      <c r="A10" s="360"/>
      <c r="B10" s="9" t="s">
        <v>40</v>
      </c>
      <c r="E10" s="9" t="s">
        <v>544</v>
      </c>
      <c r="F10" s="9" t="s">
        <v>545</v>
      </c>
      <c r="G10" s="9" t="s">
        <v>43</v>
      </c>
    </row>
    <row r="11" spans="1:10">
      <c r="A11" s="11" t="s">
        <v>21</v>
      </c>
      <c r="B11" s="12" t="s">
        <v>18</v>
      </c>
      <c r="C11" s="155"/>
      <c r="D11" s="155"/>
      <c r="E11" s="12" t="s">
        <v>20</v>
      </c>
      <c r="F11" s="12" t="s">
        <v>19</v>
      </c>
      <c r="G11" s="12" t="s">
        <v>25</v>
      </c>
    </row>
    <row r="12" spans="1:10">
      <c r="A12" s="9"/>
      <c r="B12" s="254"/>
      <c r="E12" s="254"/>
      <c r="F12" s="254"/>
      <c r="G12" s="254"/>
    </row>
    <row r="13" spans="1:10">
      <c r="A13" s="14">
        <v>1</v>
      </c>
      <c r="B13" s="83" t="s">
        <v>23</v>
      </c>
    </row>
    <row r="14" spans="1:10">
      <c r="A14" s="14">
        <f>A13+1</f>
        <v>2</v>
      </c>
      <c r="B14" s="297" t="s">
        <v>551</v>
      </c>
    </row>
    <row r="15" spans="1:10">
      <c r="A15" s="14">
        <f t="shared" ref="A15:A49" si="0">A14+1</f>
        <v>3</v>
      </c>
      <c r="B15" s="296" t="s">
        <v>563</v>
      </c>
      <c r="E15" s="13">
        <v>68720.39999999998</v>
      </c>
      <c r="F15" s="13">
        <v>36300.6</v>
      </c>
      <c r="G15" s="24">
        <f>E15+F15</f>
        <v>105020.99999999997</v>
      </c>
    </row>
    <row r="16" spans="1:10">
      <c r="A16" s="14">
        <f t="shared" si="0"/>
        <v>4</v>
      </c>
      <c r="B16" s="296" t="s">
        <v>564</v>
      </c>
      <c r="E16" s="13">
        <v>2521892.87</v>
      </c>
      <c r="F16" s="13">
        <v>2365833.09</v>
      </c>
      <c r="G16" s="24">
        <f t="shared" ref="G16:G30" si="1">E16+F16</f>
        <v>4887725.96</v>
      </c>
      <c r="H16" s="24"/>
    </row>
    <row r="17" spans="1:7">
      <c r="A17" s="14">
        <f t="shared" si="0"/>
        <v>5</v>
      </c>
      <c r="B17" s="296" t="s">
        <v>565</v>
      </c>
      <c r="E17" s="13">
        <v>1051200</v>
      </c>
      <c r="F17" s="13">
        <v>728642.16999999993</v>
      </c>
      <c r="G17" s="24">
        <f t="shared" si="1"/>
        <v>1779842.17</v>
      </c>
    </row>
    <row r="18" spans="1:7">
      <c r="A18" s="14">
        <f t="shared" si="0"/>
        <v>6</v>
      </c>
      <c r="B18" s="296" t="s">
        <v>566</v>
      </c>
      <c r="E18" s="13">
        <v>648139.77</v>
      </c>
      <c r="F18" s="13">
        <v>631447.23</v>
      </c>
      <c r="G18" s="24">
        <f t="shared" si="1"/>
        <v>1279587</v>
      </c>
    </row>
    <row r="19" spans="1:7">
      <c r="A19" s="14">
        <f t="shared" si="0"/>
        <v>7</v>
      </c>
      <c r="B19" s="296" t="s">
        <v>567</v>
      </c>
      <c r="E19" s="13">
        <v>-1667.2700000000002</v>
      </c>
      <c r="F19" s="13">
        <v>-1589.37</v>
      </c>
      <c r="G19" s="24">
        <f t="shared" si="1"/>
        <v>-3256.6400000000003</v>
      </c>
    </row>
    <row r="20" spans="1:7">
      <c r="A20" s="14">
        <f t="shared" si="0"/>
        <v>8</v>
      </c>
      <c r="B20" s="296" t="s">
        <v>568</v>
      </c>
      <c r="E20" s="13">
        <v>182474.77000000002</v>
      </c>
      <c r="F20" s="13">
        <v>29353.360000000001</v>
      </c>
      <c r="G20" s="24">
        <f t="shared" si="1"/>
        <v>211828.13</v>
      </c>
    </row>
    <row r="21" spans="1:7">
      <c r="A21" s="14">
        <f t="shared" si="0"/>
        <v>9</v>
      </c>
      <c r="B21" s="296" t="s">
        <v>115</v>
      </c>
      <c r="E21" s="13">
        <v>569745</v>
      </c>
      <c r="F21" s="13">
        <v>478218</v>
      </c>
      <c r="G21" s="24">
        <f t="shared" si="1"/>
        <v>1047963</v>
      </c>
    </row>
    <row r="22" spans="1:7">
      <c r="A22" s="14">
        <f>A21+1</f>
        <v>10</v>
      </c>
      <c r="B22" s="296" t="s">
        <v>569</v>
      </c>
      <c r="E22" s="13">
        <v>-739200</v>
      </c>
      <c r="F22" s="13">
        <v>-477579.2</v>
      </c>
      <c r="G22" s="24">
        <f t="shared" si="1"/>
        <v>-1216779.2</v>
      </c>
    </row>
    <row r="23" spans="1:7">
      <c r="A23" s="14">
        <f t="shared" si="0"/>
        <v>11</v>
      </c>
      <c r="B23" s="296" t="s">
        <v>570</v>
      </c>
      <c r="E23" s="13">
        <v>6792.96</v>
      </c>
      <c r="F23" s="13">
        <v>6192.03</v>
      </c>
      <c r="G23" s="24">
        <f t="shared" si="1"/>
        <v>12984.99</v>
      </c>
    </row>
    <row r="24" spans="1:7">
      <c r="A24" s="14">
        <f t="shared" si="0"/>
        <v>12</v>
      </c>
      <c r="B24" s="296" t="s">
        <v>571</v>
      </c>
      <c r="C24" s="298"/>
      <c r="D24" s="298"/>
      <c r="E24" s="13">
        <v>-5788.0300000000007</v>
      </c>
      <c r="F24" s="13">
        <v>-5880.9000000000005</v>
      </c>
      <c r="G24" s="24">
        <f t="shared" si="1"/>
        <v>-11668.93</v>
      </c>
    </row>
    <row r="25" spans="1:7">
      <c r="A25" s="14">
        <f t="shared" si="0"/>
        <v>13</v>
      </c>
      <c r="B25" s="296" t="s">
        <v>43</v>
      </c>
      <c r="E25" s="13">
        <f>SUM(E15:E24)</f>
        <v>4302310.4700000007</v>
      </c>
      <c r="F25" s="13">
        <f>SUM(F15:F24)</f>
        <v>3790937.01</v>
      </c>
      <c r="G25" s="24">
        <f t="shared" si="1"/>
        <v>8093247.4800000004</v>
      </c>
    </row>
    <row r="26" spans="1:7">
      <c r="A26" s="14">
        <f t="shared" si="0"/>
        <v>14</v>
      </c>
      <c r="B26" s="296" t="s">
        <v>549</v>
      </c>
      <c r="E26" s="13">
        <f>E25-E18-E21-E19</f>
        <v>3086092.9700000007</v>
      </c>
      <c r="F26" s="13">
        <f>F25-F18-F21-F19</f>
        <v>2682861.15</v>
      </c>
      <c r="G26" s="24">
        <f t="shared" si="1"/>
        <v>5768954.120000001</v>
      </c>
    </row>
    <row r="27" spans="1:7">
      <c r="A27" s="14">
        <f t="shared" si="0"/>
        <v>15</v>
      </c>
      <c r="E27" s="13"/>
      <c r="F27" s="24"/>
      <c r="G27" s="24"/>
    </row>
    <row r="28" spans="1:7">
      <c r="A28" s="14">
        <f t="shared" si="0"/>
        <v>16</v>
      </c>
      <c r="B28" s="10" t="s">
        <v>557</v>
      </c>
      <c r="E28" s="13">
        <f>E26</f>
        <v>3086092.9700000007</v>
      </c>
      <c r="F28" s="13">
        <f>F26</f>
        <v>2682861.15</v>
      </c>
      <c r="G28" s="24">
        <f t="shared" si="1"/>
        <v>5768954.120000001</v>
      </c>
    </row>
    <row r="29" spans="1:7">
      <c r="A29" s="14">
        <f t="shared" si="0"/>
        <v>17</v>
      </c>
      <c r="B29" s="10" t="s">
        <v>558</v>
      </c>
      <c r="E29" s="13">
        <v>0</v>
      </c>
      <c r="F29" s="13">
        <v>0</v>
      </c>
      <c r="G29" s="24"/>
    </row>
    <row r="30" spans="1:7">
      <c r="A30" s="14">
        <f t="shared" si="0"/>
        <v>18</v>
      </c>
      <c r="B30" s="83" t="s">
        <v>58</v>
      </c>
      <c r="E30" s="13">
        <f>E29-E28</f>
        <v>-3086092.9700000007</v>
      </c>
      <c r="F30" s="13">
        <f>F29-F28</f>
        <v>-2682861.15</v>
      </c>
      <c r="G30" s="24">
        <f t="shared" si="1"/>
        <v>-5768954.120000001</v>
      </c>
    </row>
    <row r="31" spans="1:7">
      <c r="A31" s="14">
        <f t="shared" si="0"/>
        <v>19</v>
      </c>
      <c r="E31" s="13"/>
      <c r="F31" s="13"/>
      <c r="G31" s="24"/>
    </row>
    <row r="32" spans="1:7">
      <c r="A32" s="14">
        <f t="shared" si="0"/>
        <v>20</v>
      </c>
      <c r="E32" s="13"/>
      <c r="F32" s="13"/>
      <c r="G32" s="24"/>
    </row>
    <row r="33" spans="1:10">
      <c r="A33" s="14">
        <f t="shared" si="0"/>
        <v>21</v>
      </c>
      <c r="B33" s="83" t="s">
        <v>24</v>
      </c>
      <c r="E33" s="13"/>
      <c r="F33" s="13"/>
      <c r="G33" s="24"/>
    </row>
    <row r="34" spans="1:10">
      <c r="A34" s="14">
        <f t="shared" si="0"/>
        <v>22</v>
      </c>
      <c r="B34" s="297" t="s">
        <v>548</v>
      </c>
      <c r="E34" s="13"/>
      <c r="F34" s="13"/>
      <c r="G34" s="24"/>
    </row>
    <row r="35" spans="1:10">
      <c r="A35" s="14">
        <f t="shared" si="0"/>
        <v>23</v>
      </c>
      <c r="B35" s="296" t="s">
        <v>552</v>
      </c>
      <c r="E35" s="13">
        <v>1051200</v>
      </c>
      <c r="F35" s="13">
        <v>721107</v>
      </c>
      <c r="G35" s="24">
        <f t="shared" ref="G35:G47" si="2">E35+F35</f>
        <v>1772307</v>
      </c>
      <c r="J35" s="24"/>
    </row>
    <row r="36" spans="1:10">
      <c r="A36" s="14">
        <f t="shared" si="0"/>
        <v>24</v>
      </c>
      <c r="B36" s="296" t="s">
        <v>553</v>
      </c>
      <c r="E36" s="13">
        <v>-739200</v>
      </c>
      <c r="F36" s="13">
        <v>-471945</v>
      </c>
      <c r="G36" s="24">
        <f t="shared" si="2"/>
        <v>-1211145</v>
      </c>
      <c r="J36" s="24"/>
    </row>
    <row r="37" spans="1:10">
      <c r="A37" s="14">
        <f t="shared" si="0"/>
        <v>25</v>
      </c>
      <c r="B37" s="296" t="s">
        <v>554</v>
      </c>
      <c r="E37" s="13">
        <v>2550593</v>
      </c>
      <c r="F37" s="13">
        <v>2224459</v>
      </c>
      <c r="G37" s="24">
        <f t="shared" si="2"/>
        <v>4775052</v>
      </c>
    </row>
    <row r="38" spans="1:10">
      <c r="A38" s="14">
        <f t="shared" si="0"/>
        <v>26</v>
      </c>
      <c r="B38" s="296" t="s">
        <v>555</v>
      </c>
      <c r="E38" s="13">
        <v>6793</v>
      </c>
      <c r="F38" s="13">
        <v>6192</v>
      </c>
      <c r="G38" s="24">
        <f t="shared" si="2"/>
        <v>12985</v>
      </c>
    </row>
    <row r="39" spans="1:10">
      <c r="A39" s="14">
        <f t="shared" si="0"/>
        <v>27</v>
      </c>
      <c r="B39" s="296" t="s">
        <v>556</v>
      </c>
      <c r="E39" s="13">
        <v>-7008</v>
      </c>
      <c r="F39" s="13">
        <v>-6898</v>
      </c>
      <c r="G39" s="24">
        <f t="shared" si="2"/>
        <v>-13906</v>
      </c>
    </row>
    <row r="40" spans="1:10">
      <c r="A40" s="14">
        <f t="shared" si="0"/>
        <v>28</v>
      </c>
      <c r="B40" s="296" t="s">
        <v>546</v>
      </c>
      <c r="E40" s="13">
        <v>623052</v>
      </c>
      <c r="F40" s="13">
        <v>564607</v>
      </c>
      <c r="G40" s="24">
        <f t="shared" si="2"/>
        <v>1187659</v>
      </c>
    </row>
    <row r="41" spans="1:10">
      <c r="A41" s="14">
        <f t="shared" si="0"/>
        <v>29</v>
      </c>
      <c r="B41" s="296" t="s">
        <v>547</v>
      </c>
      <c r="E41" s="13">
        <v>569745</v>
      </c>
      <c r="F41" s="13">
        <v>478218</v>
      </c>
      <c r="G41" s="24">
        <f t="shared" si="2"/>
        <v>1047963</v>
      </c>
    </row>
    <row r="42" spans="1:10">
      <c r="A42" s="14">
        <f t="shared" si="0"/>
        <v>30</v>
      </c>
      <c r="B42" s="296" t="s">
        <v>43</v>
      </c>
      <c r="E42" s="13">
        <v>4055175</v>
      </c>
      <c r="F42" s="13">
        <v>3515740</v>
      </c>
      <c r="G42" s="24">
        <f t="shared" si="2"/>
        <v>7570915</v>
      </c>
    </row>
    <row r="43" spans="1:10">
      <c r="A43" s="14">
        <f t="shared" si="0"/>
        <v>31</v>
      </c>
      <c r="B43" s="10" t="s">
        <v>549</v>
      </c>
      <c r="E43" s="13">
        <f>E42-E40-E41</f>
        <v>2862378</v>
      </c>
      <c r="F43" s="13">
        <f>F42-F40-F41</f>
        <v>2472915</v>
      </c>
      <c r="G43" s="24">
        <f t="shared" si="2"/>
        <v>5335293</v>
      </c>
    </row>
    <row r="44" spans="1:10">
      <c r="A44" s="14">
        <f t="shared" si="0"/>
        <v>32</v>
      </c>
      <c r="G44" s="24"/>
    </row>
    <row r="45" spans="1:10">
      <c r="A45" s="14">
        <f t="shared" si="0"/>
        <v>33</v>
      </c>
      <c r="B45" s="10" t="s">
        <v>133</v>
      </c>
      <c r="E45" s="13">
        <f>E43</f>
        <v>2862378</v>
      </c>
      <c r="F45" s="13">
        <f>F43</f>
        <v>2472915</v>
      </c>
      <c r="G45" s="24">
        <f t="shared" si="2"/>
        <v>5335293</v>
      </c>
    </row>
    <row r="46" spans="1:10">
      <c r="A46" s="14">
        <f t="shared" si="0"/>
        <v>34</v>
      </c>
      <c r="B46" s="10" t="s">
        <v>559</v>
      </c>
      <c r="E46" s="13">
        <v>0</v>
      </c>
      <c r="F46" s="13">
        <v>0</v>
      </c>
      <c r="G46" s="24">
        <f t="shared" si="2"/>
        <v>0</v>
      </c>
    </row>
    <row r="47" spans="1:10">
      <c r="A47" s="14">
        <f t="shared" si="0"/>
        <v>35</v>
      </c>
      <c r="B47" s="83" t="s">
        <v>59</v>
      </c>
      <c r="E47" s="13">
        <f>E46-E45</f>
        <v>-2862378</v>
      </c>
      <c r="F47" s="13">
        <f>F46-F45</f>
        <v>-2472915</v>
      </c>
      <c r="G47" s="282">
        <f t="shared" si="2"/>
        <v>-5335293</v>
      </c>
    </row>
    <row r="48" spans="1:10">
      <c r="A48" s="14">
        <f t="shared" si="0"/>
        <v>36</v>
      </c>
    </row>
    <row r="49" spans="1:10">
      <c r="A49" s="14">
        <f t="shared" si="0"/>
        <v>37</v>
      </c>
      <c r="B49" s="10" t="s">
        <v>560</v>
      </c>
      <c r="E49" s="24">
        <f>E30-E47</f>
        <v>-223714.97000000067</v>
      </c>
      <c r="F49" s="24">
        <f t="shared" ref="F49:G49" si="3">F30-F47</f>
        <v>-209946.14999999991</v>
      </c>
      <c r="G49" s="24">
        <f t="shared" si="3"/>
        <v>-433661.12000000104</v>
      </c>
    </row>
    <row r="51" spans="1:10" ht="27" customHeight="1">
      <c r="B51" s="358" t="s">
        <v>550</v>
      </c>
      <c r="C51" s="358"/>
      <c r="D51" s="358"/>
      <c r="E51" s="358"/>
      <c r="F51" s="358"/>
      <c r="G51" s="358"/>
      <c r="H51" s="8"/>
      <c r="I51" s="8"/>
      <c r="J51" s="8"/>
    </row>
    <row r="56" spans="1:10">
      <c r="A56" s="299"/>
      <c r="B56" s="299"/>
      <c r="C56" s="299"/>
      <c r="D56" s="299"/>
      <c r="E56" s="299"/>
      <c r="F56" s="299"/>
      <c r="G56" s="299"/>
    </row>
    <row r="57" spans="1:10">
      <c r="A57" s="299"/>
      <c r="B57" s="299"/>
      <c r="C57" s="299"/>
      <c r="D57" s="299"/>
      <c r="E57" s="299"/>
      <c r="F57" s="299"/>
      <c r="G57" s="299"/>
    </row>
    <row r="58" spans="1:10">
      <c r="A58" s="299"/>
      <c r="B58" s="299"/>
      <c r="C58" s="299"/>
      <c r="D58" s="299"/>
      <c r="E58" s="300"/>
      <c r="F58" s="300"/>
      <c r="G58" s="300"/>
    </row>
    <row r="59" spans="1:10">
      <c r="A59" s="299"/>
      <c r="B59" s="299"/>
      <c r="C59" s="299"/>
      <c r="D59" s="299"/>
      <c r="E59" s="299"/>
      <c r="F59" s="299"/>
      <c r="G59" s="299"/>
    </row>
    <row r="60" spans="1:10">
      <c r="A60" s="299"/>
      <c r="B60" s="299"/>
      <c r="C60" s="299"/>
      <c r="D60" s="299"/>
      <c r="E60" s="299"/>
      <c r="F60" s="299"/>
      <c r="G60" s="300"/>
    </row>
    <row r="61" spans="1:10">
      <c r="A61" s="299"/>
      <c r="B61" s="299"/>
      <c r="C61" s="299"/>
      <c r="D61" s="299"/>
      <c r="E61" s="299"/>
      <c r="F61" s="299"/>
      <c r="G61" s="300"/>
    </row>
    <row r="62" spans="1:10">
      <c r="A62" s="299"/>
      <c r="B62" s="299"/>
      <c r="C62" s="299"/>
      <c r="D62" s="299"/>
      <c r="E62" s="299"/>
      <c r="F62" s="299"/>
      <c r="G62" s="300"/>
    </row>
    <row r="63" spans="1:10">
      <c r="A63" s="299"/>
      <c r="B63" s="299"/>
      <c r="C63" s="299"/>
      <c r="D63" s="299"/>
      <c r="E63" s="299"/>
      <c r="F63" s="299"/>
      <c r="G63" s="300"/>
    </row>
    <row r="64" spans="1:10">
      <c r="A64" s="299"/>
      <c r="B64" s="299"/>
      <c r="C64" s="299"/>
      <c r="D64" s="299"/>
      <c r="E64" s="299"/>
      <c r="F64" s="299"/>
      <c r="G64" s="300"/>
    </row>
  </sheetData>
  <mergeCells count="5">
    <mergeCell ref="A9:A10"/>
    <mergeCell ref="B51:G51"/>
    <mergeCell ref="A4:G4"/>
    <mergeCell ref="A5:G5"/>
    <mergeCell ref="A7:G7"/>
  </mergeCells>
  <printOptions horizontalCentered="1"/>
  <pageMargins left="0.25" right="0.25" top="0.75" bottom="0.75" header="0.5" footer="0.25"/>
  <pageSetup scale="88" orientation="portrait" r:id="rId1"/>
  <headerFooter alignWithMargins="0">
    <oddFooter>&amp;RRevised Exhibit JW-2
Page &amp;P of &amp;N</oddFooter>
  </headerFooter>
  <ignoredErrors>
    <ignoredError sqref="B11 E13:G13 E11:G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9"/>
  <sheetViews>
    <sheetView view="pageBreakPreview" topLeftCell="A4" zoomScaleNormal="75" zoomScaleSheetLayoutView="100" workbookViewId="0">
      <selection activeCell="L30" sqref="L30"/>
    </sheetView>
  </sheetViews>
  <sheetFormatPr defaultColWidth="9.140625" defaultRowHeight="12.75"/>
  <cols>
    <col min="1" max="1" width="3.5703125" style="10" customWidth="1"/>
    <col min="2" max="2" width="9.140625" style="9"/>
    <col min="3" max="3" width="37.42578125" style="10" bestFit="1" customWidth="1"/>
    <col min="4" max="5" width="15" style="10" bestFit="1" customWidth="1"/>
    <col min="6" max="6" width="11.85546875" style="10" customWidth="1"/>
    <col min="7" max="7" width="12.42578125" style="10" customWidth="1"/>
    <col min="8" max="8" width="9.140625" style="10"/>
    <col min="9" max="9" width="11.7109375" style="10" bestFit="1" customWidth="1"/>
    <col min="10" max="16384" width="9.140625" style="10"/>
  </cols>
  <sheetData>
    <row r="1" spans="1:7">
      <c r="A1" s="354" t="str">
        <f>RevReq!A1</f>
        <v>CUMBERLAND VALLEY ELECTRIC</v>
      </c>
      <c r="B1" s="354"/>
      <c r="C1" s="354"/>
      <c r="D1" s="354"/>
      <c r="E1" s="354"/>
      <c r="F1" s="354"/>
      <c r="G1" s="354"/>
    </row>
    <row r="2" spans="1:7">
      <c r="A2" s="354" t="s">
        <v>153</v>
      </c>
      <c r="B2" s="354"/>
      <c r="C2" s="354"/>
      <c r="D2" s="354"/>
      <c r="E2" s="354"/>
      <c r="F2" s="354"/>
      <c r="G2" s="354"/>
    </row>
    <row r="4" spans="1:7" ht="47.25" customHeight="1">
      <c r="B4" s="38" t="s">
        <v>158</v>
      </c>
      <c r="C4" s="27" t="s">
        <v>40</v>
      </c>
      <c r="D4" s="27" t="s">
        <v>23</v>
      </c>
      <c r="E4" s="27" t="s">
        <v>24</v>
      </c>
      <c r="F4" s="27" t="s">
        <v>155</v>
      </c>
      <c r="G4" s="27" t="s">
        <v>156</v>
      </c>
    </row>
    <row r="5" spans="1:7">
      <c r="B5" s="39" t="s">
        <v>21</v>
      </c>
      <c r="C5" s="40">
        <v>1</v>
      </c>
      <c r="D5" s="40">
        <f>C5+1</f>
        <v>2</v>
      </c>
      <c r="E5" s="40">
        <f>D5+1</f>
        <v>3</v>
      </c>
      <c r="F5" s="40">
        <f>E5+1</f>
        <v>4</v>
      </c>
      <c r="G5" s="40">
        <f>F5+1</f>
        <v>5</v>
      </c>
    </row>
    <row r="6" spans="1:7">
      <c r="B6" s="10"/>
      <c r="C6" s="52"/>
      <c r="D6" s="52"/>
      <c r="E6" s="52"/>
      <c r="F6" s="52"/>
      <c r="G6" s="52"/>
    </row>
    <row r="7" spans="1:7">
      <c r="B7" s="9">
        <v>1.01</v>
      </c>
      <c r="C7" s="10" t="s">
        <v>154</v>
      </c>
      <c r="D7" s="22">
        <f>'1.01 FAC'!F31</f>
        <v>-5899413.1100000003</v>
      </c>
      <c r="E7" s="22">
        <f>'1.01 FAC'!H31</f>
        <v>-5473319</v>
      </c>
      <c r="F7" s="22">
        <v>0</v>
      </c>
      <c r="G7" s="22">
        <f>D7-E7+F7</f>
        <v>-426094.11000000034</v>
      </c>
    </row>
    <row r="8" spans="1:7">
      <c r="B8" s="9">
        <v>1.02</v>
      </c>
      <c r="C8" s="10" t="s">
        <v>115</v>
      </c>
      <c r="D8" s="22">
        <f>'1.02 ES'!F31</f>
        <v>-5862953.7300000004</v>
      </c>
      <c r="E8" s="22">
        <f>'1.02 ES'!H31</f>
        <v>-5926470</v>
      </c>
      <c r="F8" s="22">
        <v>0</v>
      </c>
      <c r="G8" s="22">
        <f t="shared" ref="G8:G28" si="0">D8-E8+F8</f>
        <v>63516.269999999553</v>
      </c>
    </row>
    <row r="9" spans="1:7">
      <c r="B9" s="9">
        <v>1.03</v>
      </c>
      <c r="C9" s="10" t="s">
        <v>30</v>
      </c>
      <c r="D9" s="22">
        <v>0</v>
      </c>
      <c r="E9" s="22">
        <f>'1.03 RC'!E23</f>
        <v>53333.33</v>
      </c>
      <c r="F9" s="22">
        <v>0</v>
      </c>
      <c r="G9" s="22">
        <f t="shared" si="0"/>
        <v>-53333.33</v>
      </c>
    </row>
    <row r="10" spans="1:7">
      <c r="B10" s="9">
        <v>1.04</v>
      </c>
      <c r="C10" s="10" t="s">
        <v>221</v>
      </c>
      <c r="D10" s="22">
        <f>'1.04 CUST'!F48</f>
        <v>278043.24</v>
      </c>
      <c r="E10" s="22">
        <f>'1.04 CUST'!G48</f>
        <v>199282.73</v>
      </c>
      <c r="F10" s="22">
        <v>0</v>
      </c>
      <c r="G10" s="22">
        <f t="shared" si="0"/>
        <v>78760.50999999998</v>
      </c>
    </row>
    <row r="11" spans="1:7">
      <c r="B11" s="9">
        <v>1.05</v>
      </c>
      <c r="C11" s="2" t="s">
        <v>218</v>
      </c>
      <c r="D11" s="22">
        <v>0</v>
      </c>
      <c r="E11" s="22">
        <f>'1.05 Depr'!I43</f>
        <v>148112.03999999998</v>
      </c>
      <c r="F11" s="22">
        <v>0</v>
      </c>
      <c r="G11" s="22">
        <f t="shared" si="0"/>
        <v>-148112.03999999998</v>
      </c>
    </row>
    <row r="12" spans="1:7">
      <c r="B12" s="9">
        <v>1.06</v>
      </c>
      <c r="C12" s="2" t="s">
        <v>447</v>
      </c>
      <c r="D12" s="22">
        <v>0</v>
      </c>
      <c r="E12" s="22">
        <f>'1.06 Donat&amp;Promo'!H24</f>
        <v>-234653.01</v>
      </c>
      <c r="F12" s="22">
        <v>0</v>
      </c>
      <c r="G12" s="22">
        <f t="shared" si="0"/>
        <v>234653.01</v>
      </c>
    </row>
    <row r="13" spans="1:7">
      <c r="B13" s="9">
        <v>1.07</v>
      </c>
      <c r="C13" s="10" t="s">
        <v>444</v>
      </c>
      <c r="D13" s="22">
        <v>0</v>
      </c>
      <c r="E13" s="22">
        <f>'1.07 Misc'!E16</f>
        <v>-1566.24</v>
      </c>
      <c r="F13" s="22">
        <v>0</v>
      </c>
      <c r="G13" s="22">
        <f t="shared" si="0"/>
        <v>1566.24</v>
      </c>
    </row>
    <row r="14" spans="1:7">
      <c r="B14" s="9">
        <v>1.08</v>
      </c>
      <c r="C14" s="2" t="s">
        <v>220</v>
      </c>
      <c r="D14" s="22">
        <v>0</v>
      </c>
      <c r="E14" s="22">
        <f>'1.08 Dir'!I27</f>
        <v>-6165.1999999999971</v>
      </c>
      <c r="F14" s="22">
        <v>0</v>
      </c>
      <c r="G14" s="22">
        <f t="shared" si="0"/>
        <v>6165.1999999999971</v>
      </c>
    </row>
    <row r="15" spans="1:7">
      <c r="B15" s="9">
        <v>1.0900000000000001</v>
      </c>
      <c r="C15" s="10" t="s">
        <v>238</v>
      </c>
      <c r="D15" s="22">
        <v>0</v>
      </c>
      <c r="E15" s="22">
        <f>'1.09 Wages'!R99</f>
        <v>80568.94895824985</v>
      </c>
      <c r="F15" s="22">
        <v>0</v>
      </c>
      <c r="G15" s="22">
        <f t="shared" si="0"/>
        <v>-80568.94895824985</v>
      </c>
    </row>
    <row r="16" spans="1:7">
      <c r="B16" s="26">
        <v>1.1000000000000001</v>
      </c>
      <c r="C16" s="10" t="s">
        <v>345</v>
      </c>
      <c r="D16" s="22">
        <v>0</v>
      </c>
      <c r="E16" s="22">
        <f>'1.10 Prof'!F47</f>
        <v>-3428.3333333333285</v>
      </c>
      <c r="F16" s="22">
        <v>0</v>
      </c>
      <c r="G16" s="22">
        <f t="shared" si="0"/>
        <v>3428.3333333333285</v>
      </c>
    </row>
    <row r="17" spans="2:9">
      <c r="B17" s="9">
        <v>1.1100000000000001</v>
      </c>
      <c r="C17" s="51" t="s">
        <v>31</v>
      </c>
      <c r="D17" s="22">
        <v>0</v>
      </c>
      <c r="E17" s="22">
        <f>0</f>
        <v>0</v>
      </c>
      <c r="F17" s="22">
        <f>'1.11 GTCC'!F18</f>
        <v>-739072</v>
      </c>
      <c r="G17" s="22">
        <f t="shared" si="0"/>
        <v>-739072</v>
      </c>
    </row>
    <row r="18" spans="2:9" s="51" customFormat="1">
      <c r="B18" s="9">
        <v>1.1200000000000001</v>
      </c>
      <c r="C18" s="10" t="s">
        <v>448</v>
      </c>
      <c r="D18" s="22">
        <v>0</v>
      </c>
      <c r="E18" s="22">
        <f>'1.12 Int'!K52</f>
        <v>-130541.4700000002</v>
      </c>
      <c r="F18" s="23">
        <v>0</v>
      </c>
      <c r="G18" s="22">
        <f t="shared" si="0"/>
        <v>130541.4700000002</v>
      </c>
      <c r="I18" s="10"/>
    </row>
    <row r="19" spans="2:9">
      <c r="B19" s="9">
        <v>1.1299999999999999</v>
      </c>
      <c r="C19" s="2" t="s">
        <v>216</v>
      </c>
      <c r="D19" s="22">
        <v>0</v>
      </c>
      <c r="E19" s="22">
        <f>'1.13 Life Ins'!I80</f>
        <v>-44597.669734681789</v>
      </c>
      <c r="F19" s="22">
        <v>0</v>
      </c>
      <c r="G19" s="22">
        <f t="shared" si="0"/>
        <v>44597.669734681789</v>
      </c>
    </row>
    <row r="20" spans="2:9">
      <c r="B20" s="9">
        <v>1.1399999999999999</v>
      </c>
      <c r="C20" s="10" t="s">
        <v>561</v>
      </c>
      <c r="D20" s="22">
        <f>'1.14 LPs'!G30</f>
        <v>-5768954.120000001</v>
      </c>
      <c r="E20" s="22">
        <f>'1.14 LPs'!G47</f>
        <v>-5335293</v>
      </c>
      <c r="F20" s="22">
        <v>0</v>
      </c>
      <c r="G20" s="23">
        <f t="shared" si="0"/>
        <v>-433661.12000000104</v>
      </c>
    </row>
    <row r="21" spans="2:9" hidden="1">
      <c r="D21" s="22"/>
      <c r="E21" s="22"/>
      <c r="F21" s="22">
        <v>0</v>
      </c>
      <c r="G21" s="22">
        <f t="shared" si="0"/>
        <v>0</v>
      </c>
    </row>
    <row r="22" spans="2:9" hidden="1">
      <c r="F22" s="22">
        <v>0</v>
      </c>
      <c r="G22" s="22">
        <f t="shared" si="0"/>
        <v>0</v>
      </c>
    </row>
    <row r="23" spans="2:9" hidden="1">
      <c r="F23" s="22">
        <v>0</v>
      </c>
      <c r="G23" s="22">
        <f t="shared" si="0"/>
        <v>0</v>
      </c>
    </row>
    <row r="24" spans="2:9" hidden="1">
      <c r="F24" s="22">
        <v>0</v>
      </c>
      <c r="G24" s="22">
        <f t="shared" si="0"/>
        <v>0</v>
      </c>
    </row>
    <row r="25" spans="2:9" hidden="1">
      <c r="F25" s="22">
        <v>0</v>
      </c>
      <c r="G25" s="22">
        <f t="shared" si="0"/>
        <v>0</v>
      </c>
    </row>
    <row r="26" spans="2:9" hidden="1">
      <c r="F26" s="22"/>
      <c r="G26" s="22"/>
    </row>
    <row r="27" spans="2:9" hidden="1">
      <c r="F27" s="22"/>
      <c r="G27" s="22"/>
    </row>
    <row r="28" spans="2:9" hidden="1">
      <c r="C28" s="2"/>
      <c r="D28" s="22"/>
      <c r="E28" s="23"/>
      <c r="F28" s="22">
        <v>0</v>
      </c>
      <c r="G28" s="22">
        <f t="shared" si="0"/>
        <v>0</v>
      </c>
    </row>
    <row r="29" spans="2:9" ht="13.5" thickBot="1">
      <c r="B29" s="75"/>
      <c r="C29" s="76" t="s">
        <v>43</v>
      </c>
      <c r="D29" s="77">
        <f>SUM(D7:D28)</f>
        <v>-17253277.719999999</v>
      </c>
      <c r="E29" s="77">
        <f>SUM(E7:E28)</f>
        <v>-16674736.874109766</v>
      </c>
      <c r="F29" s="77">
        <f>SUM(F7:F28)</f>
        <v>-739072</v>
      </c>
      <c r="G29" s="77">
        <f>SUM(G7:G28)</f>
        <v>-1317612.8458902366</v>
      </c>
    </row>
    <row r="30" spans="2:9" ht="135" customHeight="1" thickTop="1">
      <c r="D30" s="29"/>
      <c r="E30" s="29"/>
      <c r="F30" s="29"/>
      <c r="G30" s="22"/>
    </row>
    <row r="31" spans="2:9">
      <c r="D31" s="283" t="s">
        <v>531</v>
      </c>
      <c r="E31" s="22">
        <f>E29-D29</f>
        <v>578540.84589023329</v>
      </c>
      <c r="F31" s="22"/>
      <c r="G31" s="22"/>
    </row>
    <row r="32" spans="2:9">
      <c r="D32" s="25"/>
      <c r="E32" s="25"/>
      <c r="F32" s="25"/>
      <c r="G32" s="25"/>
    </row>
    <row r="34" spans="2:7">
      <c r="B34" s="9" t="s">
        <v>228</v>
      </c>
    </row>
    <row r="35" spans="2:7">
      <c r="C35" s="10" t="s">
        <v>229</v>
      </c>
      <c r="D35" s="22">
        <f>RevReq!D10</f>
        <v>-17253277.719999999</v>
      </c>
      <c r="E35" s="22">
        <f>RevReq!D28</f>
        <v>-16674736.874109766</v>
      </c>
      <c r="F35" s="22">
        <f>RevReq!D35</f>
        <v>-739072</v>
      </c>
      <c r="G35" s="22">
        <f>RevReq!D38</f>
        <v>-1317612.8458902333</v>
      </c>
    </row>
    <row r="36" spans="2:7" ht="14.25">
      <c r="C36" s="10" t="s">
        <v>152</v>
      </c>
      <c r="D36" s="49">
        <f>D35-D29</f>
        <v>0</v>
      </c>
      <c r="E36" s="49">
        <f>E35-E29</f>
        <v>0</v>
      </c>
      <c r="F36" s="49">
        <f>F35-F29</f>
        <v>0</v>
      </c>
      <c r="G36" s="49">
        <f>G35-G29</f>
        <v>3.2596290111541748E-9</v>
      </c>
    </row>
    <row r="38" spans="2:7">
      <c r="C38" s="10" t="s">
        <v>230</v>
      </c>
      <c r="D38" s="102">
        <f>'Adj IS'!V12</f>
        <v>-17253277.719999999</v>
      </c>
      <c r="E38" s="102">
        <f>'Adj IS'!V31</f>
        <v>-16674736.874109766</v>
      </c>
      <c r="F38" s="102">
        <f>'Adj IS'!V40</f>
        <v>-739072</v>
      </c>
      <c r="G38" s="102">
        <f>'Adj IS'!V42</f>
        <v>-1317612.8458902366</v>
      </c>
    </row>
    <row r="39" spans="2:7" ht="14.25">
      <c r="C39" s="10" t="s">
        <v>152</v>
      </c>
      <c r="D39" s="49">
        <f>D38-D29</f>
        <v>0</v>
      </c>
      <c r="E39" s="49">
        <f>E38-E29</f>
        <v>0</v>
      </c>
      <c r="F39" s="49">
        <f>F38-F29</f>
        <v>0</v>
      </c>
      <c r="G39" s="49">
        <f>G38-G29</f>
        <v>0</v>
      </c>
    </row>
  </sheetData>
  <mergeCells count="2">
    <mergeCell ref="A1:G1"/>
    <mergeCell ref="A2:G2"/>
  </mergeCells>
  <conditionalFormatting sqref="D36:G36">
    <cfRule type="cellIs" dxfId="15" priority="5" operator="notEqual">
      <formula>0</formula>
    </cfRule>
    <cfRule type="cellIs" dxfId="14" priority="6" operator="equal">
      <formula>0</formula>
    </cfRule>
  </conditionalFormatting>
  <conditionalFormatting sqref="D39:G39">
    <cfRule type="cellIs" dxfId="13" priority="1" operator="notEqual">
      <formula>0</formula>
    </cfRule>
    <cfRule type="cellIs" dxfId="12" priority="2" operator="equal">
      <formula>0</formula>
    </cfRule>
  </conditionalFormatting>
  <printOptions horizontalCentered="1"/>
  <pageMargins left="1" right="0.75" top="0.75" bottom="0.5" header="0.5" footer="0.5"/>
  <pageSetup orientation="landscape" r:id="rId1"/>
  <headerFooter alignWithMargins="0">
    <oddFooter>&amp;RRevised Exhibit JW-2
Page &amp;P of &amp;N</oddFooter>
  </headerFooter>
  <ignoredErrors>
    <ignoredError sqref="F29:G29 F36:G3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5"/>
  <sheetViews>
    <sheetView topLeftCell="A36" zoomScaleNormal="100" workbookViewId="0">
      <selection activeCell="H20" sqref="H20"/>
    </sheetView>
  </sheetViews>
  <sheetFormatPr defaultColWidth="9.140625" defaultRowHeight="15"/>
  <cols>
    <col min="1" max="1" width="9.140625" style="55"/>
    <col min="2" max="2" width="1.5703125" style="55" customWidth="1"/>
    <col min="3" max="3" width="38.42578125" bestFit="1" customWidth="1"/>
    <col min="4" max="4" width="15.5703125" style="303" bestFit="1" customWidth="1"/>
    <col min="5" max="5" width="16.42578125" style="90" customWidth="1"/>
    <col min="6" max="6" width="18.28515625" customWidth="1"/>
    <col min="7" max="7" width="4.5703125" customWidth="1"/>
    <col min="8" max="8" width="13.42578125" bestFit="1" customWidth="1"/>
    <col min="9" max="9" width="5.85546875" customWidth="1"/>
  </cols>
  <sheetData>
    <row r="1" spans="1:7">
      <c r="A1" s="355" t="str">
        <f>RevReq!A1</f>
        <v>CUMBERLAND VALLEY ELECTRIC</v>
      </c>
      <c r="B1" s="355"/>
      <c r="C1" s="355"/>
      <c r="D1" s="355"/>
      <c r="E1" s="355"/>
      <c r="F1" s="355"/>
      <c r="G1" s="83"/>
    </row>
    <row r="2" spans="1:7">
      <c r="A2" s="355" t="s">
        <v>160</v>
      </c>
      <c r="B2" s="355"/>
      <c r="C2" s="355"/>
      <c r="D2" s="355"/>
      <c r="E2" s="355"/>
      <c r="F2" s="355"/>
      <c r="G2" s="83"/>
    </row>
    <row r="3" spans="1:7">
      <c r="A3" s="83"/>
      <c r="B3" s="83"/>
      <c r="C3" s="83"/>
      <c r="D3" s="92"/>
      <c r="E3" s="87"/>
      <c r="F3" s="83"/>
      <c r="G3" s="83"/>
    </row>
    <row r="4" spans="1:7">
      <c r="A4" s="9"/>
      <c r="B4" s="9"/>
      <c r="C4" s="10"/>
      <c r="D4" s="97"/>
      <c r="E4" s="88"/>
      <c r="F4" s="53"/>
      <c r="G4" s="307"/>
    </row>
    <row r="5" spans="1:7">
      <c r="A5" s="53" t="s">
        <v>0</v>
      </c>
      <c r="B5" s="53"/>
      <c r="C5" s="53" t="s">
        <v>1</v>
      </c>
      <c r="D5" s="97" t="s">
        <v>107</v>
      </c>
      <c r="E5" s="88" t="s">
        <v>205</v>
      </c>
      <c r="F5" s="53" t="s">
        <v>108</v>
      </c>
      <c r="G5" s="307"/>
    </row>
    <row r="6" spans="1:7" s="82" customFormat="1">
      <c r="A6" s="80" t="s">
        <v>21</v>
      </c>
      <c r="B6" s="80"/>
      <c r="C6" s="81">
        <v>1</v>
      </c>
      <c r="D6" s="81">
        <f>C6+1</f>
        <v>2</v>
      </c>
      <c r="E6" s="81">
        <f>D6+1</f>
        <v>3</v>
      </c>
      <c r="F6" s="81" t="s">
        <v>25</v>
      </c>
    </row>
    <row r="7" spans="1:7">
      <c r="A7" s="9">
        <v>1</v>
      </c>
      <c r="B7" s="86" t="s">
        <v>161</v>
      </c>
      <c r="C7" s="10"/>
      <c r="D7" s="2"/>
      <c r="E7" s="23"/>
      <c r="F7" s="10"/>
    </row>
    <row r="8" spans="1:7">
      <c r="A8" s="9">
        <f>A7+1</f>
        <v>2</v>
      </c>
      <c r="B8" s="9"/>
      <c r="C8" s="10" t="s">
        <v>162</v>
      </c>
      <c r="D8" s="308">
        <v>121327770</v>
      </c>
      <c r="E8" s="84">
        <v>0</v>
      </c>
      <c r="F8" s="308">
        <f>D8+E8</f>
        <v>121327770</v>
      </c>
    </row>
    <row r="9" spans="1:7">
      <c r="A9" s="9">
        <f t="shared" ref="A9:A64" si="0">A8+1</f>
        <v>3</v>
      </c>
      <c r="B9" s="9"/>
      <c r="C9" s="10" t="s">
        <v>163</v>
      </c>
      <c r="D9" s="308">
        <v>1849475</v>
      </c>
      <c r="E9" s="84">
        <v>0</v>
      </c>
      <c r="F9" s="308">
        <f>D9+E9</f>
        <v>1849475</v>
      </c>
    </row>
    <row r="10" spans="1:7">
      <c r="A10" s="9">
        <f t="shared" si="0"/>
        <v>4</v>
      </c>
      <c r="B10" s="9"/>
      <c r="C10" s="10" t="s">
        <v>274</v>
      </c>
      <c r="D10" s="308">
        <v>123177245</v>
      </c>
      <c r="E10" s="84">
        <v>0</v>
      </c>
      <c r="F10" s="308">
        <f>D10+E10</f>
        <v>123177245</v>
      </c>
    </row>
    <row r="11" spans="1:7">
      <c r="A11" s="9">
        <f t="shared" si="0"/>
        <v>5</v>
      </c>
      <c r="B11" s="9"/>
      <c r="C11" s="10" t="s">
        <v>164</v>
      </c>
      <c r="D11" s="308">
        <v>-49264208</v>
      </c>
      <c r="E11" s="84">
        <v>0</v>
      </c>
      <c r="F11" s="308">
        <f>D11+E11</f>
        <v>-49264208</v>
      </c>
    </row>
    <row r="12" spans="1:7">
      <c r="A12" s="9">
        <f t="shared" si="0"/>
        <v>6</v>
      </c>
      <c r="B12" s="9"/>
      <c r="C12" s="15" t="s">
        <v>165</v>
      </c>
      <c r="D12" s="309">
        <f>SUM(D10:D11)</f>
        <v>73913037</v>
      </c>
      <c r="E12" s="89">
        <f>SUM(E10:E11)</f>
        <v>0</v>
      </c>
      <c r="F12" s="309">
        <f>SUM(F10:F11)</f>
        <v>73913037</v>
      </c>
    </row>
    <row r="13" spans="1:7">
      <c r="A13" s="9">
        <f t="shared" si="0"/>
        <v>7</v>
      </c>
      <c r="B13" s="9"/>
      <c r="C13" s="10"/>
      <c r="D13" s="308"/>
      <c r="E13" s="84"/>
      <c r="F13" s="308"/>
    </row>
    <row r="14" spans="1:7">
      <c r="A14" s="9">
        <f t="shared" si="0"/>
        <v>8</v>
      </c>
      <c r="B14" s="9"/>
      <c r="C14" s="10" t="s">
        <v>166</v>
      </c>
      <c r="D14" s="308">
        <v>35348264</v>
      </c>
      <c r="E14" s="84">
        <v>0</v>
      </c>
      <c r="F14" s="308">
        <f>D14+E14</f>
        <v>35348264</v>
      </c>
    </row>
    <row r="15" spans="1:7">
      <c r="A15" s="9">
        <f t="shared" si="0"/>
        <v>9</v>
      </c>
      <c r="B15" s="9"/>
      <c r="C15" s="10" t="s">
        <v>167</v>
      </c>
      <c r="D15" s="308">
        <v>0</v>
      </c>
      <c r="E15" s="84">
        <v>0</v>
      </c>
      <c r="F15" s="308">
        <f>D15+E15</f>
        <v>0</v>
      </c>
    </row>
    <row r="16" spans="1:7">
      <c r="A16" s="9">
        <f t="shared" si="0"/>
        <v>10</v>
      </c>
      <c r="B16" s="9"/>
      <c r="C16" s="10" t="s">
        <v>168</v>
      </c>
      <c r="D16" s="308">
        <v>860446</v>
      </c>
      <c r="E16" s="84">
        <v>0</v>
      </c>
      <c r="F16" s="308">
        <f>D16+E16</f>
        <v>860446</v>
      </c>
    </row>
    <row r="17" spans="1:6">
      <c r="A17" s="9">
        <f t="shared" si="0"/>
        <v>11</v>
      </c>
      <c r="B17" s="9"/>
      <c r="C17" s="10" t="s">
        <v>169</v>
      </c>
      <c r="D17" s="308">
        <v>537000</v>
      </c>
      <c r="E17" s="84">
        <v>0</v>
      </c>
      <c r="F17" s="308">
        <f>D17+E17</f>
        <v>537000</v>
      </c>
    </row>
    <row r="18" spans="1:6">
      <c r="A18" s="9">
        <f t="shared" si="0"/>
        <v>12</v>
      </c>
      <c r="B18" s="9"/>
      <c r="C18" s="15" t="s">
        <v>170</v>
      </c>
      <c r="D18" s="309">
        <f>SUM(D14:D17)</f>
        <v>36745710</v>
      </c>
      <c r="E18" s="89">
        <f>SUM(E14:E17)</f>
        <v>0</v>
      </c>
      <c r="F18" s="309">
        <f>SUM(F14:F17)</f>
        <v>36745710</v>
      </c>
    </row>
    <row r="19" spans="1:6">
      <c r="A19" s="9">
        <f t="shared" si="0"/>
        <v>13</v>
      </c>
      <c r="B19" s="9"/>
      <c r="C19" s="10"/>
      <c r="D19" s="308"/>
      <c r="E19" s="84"/>
      <c r="F19" s="308"/>
    </row>
    <row r="20" spans="1:6">
      <c r="A20" s="9">
        <f t="shared" si="0"/>
        <v>14</v>
      </c>
      <c r="B20" s="9"/>
      <c r="C20" s="10" t="s">
        <v>171</v>
      </c>
      <c r="D20" s="308">
        <v>1201904</v>
      </c>
      <c r="E20" s="84">
        <v>0</v>
      </c>
      <c r="F20" s="308">
        <f t="shared" ref="F20:F29" si="1">D20+E20</f>
        <v>1201904</v>
      </c>
    </row>
    <row r="21" spans="1:6">
      <c r="A21" s="9">
        <f t="shared" si="0"/>
        <v>15</v>
      </c>
      <c r="B21" s="9"/>
      <c r="C21" s="10" t="s">
        <v>172</v>
      </c>
      <c r="D21" s="308">
        <v>0</v>
      </c>
      <c r="E21" s="84">
        <v>0</v>
      </c>
      <c r="F21" s="308">
        <f t="shared" si="1"/>
        <v>0</v>
      </c>
    </row>
    <row r="22" spans="1:6">
      <c r="A22" s="9">
        <f t="shared" si="0"/>
        <v>16</v>
      </c>
      <c r="B22" s="9"/>
      <c r="C22" s="10" t="s">
        <v>173</v>
      </c>
      <c r="D22" s="308">
        <v>4300</v>
      </c>
      <c r="E22" s="84">
        <v>0</v>
      </c>
      <c r="F22" s="308">
        <f t="shared" si="1"/>
        <v>4300</v>
      </c>
    </row>
    <row r="23" spans="1:6">
      <c r="A23" s="9">
        <f t="shared" si="0"/>
        <v>17</v>
      </c>
      <c r="B23" s="9"/>
      <c r="C23" s="10" t="s">
        <v>174</v>
      </c>
      <c r="D23" s="308">
        <v>7500000</v>
      </c>
      <c r="E23" s="84">
        <v>0</v>
      </c>
      <c r="F23" s="308">
        <f t="shared" si="1"/>
        <v>7500000</v>
      </c>
    </row>
    <row r="24" spans="1:6">
      <c r="A24" s="9">
        <f t="shared" si="0"/>
        <v>18</v>
      </c>
      <c r="B24" s="9"/>
      <c r="C24" s="10" t="s">
        <v>176</v>
      </c>
      <c r="D24" s="308">
        <v>4855412</v>
      </c>
      <c r="E24" s="84">
        <v>0</v>
      </c>
      <c r="F24" s="308">
        <f t="shared" si="1"/>
        <v>4855412</v>
      </c>
    </row>
    <row r="25" spans="1:6">
      <c r="A25" s="9">
        <f t="shared" si="0"/>
        <v>19</v>
      </c>
      <c r="B25" s="9"/>
      <c r="C25" s="10" t="s">
        <v>175</v>
      </c>
      <c r="D25" s="308">
        <v>1769920</v>
      </c>
      <c r="E25" s="84">
        <v>0</v>
      </c>
      <c r="F25" s="308">
        <f t="shared" si="1"/>
        <v>1769920</v>
      </c>
    </row>
    <row r="26" spans="1:6">
      <c r="A26" s="9">
        <f t="shared" si="0"/>
        <v>20</v>
      </c>
      <c r="B26" s="9"/>
      <c r="C26" s="10" t="s">
        <v>177</v>
      </c>
      <c r="D26" s="308">
        <v>0</v>
      </c>
      <c r="E26" s="84">
        <v>0</v>
      </c>
      <c r="F26" s="308">
        <f t="shared" si="1"/>
        <v>0</v>
      </c>
    </row>
    <row r="27" spans="1:6">
      <c r="A27" s="9">
        <f t="shared" si="0"/>
        <v>21</v>
      </c>
      <c r="B27" s="9"/>
      <c r="C27" s="10" t="s">
        <v>178</v>
      </c>
      <c r="D27" s="308">
        <v>1011551</v>
      </c>
      <c r="E27" s="84">
        <v>0</v>
      </c>
      <c r="F27" s="308">
        <f t="shared" si="1"/>
        <v>1011551</v>
      </c>
    </row>
    <row r="28" spans="1:6">
      <c r="A28" s="9">
        <f t="shared" si="0"/>
        <v>22</v>
      </c>
      <c r="B28" s="9"/>
      <c r="C28" s="10" t="s">
        <v>179</v>
      </c>
      <c r="D28" s="308">
        <v>46110</v>
      </c>
      <c r="E28" s="84">
        <v>0</v>
      </c>
      <c r="F28" s="308">
        <f t="shared" si="1"/>
        <v>46110</v>
      </c>
    </row>
    <row r="29" spans="1:6">
      <c r="A29" s="9">
        <f t="shared" si="0"/>
        <v>23</v>
      </c>
      <c r="B29" s="9"/>
      <c r="C29" s="10" t="s">
        <v>180</v>
      </c>
      <c r="D29" s="308">
        <v>6268</v>
      </c>
      <c r="E29" s="84">
        <v>0</v>
      </c>
      <c r="F29" s="308">
        <f t="shared" si="1"/>
        <v>6268</v>
      </c>
    </row>
    <row r="30" spans="1:6">
      <c r="A30" s="9">
        <f t="shared" si="0"/>
        <v>24</v>
      </c>
      <c r="B30" s="9"/>
      <c r="C30" s="15" t="s">
        <v>181</v>
      </c>
      <c r="D30" s="309">
        <f>SUM(D20:D29)</f>
        <v>16395465</v>
      </c>
      <c r="E30" s="89">
        <f>SUM(E20:E29)</f>
        <v>0</v>
      </c>
      <c r="F30" s="309">
        <f>SUM(F20:F29)</f>
        <v>16395465</v>
      </c>
    </row>
    <row r="31" spans="1:6">
      <c r="A31" s="9">
        <f t="shared" si="0"/>
        <v>25</v>
      </c>
      <c r="B31" s="9"/>
      <c r="C31" s="10"/>
      <c r="D31" s="308"/>
      <c r="E31" s="84"/>
      <c r="F31" s="308"/>
    </row>
    <row r="32" spans="1:6">
      <c r="A32" s="9">
        <f t="shared" si="0"/>
        <v>26</v>
      </c>
      <c r="B32" s="9"/>
      <c r="C32" s="10" t="s">
        <v>182</v>
      </c>
      <c r="D32" s="308">
        <v>0</v>
      </c>
      <c r="E32" s="84">
        <v>0</v>
      </c>
      <c r="F32" s="308">
        <f>D32+E32</f>
        <v>0</v>
      </c>
    </row>
    <row r="33" spans="1:6">
      <c r="A33" s="9">
        <f t="shared" si="0"/>
        <v>27</v>
      </c>
      <c r="B33" s="9"/>
      <c r="C33" s="10" t="s">
        <v>183</v>
      </c>
      <c r="D33" s="308">
        <v>274515</v>
      </c>
      <c r="E33" s="84">
        <v>0</v>
      </c>
      <c r="F33" s="308">
        <f>D33+E33</f>
        <v>274515</v>
      </c>
    </row>
    <row r="34" spans="1:6">
      <c r="A34" s="9">
        <f t="shared" si="0"/>
        <v>28</v>
      </c>
      <c r="B34" s="9"/>
      <c r="C34" s="10"/>
      <c r="D34" s="34"/>
      <c r="E34" s="84"/>
      <c r="F34" s="308"/>
    </row>
    <row r="35" spans="1:6" ht="15.75" thickBot="1">
      <c r="A35" s="9">
        <f t="shared" si="0"/>
        <v>29</v>
      </c>
      <c r="B35" s="9"/>
      <c r="C35" s="19" t="s">
        <v>184</v>
      </c>
      <c r="D35" s="310">
        <f>D33+D32+D30+D18+D12</f>
        <v>127328727</v>
      </c>
      <c r="E35" s="91">
        <f>E33+E32+E30+E18+E12</f>
        <v>0</v>
      </c>
      <c r="F35" s="310">
        <f>F33+F32+F30+F18+F12</f>
        <v>127328727</v>
      </c>
    </row>
    <row r="36" spans="1:6" ht="15.75" thickTop="1">
      <c r="A36" s="9">
        <f t="shared" si="0"/>
        <v>30</v>
      </c>
      <c r="B36" s="9"/>
      <c r="C36" s="10"/>
      <c r="D36" s="311"/>
      <c r="E36" s="84"/>
      <c r="F36" s="308"/>
    </row>
    <row r="37" spans="1:6">
      <c r="A37" s="9">
        <f t="shared" si="0"/>
        <v>31</v>
      </c>
      <c r="B37" s="85" t="s">
        <v>185</v>
      </c>
      <c r="C37" s="10"/>
      <c r="D37" s="308"/>
      <c r="E37" s="84"/>
      <c r="F37" s="308"/>
    </row>
    <row r="38" spans="1:6">
      <c r="A38" s="9">
        <f t="shared" si="0"/>
        <v>32</v>
      </c>
      <c r="B38" s="9"/>
      <c r="C38" s="10" t="s">
        <v>186</v>
      </c>
      <c r="D38" s="308">
        <v>448630</v>
      </c>
      <c r="E38" s="23">
        <v>0</v>
      </c>
      <c r="F38" s="308">
        <f>D38+E38</f>
        <v>448630</v>
      </c>
    </row>
    <row r="39" spans="1:6">
      <c r="A39" s="9">
        <f t="shared" si="0"/>
        <v>33</v>
      </c>
      <c r="B39" s="9"/>
      <c r="C39" s="10" t="s">
        <v>187</v>
      </c>
      <c r="D39" s="308">
        <v>59589055</v>
      </c>
      <c r="E39" s="84">
        <v>0</v>
      </c>
      <c r="F39" s="308">
        <f>D39+E39</f>
        <v>59589055</v>
      </c>
    </row>
    <row r="40" spans="1:6">
      <c r="A40" s="9">
        <f t="shared" si="0"/>
        <v>34</v>
      </c>
      <c r="B40" s="9"/>
      <c r="C40" s="10" t="s">
        <v>188</v>
      </c>
      <c r="D40" s="308">
        <v>149980</v>
      </c>
      <c r="E40" s="84">
        <v>0</v>
      </c>
      <c r="F40" s="308">
        <f>D40+E40</f>
        <v>149980</v>
      </c>
    </row>
    <row r="41" spans="1:6">
      <c r="A41" s="9">
        <f t="shared" si="0"/>
        <v>35</v>
      </c>
      <c r="B41" s="9"/>
      <c r="C41" s="10" t="s">
        <v>189</v>
      </c>
      <c r="D41" s="308">
        <v>562638</v>
      </c>
      <c r="E41" s="84">
        <v>0</v>
      </c>
      <c r="F41" s="308">
        <f>D41+E41</f>
        <v>562638</v>
      </c>
    </row>
    <row r="42" spans="1:6">
      <c r="A42" s="9">
        <f t="shared" si="0"/>
        <v>36</v>
      </c>
      <c r="B42" s="9"/>
      <c r="C42" s="10" t="s">
        <v>190</v>
      </c>
      <c r="D42" s="308">
        <v>477913</v>
      </c>
      <c r="E42" s="84">
        <v>0</v>
      </c>
      <c r="F42" s="308">
        <f>D42+E42</f>
        <v>477913</v>
      </c>
    </row>
    <row r="43" spans="1:6">
      <c r="A43" s="9">
        <f t="shared" si="0"/>
        <v>37</v>
      </c>
      <c r="B43" s="9"/>
      <c r="C43" s="15" t="s">
        <v>191</v>
      </c>
      <c r="D43" s="309">
        <f>SUM(D38:D42)</f>
        <v>61228216</v>
      </c>
      <c r="E43" s="89">
        <f>SUM(E38:E42)</f>
        <v>0</v>
      </c>
      <c r="F43" s="309">
        <f>SUM(F38:F42)</f>
        <v>61228216</v>
      </c>
    </row>
    <row r="44" spans="1:6">
      <c r="A44" s="9">
        <f t="shared" si="0"/>
        <v>38</v>
      </c>
      <c r="B44" s="9"/>
      <c r="C44" s="10"/>
      <c r="D44" s="308"/>
      <c r="E44" s="84"/>
      <c r="F44" s="308"/>
    </row>
    <row r="45" spans="1:6">
      <c r="A45" s="9">
        <f t="shared" si="0"/>
        <v>39</v>
      </c>
      <c r="B45" s="9"/>
      <c r="C45" s="10" t="s">
        <v>275</v>
      </c>
      <c r="D45" s="311">
        <v>498989</v>
      </c>
      <c r="E45" s="84">
        <v>0</v>
      </c>
      <c r="F45" s="308">
        <f>D45+E45</f>
        <v>498989</v>
      </c>
    </row>
    <row r="46" spans="1:6">
      <c r="A46" s="9">
        <f t="shared" si="0"/>
        <v>40</v>
      </c>
      <c r="B46" s="9"/>
      <c r="C46" s="10" t="s">
        <v>192</v>
      </c>
      <c r="D46" s="311">
        <v>46742729</v>
      </c>
      <c r="E46" s="84">
        <v>0</v>
      </c>
      <c r="F46" s="308">
        <f>D46+E46</f>
        <v>46742729</v>
      </c>
    </row>
    <row r="47" spans="1:6">
      <c r="A47" s="9">
        <f t="shared" si="0"/>
        <v>41</v>
      </c>
      <c r="B47" s="9"/>
      <c r="C47" s="10" t="s">
        <v>276</v>
      </c>
      <c r="D47" s="311">
        <v>0</v>
      </c>
      <c r="E47" s="84">
        <v>0</v>
      </c>
      <c r="F47" s="308">
        <f>D47+E47</f>
        <v>0</v>
      </c>
    </row>
    <row r="48" spans="1:6">
      <c r="A48" s="9">
        <f t="shared" si="0"/>
        <v>42</v>
      </c>
      <c r="B48" s="9"/>
      <c r="C48" s="10" t="s">
        <v>193</v>
      </c>
      <c r="D48" s="311">
        <v>1909348</v>
      </c>
      <c r="E48" s="84">
        <v>0</v>
      </c>
      <c r="F48" s="308">
        <f>D48+E48</f>
        <v>1909348</v>
      </c>
    </row>
    <row r="49" spans="1:6">
      <c r="A49" s="9">
        <f t="shared" si="0"/>
        <v>43</v>
      </c>
      <c r="B49" s="9"/>
      <c r="C49" s="10" t="s">
        <v>194</v>
      </c>
      <c r="D49" s="311">
        <v>422018</v>
      </c>
      <c r="E49" s="84">
        <v>0</v>
      </c>
      <c r="F49" s="308">
        <f>D49+E49</f>
        <v>422018</v>
      </c>
    </row>
    <row r="50" spans="1:6">
      <c r="A50" s="9">
        <f t="shared" si="0"/>
        <v>44</v>
      </c>
      <c r="B50" s="9"/>
      <c r="C50" s="15" t="s">
        <v>195</v>
      </c>
      <c r="D50" s="309">
        <f>SUM(D45:D49)</f>
        <v>49573084</v>
      </c>
      <c r="E50" s="89">
        <f>SUM(E45:E49)</f>
        <v>0</v>
      </c>
      <c r="F50" s="309">
        <f>SUM(F45:F49)</f>
        <v>49573084</v>
      </c>
    </row>
    <row r="51" spans="1:6">
      <c r="A51" s="9">
        <f t="shared" si="0"/>
        <v>45</v>
      </c>
      <c r="B51" s="9"/>
      <c r="C51" s="10"/>
      <c r="D51" s="308"/>
      <c r="E51" s="84"/>
      <c r="F51" s="308"/>
    </row>
    <row r="52" spans="1:6">
      <c r="A52" s="9">
        <f t="shared" si="0"/>
        <v>46</v>
      </c>
      <c r="B52" s="9"/>
      <c r="C52" s="10" t="s">
        <v>196</v>
      </c>
      <c r="D52" s="308">
        <v>3796470</v>
      </c>
      <c r="E52" s="84">
        <v>0</v>
      </c>
      <c r="F52" s="308">
        <f>D52+E52</f>
        <v>3796470</v>
      </c>
    </row>
    <row r="53" spans="1:6">
      <c r="A53" s="9">
        <f t="shared" si="0"/>
        <v>47</v>
      </c>
      <c r="B53" s="9"/>
      <c r="C53" s="10"/>
      <c r="D53" s="308"/>
      <c r="E53" s="84"/>
      <c r="F53" s="308"/>
    </row>
    <row r="54" spans="1:6">
      <c r="A54" s="9">
        <f t="shared" si="0"/>
        <v>48</v>
      </c>
      <c r="B54" s="9"/>
      <c r="C54" s="10" t="s">
        <v>197</v>
      </c>
      <c r="D54" s="308">
        <v>0</v>
      </c>
      <c r="E54" s="84">
        <v>0</v>
      </c>
      <c r="F54" s="308">
        <f t="shared" ref="F54:F59" si="2">D54+E54</f>
        <v>0</v>
      </c>
    </row>
    <row r="55" spans="1:6">
      <c r="A55" s="9">
        <f t="shared" si="0"/>
        <v>49</v>
      </c>
      <c r="B55" s="9"/>
      <c r="C55" s="10" t="s">
        <v>198</v>
      </c>
      <c r="D55" s="308">
        <v>4747599</v>
      </c>
      <c r="E55" s="84">
        <v>0</v>
      </c>
      <c r="F55" s="308">
        <f t="shared" si="2"/>
        <v>4747599</v>
      </c>
    </row>
    <row r="56" spans="1:6">
      <c r="A56" s="9">
        <f t="shared" si="0"/>
        <v>50</v>
      </c>
      <c r="B56" s="9"/>
      <c r="C56" s="10" t="s">
        <v>199</v>
      </c>
      <c r="D56" s="308">
        <v>3266619</v>
      </c>
      <c r="E56" s="84">
        <v>0</v>
      </c>
      <c r="F56" s="308">
        <f t="shared" si="2"/>
        <v>3266619</v>
      </c>
    </row>
    <row r="57" spans="1:6">
      <c r="A57" s="9">
        <f t="shared" si="0"/>
        <v>51</v>
      </c>
      <c r="B57" s="9"/>
      <c r="C57" s="10" t="s">
        <v>277</v>
      </c>
      <c r="D57" s="308">
        <v>1968104</v>
      </c>
      <c r="E57" s="84"/>
      <c r="F57" s="308">
        <f t="shared" si="2"/>
        <v>1968104</v>
      </c>
    </row>
    <row r="58" spans="1:6">
      <c r="A58" s="9">
        <f t="shared" si="0"/>
        <v>52</v>
      </c>
      <c r="B58" s="9"/>
      <c r="C58" s="10" t="s">
        <v>278</v>
      </c>
      <c r="D58" s="308">
        <v>110092</v>
      </c>
      <c r="E58" s="84"/>
      <c r="F58" s="308">
        <f t="shared" si="2"/>
        <v>110092</v>
      </c>
    </row>
    <row r="59" spans="1:6">
      <c r="A59" s="9">
        <f t="shared" si="0"/>
        <v>53</v>
      </c>
      <c r="B59" s="9"/>
      <c r="C59" s="10" t="s">
        <v>200</v>
      </c>
      <c r="D59" s="308">
        <v>2280933</v>
      </c>
      <c r="E59" s="84">
        <v>0</v>
      </c>
      <c r="F59" s="308">
        <f t="shared" si="2"/>
        <v>2280933</v>
      </c>
    </row>
    <row r="60" spans="1:6">
      <c r="A60" s="9">
        <f t="shared" si="0"/>
        <v>54</v>
      </c>
      <c r="B60" s="9"/>
      <c r="C60" s="15" t="s">
        <v>201</v>
      </c>
      <c r="D60" s="309">
        <f>SUM(D54:D59)</f>
        <v>12373347</v>
      </c>
      <c r="E60" s="89">
        <f>SUM(E54:E59)</f>
        <v>0</v>
      </c>
      <c r="F60" s="309">
        <f>SUM(F54:F59)</f>
        <v>12373347</v>
      </c>
    </row>
    <row r="61" spans="1:6">
      <c r="A61" s="9">
        <f t="shared" si="0"/>
        <v>55</v>
      </c>
      <c r="B61" s="9"/>
      <c r="C61" s="10"/>
      <c r="D61" s="308"/>
      <c r="E61" s="84"/>
      <c r="F61" s="308"/>
    </row>
    <row r="62" spans="1:6">
      <c r="A62" s="9">
        <f t="shared" si="0"/>
        <v>56</v>
      </c>
      <c r="B62" s="9"/>
      <c r="C62" s="10" t="s">
        <v>202</v>
      </c>
      <c r="D62" s="308">
        <v>0</v>
      </c>
      <c r="E62" s="84">
        <v>0</v>
      </c>
      <c r="F62" s="308">
        <f>D62+E62</f>
        <v>0</v>
      </c>
    </row>
    <row r="63" spans="1:6">
      <c r="A63" s="9">
        <f t="shared" si="0"/>
        <v>57</v>
      </c>
      <c r="B63" s="9"/>
      <c r="C63" s="10" t="s">
        <v>203</v>
      </c>
      <c r="D63" s="308">
        <v>357610</v>
      </c>
      <c r="E63" s="84">
        <v>0</v>
      </c>
      <c r="F63" s="308">
        <f>D63+E63</f>
        <v>357610</v>
      </c>
    </row>
    <row r="64" spans="1:6" ht="15.75" thickBot="1">
      <c r="A64" s="9">
        <f t="shared" si="0"/>
        <v>58</v>
      </c>
      <c r="B64" s="9"/>
      <c r="C64" s="19" t="s">
        <v>204</v>
      </c>
      <c r="D64" s="310">
        <f>D63+D62+D60+D52+D50+D43</f>
        <v>127328727</v>
      </c>
      <c r="E64" s="91">
        <f>E63+E62+E60+E52+E50+E43</f>
        <v>0</v>
      </c>
      <c r="F64" s="310">
        <f>F63+F62+F60+F52+F50+F43</f>
        <v>127328727</v>
      </c>
    </row>
    <row r="65" ht="15.75" thickTop="1"/>
  </sheetData>
  <mergeCells count="2">
    <mergeCell ref="A1:F1"/>
    <mergeCell ref="A2:F2"/>
  </mergeCells>
  <printOptions horizontalCentered="1"/>
  <pageMargins left="1" right="0.75" top="0.75" bottom="0.75" header="0.3" footer="0.3"/>
  <pageSetup scale="73" orientation="portrait" r:id="rId1"/>
  <headerFooter>
    <oddFooter>&amp;RRevised Exhibit  JW-2
Page &amp;P of &amp;N</oddFooter>
  </headerFooter>
  <ignoredErrors>
    <ignoredError sqref="D12:E12" formulaRange="1"/>
    <ignoredError sqref="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AI151"/>
  <sheetViews>
    <sheetView defaultGridColor="0" view="pageBreakPreview" colorId="22" zoomScaleNormal="75" zoomScaleSheetLayoutView="100" workbookViewId="0">
      <pane xSplit="2" ySplit="6" topLeftCell="C7" activePane="bottomRight" state="frozen"/>
      <selection activeCell="P50" sqref="P50"/>
      <selection pane="topRight" activeCell="P50" sqref="P50"/>
      <selection pane="bottomLeft" activeCell="P50" sqref="P50"/>
      <selection pane="bottomRight" activeCell="H6" sqref="H6"/>
    </sheetView>
  </sheetViews>
  <sheetFormatPr defaultColWidth="12.5703125" defaultRowHeight="14.25"/>
  <cols>
    <col min="1" max="1" width="6.140625" style="61" customWidth="1"/>
    <col min="2" max="2" width="33.140625" style="59" customWidth="1"/>
    <col min="3" max="3" width="12.28515625" style="59" customWidth="1"/>
    <col min="4" max="4" width="15.5703125" style="59" customWidth="1"/>
    <col min="5" max="5" width="13" style="59" bestFit="1" customWidth="1"/>
    <col min="6" max="6" width="14.28515625" style="59" customWidth="1"/>
    <col min="7" max="7" width="15" style="59" customWidth="1"/>
    <col min="8" max="8" width="13.85546875" style="59" customWidth="1"/>
    <col min="9" max="9" width="14.28515625" style="59" customWidth="1"/>
    <col min="10" max="10" width="12.85546875" style="59" bestFit="1" customWidth="1"/>
    <col min="11" max="11" width="13.85546875" style="59" customWidth="1"/>
    <col min="12" max="12" width="12.28515625" style="59" customWidth="1"/>
    <col min="13" max="13" width="14" style="59" customWidth="1"/>
    <col min="14" max="14" width="11.85546875" style="59" customWidth="1"/>
    <col min="15" max="15" width="13.7109375" style="59" customWidth="1"/>
    <col min="16" max="16" width="11.85546875" style="59" customWidth="1"/>
    <col min="17" max="17" width="13.28515625" style="59" hidden="1" customWidth="1"/>
    <col min="18" max="18" width="12" style="59" hidden="1" customWidth="1"/>
    <col min="19" max="19" width="14.42578125" style="59" hidden="1" customWidth="1"/>
    <col min="20" max="20" width="11.42578125" style="59" hidden="1" customWidth="1"/>
    <col min="21" max="21" width="11.28515625" style="59" hidden="1" customWidth="1"/>
    <col min="22" max="22" width="13.5703125" style="59" customWidth="1"/>
    <col min="23" max="23" width="3.5703125" style="59" customWidth="1"/>
    <col min="24" max="24" width="15.5703125" style="59" bestFit="1" customWidth="1"/>
    <col min="25" max="25" width="12.7109375" style="59" bestFit="1" customWidth="1"/>
    <col min="26" max="16384" width="12.5703125" style="59"/>
  </cols>
  <sheetData>
    <row r="1" spans="1:35" ht="15">
      <c r="A1" s="60"/>
      <c r="B1" s="74" t="str">
        <f>RevReq!A1</f>
        <v>CUMBERLAND VALLEY ELECTRIC</v>
      </c>
      <c r="C1" s="56"/>
      <c r="D1" s="56"/>
      <c r="E1" s="56"/>
      <c r="F1" s="56"/>
      <c r="G1" s="56"/>
      <c r="H1" s="56"/>
      <c r="I1" s="56"/>
      <c r="J1" s="56"/>
      <c r="K1" s="56"/>
      <c r="L1" s="56"/>
      <c r="M1" s="56"/>
      <c r="N1" s="56"/>
      <c r="O1" s="56"/>
      <c r="P1" s="56"/>
      <c r="Q1" s="56"/>
      <c r="R1" s="56"/>
      <c r="S1" s="56"/>
      <c r="T1" s="56"/>
      <c r="U1" s="56"/>
      <c r="V1" s="56"/>
      <c r="W1" s="57"/>
      <c r="X1" s="58"/>
      <c r="Y1" s="58"/>
      <c r="Z1" s="58"/>
      <c r="AA1" s="58"/>
      <c r="AB1" s="58"/>
      <c r="AC1" s="58"/>
      <c r="AD1" s="58"/>
      <c r="AE1" s="58"/>
      <c r="AF1" s="58"/>
      <c r="AG1" s="58"/>
      <c r="AH1" s="58"/>
      <c r="AI1" s="58"/>
    </row>
    <row r="2" spans="1:35" ht="15">
      <c r="A2" s="60"/>
      <c r="B2" s="74" t="s">
        <v>159</v>
      </c>
      <c r="C2" s="56"/>
      <c r="D2" s="56"/>
      <c r="E2" s="56"/>
      <c r="F2" s="56"/>
      <c r="G2" s="56"/>
      <c r="H2" s="56"/>
      <c r="I2" s="56"/>
      <c r="J2" s="56"/>
      <c r="K2" s="56"/>
      <c r="L2" s="56"/>
      <c r="M2" s="56"/>
      <c r="N2" s="56"/>
      <c r="O2" s="56"/>
      <c r="P2" s="56"/>
      <c r="Q2" s="56"/>
      <c r="R2" s="56"/>
      <c r="S2" s="56"/>
      <c r="T2" s="56"/>
      <c r="U2" s="56"/>
      <c r="V2" s="56"/>
      <c r="W2" s="57"/>
      <c r="X2" s="58"/>
      <c r="Y2" s="58"/>
      <c r="Z2" s="58"/>
      <c r="AA2" s="58"/>
      <c r="AB2" s="58"/>
      <c r="AC2" s="58"/>
      <c r="AD2" s="58"/>
      <c r="AE2" s="58"/>
      <c r="AF2" s="58"/>
      <c r="AG2" s="58"/>
      <c r="AH2" s="58"/>
      <c r="AI2" s="58"/>
    </row>
    <row r="3" spans="1:35" s="61" customFormat="1">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row>
    <row r="4" spans="1:35">
      <c r="A4" s="60"/>
      <c r="B4" s="57" t="s">
        <v>233</v>
      </c>
      <c r="C4" s="60">
        <f>'Adj List'!B7</f>
        <v>1.01</v>
      </c>
      <c r="D4" s="60">
        <f>'Adj List'!B8</f>
        <v>1.02</v>
      </c>
      <c r="E4" s="60">
        <f>'Adj List'!B9</f>
        <v>1.03</v>
      </c>
      <c r="F4" s="60">
        <f>'Adj List'!B10</f>
        <v>1.04</v>
      </c>
      <c r="G4" s="60">
        <f>'Adj List'!B11</f>
        <v>1.05</v>
      </c>
      <c r="H4" s="60">
        <f>'Adj List'!B12</f>
        <v>1.06</v>
      </c>
      <c r="I4" s="60">
        <f>'Adj List'!B13</f>
        <v>1.07</v>
      </c>
      <c r="J4" s="60">
        <f>'Adj List'!B14</f>
        <v>1.08</v>
      </c>
      <c r="K4" s="60">
        <f>'Adj List'!B15</f>
        <v>1.0900000000000001</v>
      </c>
      <c r="L4" s="62">
        <f>'Adj List'!B16</f>
        <v>1.1000000000000001</v>
      </c>
      <c r="M4" s="60">
        <f>'Adj List'!B17</f>
        <v>1.1100000000000001</v>
      </c>
      <c r="N4" s="60">
        <f>'Adj List'!B18</f>
        <v>1.1200000000000001</v>
      </c>
      <c r="O4" s="60">
        <f>'Adj List'!B19</f>
        <v>1.1299999999999999</v>
      </c>
      <c r="P4" s="60">
        <f>'Adj List'!B20</f>
        <v>1.1399999999999999</v>
      </c>
      <c r="Q4" s="60">
        <f>'Adj List'!B21</f>
        <v>0</v>
      </c>
      <c r="R4" s="60"/>
      <c r="S4" s="60"/>
      <c r="T4" s="60"/>
      <c r="U4" s="60"/>
      <c r="V4" s="58"/>
      <c r="W4" s="58"/>
      <c r="X4" s="58"/>
      <c r="Y4" s="58"/>
      <c r="Z4" s="58"/>
      <c r="AA4" s="58"/>
      <c r="AB4" s="58"/>
      <c r="AC4" s="58"/>
      <c r="AD4" s="58"/>
      <c r="AE4" s="58"/>
      <c r="AF4" s="58"/>
      <c r="AG4" s="58"/>
      <c r="AH4" s="58"/>
      <c r="AI4" s="58"/>
    </row>
    <row r="5" spans="1:35" ht="9" customHeight="1">
      <c r="A5" s="60"/>
      <c r="B5" s="58"/>
      <c r="C5" s="60"/>
      <c r="D5" s="60"/>
      <c r="E5" s="60"/>
      <c r="F5" s="60"/>
      <c r="G5" s="60"/>
      <c r="H5" s="60"/>
      <c r="I5" s="60"/>
      <c r="J5" s="60"/>
      <c r="K5" s="60"/>
      <c r="L5" s="60"/>
      <c r="M5" s="60"/>
      <c r="N5" s="60"/>
      <c r="O5" s="60"/>
      <c r="P5" s="60"/>
      <c r="Q5" s="60"/>
      <c r="R5" s="63"/>
      <c r="S5" s="63"/>
      <c r="T5" s="60"/>
      <c r="U5" s="60"/>
      <c r="V5" s="60"/>
      <c r="W5" s="58"/>
      <c r="X5" s="58"/>
      <c r="Y5" s="58"/>
      <c r="Z5" s="58"/>
      <c r="AA5" s="58"/>
      <c r="AB5" s="58"/>
      <c r="AC5" s="58"/>
      <c r="AD5" s="58"/>
      <c r="AE5" s="58"/>
      <c r="AF5" s="58"/>
      <c r="AG5" s="58"/>
      <c r="AH5" s="58"/>
      <c r="AI5" s="58"/>
    </row>
    <row r="6" spans="1:35" s="65" customFormat="1" ht="59.25" customHeight="1">
      <c r="A6" s="64"/>
      <c r="B6" s="101" t="s">
        <v>234</v>
      </c>
      <c r="C6" s="64" t="str">
        <f>'Adj List'!C7</f>
        <v>Fuel Adjustment Clause</v>
      </c>
      <c r="D6" s="64" t="str">
        <f>'Adj List'!C8</f>
        <v>Environmental Surcharge</v>
      </c>
      <c r="E6" s="64" t="str">
        <f>'Adj List'!C9</f>
        <v>Rate Case Expenses</v>
      </c>
      <c r="F6" s="64" t="str">
        <f>'Adj List'!C10</f>
        <v>Year-End Customer Normalization</v>
      </c>
      <c r="G6" s="64" t="str">
        <f>'Adj List'!C11</f>
        <v>Depreciation Expense Normalization</v>
      </c>
      <c r="H6" s="64" t="str">
        <f>'Adj List'!C12</f>
        <v>Donations, Advertising, Dues, &amp; Other</v>
      </c>
      <c r="I6" s="64" t="str">
        <f>'Adj List'!C13</f>
        <v>Miscellaneous Expenses</v>
      </c>
      <c r="J6" s="64" t="str">
        <f>'Adj List'!C14</f>
        <v>Directors Expense</v>
      </c>
      <c r="K6" s="64" t="str">
        <f>'Adj List'!C15</f>
        <v>Wages &amp; Salaries</v>
      </c>
      <c r="L6" s="64" t="str">
        <f>'Adj List'!C16</f>
        <v>Professional Services</v>
      </c>
      <c r="M6" s="64" t="str">
        <f>'Adj List'!C17</f>
        <v>G&amp;T Capital Credits</v>
      </c>
      <c r="N6" s="64" t="str">
        <f>'Adj List'!C18</f>
        <v>Interest</v>
      </c>
      <c r="O6" s="64" t="str">
        <f>'Adj List'!C19</f>
        <v>Life Insurance Premiums</v>
      </c>
      <c r="P6" s="64" t="str">
        <f>'Adj List'!C20</f>
        <v>Large Power Members</v>
      </c>
      <c r="Q6" s="64">
        <f>'Adj List'!C21</f>
        <v>0</v>
      </c>
      <c r="R6" s="64"/>
      <c r="S6" s="64"/>
      <c r="T6" s="64"/>
      <c r="U6" s="64"/>
      <c r="V6" s="64" t="s">
        <v>14</v>
      </c>
      <c r="W6" s="64"/>
      <c r="X6" s="64" t="s">
        <v>231</v>
      </c>
      <c r="Y6" s="64"/>
      <c r="Z6" s="64"/>
      <c r="AA6" s="64"/>
      <c r="AB6" s="64"/>
      <c r="AC6" s="64"/>
      <c r="AD6" s="64"/>
      <c r="AE6" s="64"/>
      <c r="AF6" s="64"/>
      <c r="AG6" s="64"/>
      <c r="AH6" s="64"/>
      <c r="AI6" s="64"/>
    </row>
    <row r="7" spans="1:35">
      <c r="A7" s="60">
        <v>1</v>
      </c>
      <c r="B7" s="58"/>
      <c r="C7" s="49"/>
      <c r="D7" s="49"/>
      <c r="E7" s="49"/>
      <c r="F7" s="49"/>
      <c r="G7" s="49"/>
      <c r="H7" s="49"/>
      <c r="I7" s="49"/>
      <c r="J7" s="49"/>
      <c r="K7" s="49"/>
      <c r="L7" s="49"/>
      <c r="M7" s="49"/>
      <c r="N7" s="49"/>
      <c r="O7" s="49"/>
      <c r="P7" s="49"/>
      <c r="Q7" s="49"/>
      <c r="R7" s="49"/>
      <c r="S7" s="49"/>
      <c r="T7" s="49"/>
      <c r="U7" s="49"/>
      <c r="V7" s="49"/>
      <c r="W7" s="58"/>
      <c r="X7" s="58"/>
      <c r="Y7" s="58"/>
      <c r="Z7" s="49"/>
      <c r="AA7" s="49"/>
      <c r="AB7" s="49"/>
      <c r="AC7" s="49"/>
      <c r="AD7" s="49"/>
      <c r="AE7" s="49"/>
      <c r="AF7" s="49"/>
      <c r="AG7" s="49"/>
      <c r="AH7" s="49"/>
      <c r="AI7" s="58"/>
    </row>
    <row r="8" spans="1:35">
      <c r="A8" s="60">
        <f t="shared" ref="A8:A42" si="0">(A7+1)</f>
        <v>2</v>
      </c>
      <c r="B8" s="66" t="s">
        <v>91</v>
      </c>
      <c r="C8" s="49"/>
      <c r="D8" s="49"/>
      <c r="E8" s="49"/>
      <c r="F8" s="49"/>
      <c r="G8" s="49"/>
      <c r="H8" s="49"/>
      <c r="I8" s="49"/>
      <c r="J8" s="49"/>
      <c r="K8" s="49"/>
      <c r="L8" s="49"/>
      <c r="M8" s="49"/>
      <c r="N8" s="49"/>
      <c r="O8" s="49"/>
      <c r="P8" s="49"/>
      <c r="Q8" s="49"/>
      <c r="R8" s="49"/>
      <c r="S8" s="49"/>
      <c r="T8" s="49"/>
      <c r="U8" s="49"/>
      <c r="V8" s="49"/>
      <c r="W8" s="58"/>
      <c r="X8" s="58"/>
      <c r="Y8" s="58"/>
      <c r="Z8" s="49"/>
      <c r="AA8" s="49"/>
      <c r="AB8" s="49"/>
      <c r="AC8" s="49"/>
      <c r="AD8" s="49"/>
      <c r="AE8" s="49"/>
      <c r="AF8" s="49"/>
      <c r="AG8" s="49"/>
      <c r="AH8" s="49"/>
      <c r="AI8" s="58"/>
    </row>
    <row r="9" spans="1:35">
      <c r="A9" s="60">
        <f t="shared" si="0"/>
        <v>3</v>
      </c>
      <c r="B9" s="58" t="s">
        <v>99</v>
      </c>
      <c r="C9" s="49"/>
      <c r="D9" s="49"/>
      <c r="E9" s="49"/>
      <c r="F9" s="49">
        <f>'Adj List'!D10</f>
        <v>278043.24</v>
      </c>
      <c r="G9" s="49"/>
      <c r="H9" s="49"/>
      <c r="I9" s="49"/>
      <c r="J9" s="49"/>
      <c r="K9" s="49"/>
      <c r="L9" s="49"/>
      <c r="M9" s="49"/>
      <c r="N9" s="49"/>
      <c r="O9" s="49"/>
      <c r="P9" s="49">
        <f>'Adj List'!D20</f>
        <v>-5768954.120000001</v>
      </c>
      <c r="Q9" s="49">
        <f>'Adj List'!D21</f>
        <v>0</v>
      </c>
      <c r="R9" s="49"/>
      <c r="S9" s="49"/>
      <c r="T9" s="49"/>
      <c r="U9" s="49"/>
      <c r="V9" s="49">
        <f>SUM(C9:U9)</f>
        <v>-5490910.8800000008</v>
      </c>
      <c r="W9" s="58"/>
      <c r="X9" s="58"/>
      <c r="Y9" s="58"/>
      <c r="Z9" s="49"/>
      <c r="AA9" s="49"/>
      <c r="AB9" s="49"/>
      <c r="AC9" s="49"/>
      <c r="AD9" s="49"/>
      <c r="AE9" s="49"/>
      <c r="AF9" s="49"/>
      <c r="AG9" s="49"/>
      <c r="AH9" s="49"/>
      <c r="AI9" s="58"/>
    </row>
    <row r="10" spans="1:35">
      <c r="A10" s="60">
        <f t="shared" si="0"/>
        <v>4</v>
      </c>
      <c r="B10" s="58" t="s">
        <v>266</v>
      </c>
      <c r="C10" s="49">
        <f>'Adj List'!D7</f>
        <v>-5899413.1100000003</v>
      </c>
      <c r="D10" s="49">
        <f>'Adj List'!D8</f>
        <v>-5862953.7300000004</v>
      </c>
      <c r="E10" s="49"/>
      <c r="F10" s="49"/>
      <c r="G10" s="49"/>
      <c r="H10" s="49"/>
      <c r="I10" s="49"/>
      <c r="J10" s="49"/>
      <c r="K10" s="49"/>
      <c r="L10" s="49"/>
      <c r="M10" s="49"/>
      <c r="N10" s="49"/>
      <c r="O10" s="49"/>
      <c r="P10" s="49"/>
      <c r="Q10" s="49"/>
      <c r="R10" s="49"/>
      <c r="S10" s="49"/>
      <c r="T10" s="49"/>
      <c r="U10" s="49"/>
      <c r="V10" s="49">
        <f t="shared" ref="V10:V47" si="1">SUM(C10:U10)</f>
        <v>-11762366.84</v>
      </c>
      <c r="W10" s="58"/>
      <c r="X10" s="67"/>
      <c r="Y10" s="67"/>
      <c r="Z10" s="49"/>
      <c r="AA10" s="49"/>
      <c r="AB10" s="49"/>
      <c r="AC10" s="49"/>
      <c r="AD10" s="49"/>
      <c r="AE10" s="49"/>
      <c r="AF10" s="49"/>
      <c r="AG10" s="49"/>
      <c r="AH10" s="49"/>
      <c r="AI10" s="58"/>
    </row>
    <row r="11" spans="1:35">
      <c r="A11" s="60">
        <f t="shared" si="0"/>
        <v>5</v>
      </c>
      <c r="B11" s="58" t="s">
        <v>100</v>
      </c>
      <c r="C11" s="49"/>
      <c r="D11" s="49"/>
      <c r="E11" s="49"/>
      <c r="F11" s="49"/>
      <c r="G11" s="49"/>
      <c r="H11" s="49"/>
      <c r="I11" s="49"/>
      <c r="J11" s="49"/>
      <c r="K11" s="49"/>
      <c r="L11" s="49"/>
      <c r="M11" s="49"/>
      <c r="N11" s="49"/>
      <c r="O11" s="49"/>
      <c r="P11" s="49"/>
      <c r="Q11" s="49"/>
      <c r="R11" s="49"/>
      <c r="S11" s="49"/>
      <c r="T11" s="49"/>
      <c r="U11" s="49"/>
      <c r="V11" s="68">
        <f t="shared" si="1"/>
        <v>0</v>
      </c>
      <c r="W11" s="58"/>
      <c r="X11" s="58"/>
      <c r="Y11" s="58"/>
      <c r="Z11" s="49"/>
      <c r="AA11" s="49"/>
      <c r="AB11" s="49"/>
      <c r="AC11" s="49"/>
      <c r="AD11" s="49"/>
      <c r="AE11" s="49"/>
      <c r="AF11" s="49"/>
      <c r="AG11" s="49"/>
      <c r="AH11" s="49"/>
      <c r="AI11" s="58"/>
    </row>
    <row r="12" spans="1:35">
      <c r="A12" s="60">
        <f t="shared" si="0"/>
        <v>6</v>
      </c>
      <c r="B12" s="69" t="s">
        <v>93</v>
      </c>
      <c r="C12" s="70">
        <f t="shared" ref="C12:T12" si="2">SUM(C7:C11)</f>
        <v>-5899413.1100000003</v>
      </c>
      <c r="D12" s="70">
        <f t="shared" si="2"/>
        <v>-5862953.7300000004</v>
      </c>
      <c r="E12" s="70">
        <f t="shared" si="2"/>
        <v>0</v>
      </c>
      <c r="F12" s="70">
        <f t="shared" si="2"/>
        <v>278043.24</v>
      </c>
      <c r="G12" s="70">
        <f t="shared" si="2"/>
        <v>0</v>
      </c>
      <c r="H12" s="70">
        <f t="shared" si="2"/>
        <v>0</v>
      </c>
      <c r="I12" s="70">
        <f t="shared" si="2"/>
        <v>0</v>
      </c>
      <c r="J12" s="70">
        <f t="shared" si="2"/>
        <v>0</v>
      </c>
      <c r="K12" s="70">
        <f t="shared" si="2"/>
        <v>0</v>
      </c>
      <c r="L12" s="70">
        <f t="shared" si="2"/>
        <v>0</v>
      </c>
      <c r="M12" s="70">
        <f t="shared" si="2"/>
        <v>0</v>
      </c>
      <c r="N12" s="70">
        <f t="shared" si="2"/>
        <v>0</v>
      </c>
      <c r="O12" s="70">
        <f>SUM(O7:O11)</f>
        <v>0</v>
      </c>
      <c r="P12" s="70">
        <f t="shared" si="2"/>
        <v>-5768954.120000001</v>
      </c>
      <c r="Q12" s="70">
        <f t="shared" si="2"/>
        <v>0</v>
      </c>
      <c r="R12" s="70">
        <f t="shared" si="2"/>
        <v>0</v>
      </c>
      <c r="S12" s="70">
        <f t="shared" si="2"/>
        <v>0</v>
      </c>
      <c r="T12" s="70">
        <f t="shared" si="2"/>
        <v>0</v>
      </c>
      <c r="U12" s="70"/>
      <c r="V12" s="70">
        <f t="shared" si="1"/>
        <v>-17253277.719999999</v>
      </c>
      <c r="W12" s="58"/>
      <c r="X12" s="49">
        <f>V12-'Adj List'!D29</f>
        <v>0</v>
      </c>
      <c r="Y12" s="58"/>
      <c r="Z12" s="49"/>
      <c r="AA12" s="49"/>
      <c r="AB12" s="49"/>
      <c r="AC12" s="49"/>
      <c r="AD12" s="49"/>
      <c r="AE12" s="49"/>
      <c r="AF12" s="49"/>
      <c r="AG12" s="49"/>
      <c r="AH12" s="49"/>
      <c r="AI12" s="58"/>
    </row>
    <row r="13" spans="1:35">
      <c r="A13" s="60">
        <f t="shared" si="0"/>
        <v>7</v>
      </c>
      <c r="B13" s="58"/>
      <c r="C13" s="71"/>
      <c r="D13" s="71"/>
      <c r="E13" s="71"/>
      <c r="F13" s="71"/>
      <c r="G13" s="71"/>
      <c r="H13" s="71"/>
      <c r="I13" s="71"/>
      <c r="J13" s="71"/>
      <c r="K13" s="71"/>
      <c r="L13" s="71"/>
      <c r="M13" s="71"/>
      <c r="N13" s="71"/>
      <c r="O13" s="71"/>
      <c r="P13" s="71"/>
      <c r="Q13" s="71"/>
      <c r="R13" s="71"/>
      <c r="S13" s="71"/>
      <c r="T13" s="71"/>
      <c r="U13" s="71"/>
      <c r="V13" s="71"/>
      <c r="W13" s="58"/>
      <c r="X13" s="58"/>
      <c r="Y13" s="58"/>
      <c r="Z13" s="49"/>
      <c r="AA13" s="49"/>
      <c r="AB13" s="49"/>
      <c r="AC13" s="49"/>
      <c r="AD13" s="49"/>
      <c r="AE13" s="49"/>
      <c r="AF13" s="49"/>
      <c r="AG13" s="49"/>
      <c r="AH13" s="49"/>
      <c r="AI13" s="58"/>
    </row>
    <row r="14" spans="1:35">
      <c r="A14" s="60">
        <f t="shared" si="0"/>
        <v>8</v>
      </c>
      <c r="B14" s="66" t="s">
        <v>73</v>
      </c>
      <c r="C14" s="49"/>
      <c r="D14" s="49"/>
      <c r="E14" s="49"/>
      <c r="F14" s="49"/>
      <c r="G14" s="49"/>
      <c r="H14" s="49"/>
      <c r="I14" s="49"/>
      <c r="J14" s="49"/>
      <c r="K14" s="49"/>
      <c r="L14" s="49"/>
      <c r="M14" s="49"/>
      <c r="N14" s="49"/>
      <c r="O14" s="49"/>
      <c r="P14" s="49"/>
      <c r="Q14" s="49"/>
      <c r="R14" s="49"/>
      <c r="S14" s="49"/>
      <c r="T14" s="49"/>
      <c r="U14" s="49"/>
      <c r="V14" s="49"/>
      <c r="W14" s="58"/>
      <c r="X14" s="58"/>
      <c r="Y14" s="58"/>
      <c r="Z14" s="49"/>
      <c r="AA14" s="49"/>
      <c r="AB14" s="49"/>
      <c r="AC14" s="49"/>
      <c r="AD14" s="49"/>
      <c r="AE14" s="49"/>
      <c r="AF14" s="49"/>
      <c r="AG14" s="49"/>
      <c r="AH14" s="49"/>
      <c r="AI14" s="58"/>
    </row>
    <row r="15" spans="1:35">
      <c r="A15" s="60">
        <f t="shared" si="0"/>
        <v>9</v>
      </c>
      <c r="B15" s="58" t="s">
        <v>74</v>
      </c>
      <c r="C15" s="49"/>
      <c r="D15" s="49"/>
      <c r="E15" s="49"/>
      <c r="F15" s="49"/>
      <c r="G15" s="49"/>
      <c r="H15" s="49"/>
      <c r="I15" s="49"/>
      <c r="J15" s="49"/>
      <c r="K15" s="49"/>
      <c r="L15" s="49"/>
      <c r="M15" s="49"/>
      <c r="N15" s="49"/>
      <c r="O15" s="49"/>
      <c r="P15" s="49"/>
      <c r="Q15" s="49"/>
      <c r="R15" s="49"/>
      <c r="S15" s="49"/>
      <c r="T15" s="49"/>
      <c r="U15" s="49"/>
      <c r="V15" s="49">
        <f t="shared" si="1"/>
        <v>0</v>
      </c>
      <c r="W15" s="58"/>
      <c r="X15" s="58"/>
      <c r="Y15" s="58"/>
      <c r="Z15" s="49"/>
      <c r="AA15" s="49"/>
      <c r="AB15" s="49"/>
      <c r="AC15" s="49"/>
      <c r="AD15" s="49"/>
      <c r="AE15" s="49"/>
      <c r="AF15" s="49"/>
      <c r="AG15" s="49"/>
      <c r="AH15" s="49"/>
      <c r="AI15" s="58"/>
    </row>
    <row r="16" spans="1:35">
      <c r="A16" s="60">
        <f t="shared" si="0"/>
        <v>10</v>
      </c>
      <c r="B16" s="58" t="s">
        <v>94</v>
      </c>
      <c r="C16" s="49"/>
      <c r="D16" s="49"/>
      <c r="E16" s="49"/>
      <c r="F16" s="49">
        <f>'Adj List'!E10</f>
        <v>199282.73</v>
      </c>
      <c r="G16" s="49"/>
      <c r="H16" s="49"/>
      <c r="I16" s="49"/>
      <c r="J16" s="49"/>
      <c r="K16" s="49"/>
      <c r="L16" s="49"/>
      <c r="M16" s="49"/>
      <c r="N16" s="49"/>
      <c r="O16" s="49"/>
      <c r="P16" s="49">
        <f>'Adj List'!E20</f>
        <v>-5335293</v>
      </c>
      <c r="Q16" s="49">
        <f>'Adj List'!E21</f>
        <v>0</v>
      </c>
      <c r="R16" s="49"/>
      <c r="S16" s="49"/>
      <c r="T16" s="49"/>
      <c r="U16" s="49"/>
      <c r="V16" s="49">
        <f t="shared" si="1"/>
        <v>-5136010.2699999996</v>
      </c>
      <c r="W16" s="58"/>
      <c r="X16" s="58"/>
      <c r="Y16" s="58"/>
      <c r="Z16" s="49"/>
      <c r="AA16" s="49"/>
      <c r="AB16" s="49"/>
      <c r="AC16" s="49"/>
      <c r="AD16" s="49"/>
      <c r="AE16" s="49"/>
      <c r="AF16" s="49"/>
      <c r="AG16" s="49"/>
      <c r="AH16" s="49"/>
      <c r="AI16" s="58"/>
    </row>
    <row r="17" spans="1:35">
      <c r="A17" s="60">
        <f t="shared" si="0"/>
        <v>11</v>
      </c>
      <c r="B17" s="58" t="s">
        <v>267</v>
      </c>
      <c r="C17" s="49">
        <f>'Adj List'!E7</f>
        <v>-5473319</v>
      </c>
      <c r="D17" s="49">
        <f>'Adj List'!E8</f>
        <v>-5926470</v>
      </c>
      <c r="E17" s="49"/>
      <c r="F17" s="49"/>
      <c r="G17" s="49"/>
      <c r="H17" s="49"/>
      <c r="I17" s="49"/>
      <c r="J17" s="49"/>
      <c r="K17" s="49"/>
      <c r="L17" s="49"/>
      <c r="M17" s="49"/>
      <c r="N17" s="49"/>
      <c r="O17" s="49"/>
      <c r="P17" s="49"/>
      <c r="Q17" s="49"/>
      <c r="R17" s="49"/>
      <c r="S17" s="49"/>
      <c r="T17" s="49"/>
      <c r="U17" s="49"/>
      <c r="V17" s="49">
        <f t="shared" si="1"/>
        <v>-11399789</v>
      </c>
      <c r="W17" s="58"/>
      <c r="X17" s="58"/>
      <c r="Y17" s="58"/>
      <c r="Z17" s="49"/>
      <c r="AA17" s="49"/>
      <c r="AB17" s="49"/>
      <c r="AC17" s="49"/>
      <c r="AD17" s="49"/>
      <c r="AE17" s="49"/>
      <c r="AF17" s="49"/>
      <c r="AG17" s="49"/>
      <c r="AH17" s="49"/>
      <c r="AI17" s="58"/>
    </row>
    <row r="18" spans="1:35">
      <c r="A18" s="60">
        <f t="shared" si="0"/>
        <v>12</v>
      </c>
      <c r="B18" s="58" t="s">
        <v>101</v>
      </c>
      <c r="C18" s="49"/>
      <c r="D18" s="49"/>
      <c r="E18" s="49"/>
      <c r="F18" s="49"/>
      <c r="G18" s="49"/>
      <c r="H18" s="49"/>
      <c r="I18" s="49"/>
      <c r="J18" s="49"/>
      <c r="K18" s="49"/>
      <c r="L18" s="49"/>
      <c r="M18" s="49"/>
      <c r="N18" s="49"/>
      <c r="O18" s="49"/>
      <c r="P18" s="49"/>
      <c r="Q18" s="49"/>
      <c r="R18" s="49"/>
      <c r="S18" s="49"/>
      <c r="T18" s="49"/>
      <c r="U18" s="49"/>
      <c r="V18" s="49">
        <f t="shared" si="1"/>
        <v>0</v>
      </c>
      <c r="W18" s="58"/>
      <c r="X18" s="58"/>
      <c r="Y18" s="58"/>
      <c r="Z18" s="49"/>
      <c r="AA18" s="49"/>
      <c r="AB18" s="49"/>
      <c r="AC18" s="49"/>
      <c r="AD18" s="49"/>
      <c r="AE18" s="49"/>
      <c r="AF18" s="49"/>
      <c r="AG18" s="49"/>
      <c r="AH18" s="49"/>
      <c r="AI18" s="58"/>
    </row>
    <row r="19" spans="1:35">
      <c r="A19" s="60">
        <f t="shared" si="0"/>
        <v>13</v>
      </c>
      <c r="B19" s="58" t="s">
        <v>102</v>
      </c>
      <c r="C19" s="49"/>
      <c r="D19" s="49"/>
      <c r="E19" s="49"/>
      <c r="F19" s="49"/>
      <c r="G19" s="49"/>
      <c r="H19" s="49"/>
      <c r="I19" s="49"/>
      <c r="J19" s="49"/>
      <c r="K19" s="49"/>
      <c r="L19" s="49"/>
      <c r="M19" s="49"/>
      <c r="N19" s="49"/>
      <c r="O19" s="49"/>
      <c r="P19" s="49"/>
      <c r="Q19" s="49"/>
      <c r="R19" s="49"/>
      <c r="S19" s="49"/>
      <c r="T19" s="49"/>
      <c r="U19" s="49"/>
      <c r="V19" s="49">
        <f t="shared" si="1"/>
        <v>0</v>
      </c>
      <c r="W19" s="58"/>
      <c r="X19" s="58"/>
      <c r="Y19" s="58"/>
      <c r="Z19" s="49"/>
      <c r="AA19" s="49"/>
      <c r="AB19" s="49"/>
      <c r="AC19" s="49"/>
      <c r="AD19" s="49"/>
      <c r="AE19" s="49"/>
      <c r="AF19" s="49"/>
      <c r="AG19" s="49"/>
      <c r="AH19" s="49"/>
      <c r="AI19" s="58"/>
    </row>
    <row r="20" spans="1:35">
      <c r="A20" s="60">
        <f t="shared" si="0"/>
        <v>14</v>
      </c>
      <c r="B20" s="58" t="s">
        <v>103</v>
      </c>
      <c r="C20" s="49"/>
      <c r="D20" s="49"/>
      <c r="E20" s="49"/>
      <c r="F20" s="49"/>
      <c r="G20" s="49"/>
      <c r="H20" s="49"/>
      <c r="I20" s="49"/>
      <c r="J20" s="49"/>
      <c r="K20" s="49"/>
      <c r="L20" s="49"/>
      <c r="M20" s="49"/>
      <c r="N20" s="49"/>
      <c r="O20" s="49"/>
      <c r="P20" s="49"/>
      <c r="Q20" s="49"/>
      <c r="R20" s="49"/>
      <c r="S20" s="49"/>
      <c r="T20" s="49"/>
      <c r="U20" s="49"/>
      <c r="V20" s="49">
        <f t="shared" si="1"/>
        <v>0</v>
      </c>
      <c r="W20" s="58"/>
      <c r="X20" s="58"/>
      <c r="Y20" s="58"/>
      <c r="Z20" s="49"/>
      <c r="AA20" s="49"/>
      <c r="AB20" s="49"/>
      <c r="AC20" s="49"/>
      <c r="AD20" s="49"/>
      <c r="AE20" s="49"/>
      <c r="AF20" s="49"/>
      <c r="AG20" s="49"/>
      <c r="AH20" s="49"/>
      <c r="AI20" s="58"/>
    </row>
    <row r="21" spans="1:35">
      <c r="A21" s="60">
        <f t="shared" si="0"/>
        <v>15</v>
      </c>
      <c r="B21" s="58" t="s">
        <v>78</v>
      </c>
      <c r="C21" s="49"/>
      <c r="D21" s="49"/>
      <c r="E21" s="49"/>
      <c r="F21" s="49"/>
      <c r="G21" s="49"/>
      <c r="H21" s="49"/>
      <c r="I21" s="49"/>
      <c r="J21" s="49"/>
      <c r="K21" s="49"/>
      <c r="L21" s="49"/>
      <c r="M21" s="49"/>
      <c r="N21" s="49"/>
      <c r="O21" s="49"/>
      <c r="P21" s="49"/>
      <c r="Q21" s="49"/>
      <c r="R21" s="49"/>
      <c r="S21" s="49"/>
      <c r="T21" s="49"/>
      <c r="U21" s="49"/>
      <c r="V21" s="49">
        <f t="shared" si="1"/>
        <v>0</v>
      </c>
      <c r="W21" s="58"/>
      <c r="X21" s="58"/>
      <c r="Y21" s="58"/>
      <c r="Z21" s="49"/>
      <c r="AA21" s="49"/>
      <c r="AB21" s="49"/>
      <c r="AC21" s="49"/>
      <c r="AD21" s="49"/>
      <c r="AE21" s="49"/>
      <c r="AF21" s="49"/>
      <c r="AG21" s="49"/>
      <c r="AH21" s="49"/>
      <c r="AI21" s="58"/>
    </row>
    <row r="22" spans="1:35">
      <c r="A22" s="60">
        <f t="shared" si="0"/>
        <v>16</v>
      </c>
      <c r="B22" s="58" t="s">
        <v>104</v>
      </c>
      <c r="C22" s="49"/>
      <c r="D22" s="49"/>
      <c r="E22" s="49"/>
      <c r="F22" s="49"/>
      <c r="G22" s="49"/>
      <c r="H22" s="49"/>
      <c r="I22" s="49"/>
      <c r="J22" s="49"/>
      <c r="K22" s="49"/>
      <c r="L22" s="49"/>
      <c r="M22" s="49"/>
      <c r="N22" s="49"/>
      <c r="O22" s="49"/>
      <c r="P22" s="49"/>
      <c r="Q22" s="49"/>
      <c r="R22" s="49"/>
      <c r="S22" s="49"/>
      <c r="T22" s="49"/>
      <c r="U22" s="49"/>
      <c r="V22" s="49">
        <f t="shared" si="1"/>
        <v>0</v>
      </c>
      <c r="W22" s="58"/>
      <c r="X22" s="58"/>
      <c r="Y22" s="58"/>
      <c r="Z22" s="49"/>
      <c r="AA22" s="49"/>
      <c r="AB22" s="49"/>
      <c r="AC22" s="49"/>
      <c r="AD22" s="49"/>
      <c r="AE22" s="49"/>
      <c r="AF22" s="49"/>
      <c r="AG22" s="49"/>
      <c r="AH22" s="49"/>
      <c r="AI22" s="58"/>
    </row>
    <row r="23" spans="1:35">
      <c r="A23" s="60">
        <f t="shared" si="0"/>
        <v>17</v>
      </c>
      <c r="B23" s="58" t="s">
        <v>105</v>
      </c>
      <c r="C23" s="49"/>
      <c r="D23" s="49"/>
      <c r="E23" s="49">
        <f>'Adj List'!E9</f>
        <v>53333.33</v>
      </c>
      <c r="F23" s="49"/>
      <c r="G23" s="49"/>
      <c r="H23" s="49">
        <f>'Adj List'!E12</f>
        <v>-234653.01</v>
      </c>
      <c r="I23" s="49">
        <f>'Adj List'!E13</f>
        <v>-1566.24</v>
      </c>
      <c r="J23" s="49">
        <f>'Adj List'!E14</f>
        <v>-6165.1999999999971</v>
      </c>
      <c r="K23" s="49">
        <f>'Adj List'!E15</f>
        <v>80568.94895824985</v>
      </c>
      <c r="L23" s="49">
        <f>'Adj List'!E16</f>
        <v>-3428.3333333333285</v>
      </c>
      <c r="M23" s="49">
        <f>'Adj List'!E17</f>
        <v>0</v>
      </c>
      <c r="N23" s="49"/>
      <c r="O23" s="49">
        <f>'Adj List'!E19</f>
        <v>-44597.669734681789</v>
      </c>
      <c r="P23" s="49"/>
      <c r="Q23" s="49"/>
      <c r="R23" s="49"/>
      <c r="S23" s="49"/>
      <c r="T23" s="49"/>
      <c r="U23" s="49"/>
      <c r="V23" s="49">
        <f t="shared" si="1"/>
        <v>-156508.17410976527</v>
      </c>
      <c r="W23" s="58"/>
      <c r="X23" s="58"/>
      <c r="Y23" s="58"/>
      <c r="Z23" s="49"/>
      <c r="AA23" s="49"/>
      <c r="AB23" s="49"/>
      <c r="AC23" s="49"/>
      <c r="AD23" s="49"/>
      <c r="AE23" s="49"/>
      <c r="AF23" s="49"/>
      <c r="AG23" s="49"/>
      <c r="AH23" s="49"/>
      <c r="AI23" s="58"/>
    </row>
    <row r="24" spans="1:35">
      <c r="A24" s="60">
        <f t="shared" si="0"/>
        <v>18</v>
      </c>
      <c r="B24" s="69" t="s">
        <v>95</v>
      </c>
      <c r="C24" s="70">
        <f t="shared" ref="C24:T24" si="3">SUM(C15:C23)</f>
        <v>-5473319</v>
      </c>
      <c r="D24" s="70">
        <f t="shared" si="3"/>
        <v>-5926470</v>
      </c>
      <c r="E24" s="70">
        <f t="shared" si="3"/>
        <v>53333.33</v>
      </c>
      <c r="F24" s="70">
        <f t="shared" si="3"/>
        <v>199282.73</v>
      </c>
      <c r="G24" s="70">
        <f t="shared" si="3"/>
        <v>0</v>
      </c>
      <c r="H24" s="70">
        <f t="shared" si="3"/>
        <v>-234653.01</v>
      </c>
      <c r="I24" s="70">
        <f t="shared" si="3"/>
        <v>-1566.24</v>
      </c>
      <c r="J24" s="70">
        <f t="shared" si="3"/>
        <v>-6165.1999999999971</v>
      </c>
      <c r="K24" s="70">
        <f t="shared" si="3"/>
        <v>80568.94895824985</v>
      </c>
      <c r="L24" s="70">
        <f t="shared" si="3"/>
        <v>-3428.3333333333285</v>
      </c>
      <c r="M24" s="70">
        <f t="shared" si="3"/>
        <v>0</v>
      </c>
      <c r="N24" s="70">
        <f t="shared" si="3"/>
        <v>0</v>
      </c>
      <c r="O24" s="70">
        <f>SUM(O15:O23)</f>
        <v>-44597.669734681789</v>
      </c>
      <c r="P24" s="70">
        <f t="shared" si="3"/>
        <v>-5335293</v>
      </c>
      <c r="Q24" s="70">
        <f t="shared" si="3"/>
        <v>0</v>
      </c>
      <c r="R24" s="70">
        <f t="shared" si="3"/>
        <v>0</v>
      </c>
      <c r="S24" s="70">
        <f t="shared" si="3"/>
        <v>0</v>
      </c>
      <c r="T24" s="70">
        <f t="shared" si="3"/>
        <v>0</v>
      </c>
      <c r="U24" s="70">
        <f>SUM(U15:U23)</f>
        <v>0</v>
      </c>
      <c r="V24" s="70">
        <f t="shared" si="1"/>
        <v>-16692307.444109764</v>
      </c>
      <c r="W24" s="58"/>
      <c r="X24" s="49"/>
      <c r="Y24" s="58"/>
      <c r="Z24" s="49"/>
      <c r="AA24" s="49"/>
      <c r="AB24" s="49"/>
      <c r="AC24" s="49"/>
      <c r="AD24" s="49"/>
      <c r="AE24" s="49"/>
      <c r="AF24" s="49"/>
      <c r="AG24" s="49"/>
      <c r="AH24" s="49"/>
      <c r="AI24" s="58"/>
    </row>
    <row r="25" spans="1:35">
      <c r="A25" s="60">
        <f t="shared" si="0"/>
        <v>19</v>
      </c>
      <c r="B25" s="58"/>
      <c r="C25" s="71"/>
      <c r="D25" s="71"/>
      <c r="E25" s="71"/>
      <c r="F25" s="71"/>
      <c r="G25" s="71"/>
      <c r="H25" s="71"/>
      <c r="I25" s="71"/>
      <c r="J25" s="71"/>
      <c r="K25" s="71"/>
      <c r="L25" s="71"/>
      <c r="M25" s="71"/>
      <c r="N25" s="71"/>
      <c r="O25" s="71"/>
      <c r="P25" s="71"/>
      <c r="Q25" s="71"/>
      <c r="R25" s="71"/>
      <c r="S25" s="71"/>
      <c r="T25" s="71"/>
      <c r="U25" s="71"/>
      <c r="V25" s="71"/>
      <c r="W25" s="58"/>
      <c r="X25" s="58"/>
      <c r="Y25" s="58"/>
      <c r="Z25" s="49"/>
      <c r="AA25" s="49"/>
      <c r="AB25" s="49"/>
      <c r="AC25" s="49"/>
      <c r="AD25" s="49"/>
      <c r="AE25" s="49"/>
      <c r="AF25" s="49"/>
      <c r="AG25" s="49"/>
      <c r="AH25" s="49"/>
      <c r="AI25" s="58"/>
    </row>
    <row r="26" spans="1:35">
      <c r="A26" s="60">
        <f t="shared" si="0"/>
        <v>20</v>
      </c>
      <c r="B26" s="58" t="s">
        <v>29</v>
      </c>
      <c r="C26" s="49"/>
      <c r="D26" s="49"/>
      <c r="E26" s="49"/>
      <c r="F26" s="49"/>
      <c r="G26" s="49">
        <f>'Adj List'!E11</f>
        <v>148112.03999999998</v>
      </c>
      <c r="H26" s="49"/>
      <c r="I26" s="49"/>
      <c r="J26" s="49"/>
      <c r="K26" s="49"/>
      <c r="L26" s="49"/>
      <c r="M26" s="49"/>
      <c r="N26" s="49"/>
      <c r="O26" s="49"/>
      <c r="P26" s="49"/>
      <c r="Q26" s="49"/>
      <c r="R26" s="49"/>
      <c r="S26" s="49"/>
      <c r="T26" s="49"/>
      <c r="U26" s="49"/>
      <c r="V26" s="49">
        <f t="shared" si="1"/>
        <v>148112.03999999998</v>
      </c>
      <c r="W26" s="58"/>
      <c r="X26" s="58"/>
      <c r="Y26" s="58"/>
      <c r="Z26" s="49"/>
      <c r="AA26" s="49"/>
      <c r="AB26" s="49"/>
      <c r="AC26" s="49"/>
      <c r="AD26" s="49"/>
      <c r="AE26" s="49"/>
      <c r="AF26" s="49"/>
      <c r="AG26" s="49"/>
      <c r="AH26" s="49"/>
      <c r="AI26" s="58"/>
    </row>
    <row r="27" spans="1:35">
      <c r="A27" s="60">
        <f t="shared" si="0"/>
        <v>21</v>
      </c>
      <c r="B27" s="58" t="s">
        <v>83</v>
      </c>
      <c r="C27" s="49"/>
      <c r="D27" s="49"/>
      <c r="E27" s="49"/>
      <c r="F27" s="49"/>
      <c r="G27" s="49"/>
      <c r="H27" s="49"/>
      <c r="I27" s="49"/>
      <c r="J27" s="49"/>
      <c r="K27" s="49"/>
      <c r="L27" s="49"/>
      <c r="M27" s="49"/>
      <c r="N27" s="49"/>
      <c r="O27" s="49"/>
      <c r="P27" s="49"/>
      <c r="Q27" s="49"/>
      <c r="R27" s="49"/>
      <c r="S27" s="49"/>
      <c r="T27" s="49"/>
      <c r="U27" s="49"/>
      <c r="V27" s="49">
        <f t="shared" si="1"/>
        <v>0</v>
      </c>
      <c r="W27" s="58"/>
      <c r="X27" s="58"/>
      <c r="Y27" s="58"/>
      <c r="Z27" s="49"/>
      <c r="AA27" s="49"/>
      <c r="AB27" s="49"/>
      <c r="AC27" s="49"/>
      <c r="AD27" s="49"/>
      <c r="AE27" s="49"/>
      <c r="AF27" s="49"/>
      <c r="AG27" s="49"/>
      <c r="AH27" s="49"/>
      <c r="AI27" s="58"/>
    </row>
    <row r="28" spans="1:35">
      <c r="A28" s="60">
        <f t="shared" si="0"/>
        <v>22</v>
      </c>
      <c r="B28" s="58" t="s">
        <v>97</v>
      </c>
      <c r="C28" s="49"/>
      <c r="D28" s="49"/>
      <c r="E28" s="49"/>
      <c r="F28" s="49"/>
      <c r="G28" s="49"/>
      <c r="H28" s="49"/>
      <c r="I28" s="49"/>
      <c r="J28" s="49"/>
      <c r="K28" s="49"/>
      <c r="L28" s="49"/>
      <c r="M28" s="49"/>
      <c r="N28" s="49">
        <f>'Adj List'!E18</f>
        <v>-130541.4700000002</v>
      </c>
      <c r="O28" s="49"/>
      <c r="P28" s="49"/>
      <c r="Q28" s="49"/>
      <c r="R28" s="49"/>
      <c r="S28" s="49"/>
      <c r="T28" s="49"/>
      <c r="U28" s="49"/>
      <c r="V28" s="49">
        <f t="shared" si="1"/>
        <v>-130541.4700000002</v>
      </c>
      <c r="W28" s="58"/>
      <c r="X28" s="58"/>
      <c r="Y28" s="58"/>
      <c r="Z28" s="49"/>
      <c r="AA28" s="49"/>
      <c r="AB28" s="49"/>
      <c r="AC28" s="49"/>
      <c r="AD28" s="49"/>
      <c r="AE28" s="49"/>
      <c r="AF28" s="49"/>
      <c r="AG28" s="49"/>
      <c r="AH28" s="49"/>
      <c r="AI28" s="58"/>
    </row>
    <row r="29" spans="1:35">
      <c r="A29" s="60">
        <f>(A28+1)</f>
        <v>23</v>
      </c>
      <c r="B29" s="58" t="s">
        <v>98</v>
      </c>
      <c r="C29" s="49"/>
      <c r="D29" s="49"/>
      <c r="E29" s="49"/>
      <c r="F29" s="49"/>
      <c r="G29" s="49"/>
      <c r="H29" s="49"/>
      <c r="I29" s="49"/>
      <c r="J29" s="49"/>
      <c r="K29" s="49"/>
      <c r="L29" s="49"/>
      <c r="M29" s="49"/>
      <c r="N29" s="49"/>
      <c r="O29" s="49"/>
      <c r="P29" s="49"/>
      <c r="Q29" s="49"/>
      <c r="R29" s="49"/>
      <c r="S29" s="49"/>
      <c r="T29" s="49"/>
      <c r="U29" s="49"/>
      <c r="V29" s="49">
        <f t="shared" si="1"/>
        <v>0</v>
      </c>
      <c r="W29" s="58"/>
      <c r="X29" s="58"/>
      <c r="Y29" s="58"/>
      <c r="Z29" s="49"/>
      <c r="AA29" s="49"/>
      <c r="AB29" s="49"/>
      <c r="AC29" s="49"/>
      <c r="AD29" s="49"/>
      <c r="AE29" s="49"/>
      <c r="AF29" s="49"/>
      <c r="AG29" s="49"/>
      <c r="AH29" s="49"/>
      <c r="AI29" s="58"/>
    </row>
    <row r="30" spans="1:35">
      <c r="A30" s="60">
        <f>(A29+1)</f>
        <v>24</v>
      </c>
      <c r="B30" s="58" t="s">
        <v>85</v>
      </c>
      <c r="C30" s="49"/>
      <c r="D30" s="49"/>
      <c r="E30" s="49"/>
      <c r="F30" s="49"/>
      <c r="G30" s="49"/>
      <c r="H30" s="49"/>
      <c r="I30" s="49"/>
      <c r="J30" s="49"/>
      <c r="K30" s="49"/>
      <c r="L30" s="49"/>
      <c r="M30" s="49"/>
      <c r="N30" s="49"/>
      <c r="O30" s="49"/>
      <c r="P30" s="49"/>
      <c r="Q30" s="49"/>
      <c r="R30" s="49"/>
      <c r="S30" s="49"/>
      <c r="T30" s="49"/>
      <c r="U30" s="49"/>
      <c r="V30" s="49">
        <f t="shared" si="1"/>
        <v>0</v>
      </c>
      <c r="W30" s="58"/>
      <c r="X30" s="58"/>
      <c r="Y30" s="58"/>
      <c r="Z30" s="49"/>
      <c r="AA30" s="49"/>
      <c r="AB30" s="49"/>
      <c r="AC30" s="49"/>
      <c r="AD30" s="49"/>
      <c r="AE30" s="49"/>
      <c r="AF30" s="49"/>
      <c r="AG30" s="49"/>
      <c r="AH30" s="49"/>
      <c r="AI30" s="58"/>
    </row>
    <row r="31" spans="1:35">
      <c r="A31" s="60">
        <f t="shared" si="0"/>
        <v>25</v>
      </c>
      <c r="B31" s="69" t="s">
        <v>33</v>
      </c>
      <c r="C31" s="70">
        <f t="shared" ref="C31:T31" si="4">SUM(C24:C30)</f>
        <v>-5473319</v>
      </c>
      <c r="D31" s="70">
        <f t="shared" si="4"/>
        <v>-5926470</v>
      </c>
      <c r="E31" s="70">
        <f t="shared" si="4"/>
        <v>53333.33</v>
      </c>
      <c r="F31" s="70">
        <f t="shared" si="4"/>
        <v>199282.73</v>
      </c>
      <c r="G31" s="70">
        <f t="shared" si="4"/>
        <v>148112.03999999998</v>
      </c>
      <c r="H31" s="70">
        <f t="shared" si="4"/>
        <v>-234653.01</v>
      </c>
      <c r="I31" s="70">
        <f t="shared" si="4"/>
        <v>-1566.24</v>
      </c>
      <c r="J31" s="70">
        <f t="shared" si="4"/>
        <v>-6165.1999999999971</v>
      </c>
      <c r="K31" s="70">
        <f t="shared" si="4"/>
        <v>80568.94895824985</v>
      </c>
      <c r="L31" s="70">
        <f t="shared" si="4"/>
        <v>-3428.3333333333285</v>
      </c>
      <c r="M31" s="70">
        <f t="shared" si="4"/>
        <v>0</v>
      </c>
      <c r="N31" s="70">
        <f t="shared" si="4"/>
        <v>-130541.4700000002</v>
      </c>
      <c r="O31" s="70">
        <f>SUM(O24:O30)</f>
        <v>-44597.669734681789</v>
      </c>
      <c r="P31" s="70">
        <f t="shared" si="4"/>
        <v>-5335293</v>
      </c>
      <c r="Q31" s="70">
        <f t="shared" si="4"/>
        <v>0</v>
      </c>
      <c r="R31" s="70">
        <f t="shared" si="4"/>
        <v>0</v>
      </c>
      <c r="S31" s="70">
        <f t="shared" si="4"/>
        <v>0</v>
      </c>
      <c r="T31" s="70">
        <f t="shared" si="4"/>
        <v>0</v>
      </c>
      <c r="U31" s="70">
        <f>SUM(U24:U30)</f>
        <v>0</v>
      </c>
      <c r="V31" s="70">
        <f t="shared" si="1"/>
        <v>-16674736.874109766</v>
      </c>
      <c r="W31" s="58"/>
      <c r="X31" s="49">
        <f>V31-'Adj List'!E29</f>
        <v>0</v>
      </c>
      <c r="Y31" s="58"/>
      <c r="Z31" s="49"/>
      <c r="AA31" s="49"/>
      <c r="AB31" s="49"/>
      <c r="AC31" s="49"/>
      <c r="AD31" s="49"/>
      <c r="AE31" s="49"/>
      <c r="AF31" s="49"/>
      <c r="AG31" s="49"/>
      <c r="AH31" s="49"/>
      <c r="AI31" s="58"/>
    </row>
    <row r="32" spans="1:35">
      <c r="A32" s="60">
        <f t="shared" si="0"/>
        <v>26</v>
      </c>
      <c r="B32" s="58"/>
      <c r="C32" s="71"/>
      <c r="D32" s="71"/>
      <c r="E32" s="71"/>
      <c r="F32" s="71"/>
      <c r="G32" s="71"/>
      <c r="H32" s="71"/>
      <c r="I32" s="71"/>
      <c r="J32" s="71"/>
      <c r="K32" s="71"/>
      <c r="L32" s="71"/>
      <c r="M32" s="71"/>
      <c r="N32" s="71"/>
      <c r="O32" s="71"/>
      <c r="P32" s="71"/>
      <c r="Q32" s="71"/>
      <c r="R32" s="71"/>
      <c r="S32" s="71"/>
      <c r="T32" s="71"/>
      <c r="U32" s="71"/>
      <c r="V32" s="71"/>
      <c r="W32" s="58"/>
      <c r="X32" s="58"/>
      <c r="Y32" s="58"/>
      <c r="Z32" s="49"/>
      <c r="AA32" s="49"/>
      <c r="AB32" s="49"/>
      <c r="AC32" s="49"/>
      <c r="AD32" s="49"/>
      <c r="AE32" s="49"/>
      <c r="AF32" s="49"/>
      <c r="AG32" s="49"/>
      <c r="AH32" s="49"/>
      <c r="AI32" s="58"/>
    </row>
    <row r="33" spans="1:35">
      <c r="A33" s="60">
        <f t="shared" si="0"/>
        <v>27</v>
      </c>
      <c r="B33" s="58" t="s">
        <v>86</v>
      </c>
      <c r="C33" s="49">
        <f t="shared" ref="C33:T33" si="5">(+C12-C31)</f>
        <v>-426094.11000000034</v>
      </c>
      <c r="D33" s="49">
        <f t="shared" si="5"/>
        <v>63516.269999999553</v>
      </c>
      <c r="E33" s="49">
        <f t="shared" si="5"/>
        <v>-53333.33</v>
      </c>
      <c r="F33" s="49">
        <f t="shared" si="5"/>
        <v>78760.50999999998</v>
      </c>
      <c r="G33" s="49">
        <f t="shared" si="5"/>
        <v>-148112.03999999998</v>
      </c>
      <c r="H33" s="49">
        <f t="shared" si="5"/>
        <v>234653.01</v>
      </c>
      <c r="I33" s="49">
        <f t="shared" si="5"/>
        <v>1566.24</v>
      </c>
      <c r="J33" s="49">
        <f t="shared" si="5"/>
        <v>6165.1999999999971</v>
      </c>
      <c r="K33" s="49">
        <f t="shared" si="5"/>
        <v>-80568.94895824985</v>
      </c>
      <c r="L33" s="49">
        <f t="shared" si="5"/>
        <v>3428.3333333333285</v>
      </c>
      <c r="M33" s="49">
        <f t="shared" si="5"/>
        <v>0</v>
      </c>
      <c r="N33" s="49">
        <f t="shared" si="5"/>
        <v>130541.4700000002</v>
      </c>
      <c r="O33" s="49">
        <f>(+O12-O31)</f>
        <v>44597.669734681789</v>
      </c>
      <c r="P33" s="49">
        <f t="shared" si="5"/>
        <v>-433661.12000000104</v>
      </c>
      <c r="Q33" s="49">
        <f t="shared" si="5"/>
        <v>0</v>
      </c>
      <c r="R33" s="49">
        <f t="shared" si="5"/>
        <v>0</v>
      </c>
      <c r="S33" s="49">
        <f t="shared" si="5"/>
        <v>0</v>
      </c>
      <c r="T33" s="49">
        <f t="shared" si="5"/>
        <v>0</v>
      </c>
      <c r="U33" s="49">
        <f>(+U12-U31)</f>
        <v>0</v>
      </c>
      <c r="V33" s="49">
        <f t="shared" si="1"/>
        <v>-578540.84589023644</v>
      </c>
      <c r="W33" s="58"/>
      <c r="X33" s="58"/>
      <c r="Y33" s="58"/>
      <c r="Z33" s="49"/>
      <c r="AA33" s="49"/>
      <c r="AB33" s="49"/>
      <c r="AC33" s="49"/>
      <c r="AD33" s="49"/>
      <c r="AE33" s="49"/>
      <c r="AF33" s="49"/>
      <c r="AG33" s="49"/>
      <c r="AH33" s="49"/>
      <c r="AI33" s="58"/>
    </row>
    <row r="34" spans="1:35">
      <c r="A34" s="60">
        <f t="shared" si="0"/>
        <v>28</v>
      </c>
      <c r="B34" s="58"/>
      <c r="C34" s="71"/>
      <c r="D34" s="71"/>
      <c r="E34" s="71"/>
      <c r="F34" s="71"/>
      <c r="G34" s="71"/>
      <c r="H34" s="71"/>
      <c r="I34" s="71"/>
      <c r="J34" s="71"/>
      <c r="K34" s="71"/>
      <c r="L34" s="71"/>
      <c r="M34" s="71"/>
      <c r="N34" s="71"/>
      <c r="O34" s="71"/>
      <c r="P34" s="71"/>
      <c r="Q34" s="71"/>
      <c r="R34" s="71"/>
      <c r="S34" s="71"/>
      <c r="T34" s="71"/>
      <c r="U34" s="71"/>
      <c r="V34" s="71"/>
      <c r="W34" s="58"/>
      <c r="X34" s="58"/>
      <c r="Y34" s="58"/>
      <c r="Z34" s="49"/>
      <c r="AA34" s="49"/>
      <c r="AB34" s="49"/>
      <c r="AC34" s="49"/>
      <c r="AD34" s="49"/>
      <c r="AE34" s="49"/>
      <c r="AF34" s="49"/>
      <c r="AG34" s="49"/>
      <c r="AH34" s="49"/>
      <c r="AI34" s="58"/>
    </row>
    <row r="35" spans="1:35">
      <c r="A35" s="60">
        <f t="shared" si="0"/>
        <v>29</v>
      </c>
      <c r="B35" s="58" t="s">
        <v>34</v>
      </c>
      <c r="C35" s="49"/>
      <c r="D35" s="49"/>
      <c r="E35" s="49"/>
      <c r="F35" s="49"/>
      <c r="G35" s="49"/>
      <c r="H35" s="49"/>
      <c r="I35" s="49"/>
      <c r="J35" s="49"/>
      <c r="K35" s="49"/>
      <c r="L35" s="49"/>
      <c r="M35" s="49"/>
      <c r="N35" s="49"/>
      <c r="O35" s="49"/>
      <c r="P35" s="49"/>
      <c r="Q35" s="49"/>
      <c r="R35" s="49"/>
      <c r="S35" s="49"/>
      <c r="T35" s="49"/>
      <c r="U35" s="49"/>
      <c r="V35" s="49">
        <f t="shared" si="1"/>
        <v>0</v>
      </c>
      <c r="W35" s="58"/>
      <c r="X35" s="58"/>
      <c r="Y35" s="58"/>
      <c r="Z35" s="49"/>
      <c r="AA35" s="49"/>
      <c r="AB35" s="49"/>
      <c r="AC35" s="49"/>
      <c r="AD35" s="49"/>
      <c r="AE35" s="49"/>
      <c r="AF35" s="49"/>
      <c r="AG35" s="49"/>
      <c r="AH35" s="49"/>
      <c r="AI35" s="58"/>
    </row>
    <row r="36" spans="1:35">
      <c r="A36" s="60" t="s">
        <v>208</v>
      </c>
      <c r="B36" s="58" t="s">
        <v>209</v>
      </c>
      <c r="C36" s="49"/>
      <c r="D36" s="49"/>
      <c r="E36" s="49"/>
      <c r="F36" s="49"/>
      <c r="G36" s="49"/>
      <c r="H36" s="49"/>
      <c r="I36" s="49"/>
      <c r="J36" s="49"/>
      <c r="K36" s="49"/>
      <c r="L36" s="49"/>
      <c r="M36" s="49"/>
      <c r="N36" s="49"/>
      <c r="O36" s="49"/>
      <c r="P36" s="49"/>
      <c r="Q36" s="49"/>
      <c r="R36" s="49"/>
      <c r="S36" s="49"/>
      <c r="T36" s="49"/>
      <c r="U36" s="49"/>
      <c r="V36" s="49"/>
      <c r="W36" s="58"/>
      <c r="X36" s="58"/>
      <c r="Y36" s="58"/>
      <c r="Z36" s="49"/>
      <c r="AA36" s="49"/>
      <c r="AB36" s="49"/>
      <c r="AC36" s="49"/>
      <c r="AD36" s="49"/>
      <c r="AE36" s="49"/>
      <c r="AF36" s="49"/>
      <c r="AG36" s="49"/>
      <c r="AH36" s="49"/>
      <c r="AI36" s="58"/>
    </row>
    <row r="37" spans="1:35">
      <c r="A37" s="60">
        <f>(A35+1)</f>
        <v>30</v>
      </c>
      <c r="B37" s="58" t="s">
        <v>35</v>
      </c>
      <c r="C37" s="49"/>
      <c r="D37" s="49"/>
      <c r="E37" s="49"/>
      <c r="F37" s="49"/>
      <c r="G37" s="49"/>
      <c r="H37" s="49"/>
      <c r="I37" s="49"/>
      <c r="J37" s="49"/>
      <c r="K37" s="49"/>
      <c r="L37" s="49"/>
      <c r="M37" s="49"/>
      <c r="N37" s="49"/>
      <c r="O37" s="49"/>
      <c r="P37" s="49"/>
      <c r="Q37" s="49"/>
      <c r="R37" s="49"/>
      <c r="S37" s="49"/>
      <c r="T37" s="49"/>
      <c r="U37" s="49"/>
      <c r="V37" s="49">
        <f t="shared" si="1"/>
        <v>0</v>
      </c>
      <c r="W37" s="58"/>
      <c r="X37" s="58"/>
      <c r="Y37" s="58"/>
      <c r="Z37" s="49"/>
      <c r="AA37" s="49"/>
      <c r="AB37" s="49"/>
      <c r="AC37" s="49"/>
      <c r="AD37" s="49"/>
      <c r="AE37" s="49"/>
      <c r="AF37" s="49"/>
      <c r="AG37" s="49"/>
      <c r="AH37" s="49"/>
      <c r="AI37" s="58"/>
    </row>
    <row r="38" spans="1:35">
      <c r="A38" s="60">
        <f t="shared" si="0"/>
        <v>31</v>
      </c>
      <c r="B38" s="58" t="s">
        <v>31</v>
      </c>
      <c r="C38" s="49"/>
      <c r="D38" s="49"/>
      <c r="E38" s="49"/>
      <c r="F38" s="49"/>
      <c r="G38" s="49"/>
      <c r="H38" s="49"/>
      <c r="I38" s="49"/>
      <c r="J38" s="49"/>
      <c r="K38" s="49"/>
      <c r="L38" s="49"/>
      <c r="M38" s="49">
        <f>'Adj List'!F17</f>
        <v>-739072</v>
      </c>
      <c r="N38" s="49">
        <f>'Adj List'!F18</f>
        <v>0</v>
      </c>
      <c r="O38" s="49"/>
      <c r="P38" s="49"/>
      <c r="Q38" s="49"/>
      <c r="R38" s="49"/>
      <c r="S38" s="49"/>
      <c r="T38" s="49"/>
      <c r="U38" s="49"/>
      <c r="V38" s="49">
        <f t="shared" si="1"/>
        <v>-739072</v>
      </c>
      <c r="W38" s="58"/>
      <c r="X38" s="58"/>
      <c r="Y38" s="58"/>
      <c r="Z38" s="49"/>
      <c r="AA38" s="49"/>
      <c r="AB38" s="49"/>
      <c r="AC38" s="49"/>
      <c r="AD38" s="49"/>
      <c r="AE38" s="49"/>
      <c r="AF38" s="49"/>
      <c r="AG38" s="49"/>
      <c r="AH38" s="49"/>
      <c r="AI38" s="58"/>
    </row>
    <row r="39" spans="1:35">
      <c r="A39" s="60">
        <f t="shared" si="0"/>
        <v>32</v>
      </c>
      <c r="B39" s="58" t="s">
        <v>87</v>
      </c>
      <c r="C39" s="49"/>
      <c r="D39" s="49"/>
      <c r="E39" s="49"/>
      <c r="F39" s="49"/>
      <c r="G39" s="49"/>
      <c r="H39" s="49"/>
      <c r="I39" s="49"/>
      <c r="J39" s="49"/>
      <c r="K39" s="49"/>
      <c r="L39" s="49"/>
      <c r="M39" s="49"/>
      <c r="N39" s="49"/>
      <c r="O39" s="49"/>
      <c r="P39" s="49"/>
      <c r="Q39" s="49"/>
      <c r="R39" s="49"/>
      <c r="S39" s="49"/>
      <c r="T39" s="49"/>
      <c r="U39" s="49"/>
      <c r="V39" s="49">
        <f t="shared" si="1"/>
        <v>0</v>
      </c>
      <c r="W39" s="58"/>
      <c r="X39" s="58"/>
      <c r="Y39" s="58"/>
      <c r="Z39" s="49"/>
      <c r="AA39" s="49"/>
      <c r="AB39" s="49"/>
      <c r="AC39" s="49"/>
      <c r="AD39" s="49"/>
      <c r="AE39" s="49"/>
      <c r="AF39" s="49"/>
      <c r="AG39" s="49"/>
      <c r="AH39" s="49"/>
      <c r="AI39" s="58"/>
    </row>
    <row r="40" spans="1:35">
      <c r="A40" s="60">
        <f t="shared" si="0"/>
        <v>33</v>
      </c>
      <c r="B40" s="69" t="s">
        <v>96</v>
      </c>
      <c r="C40" s="70">
        <f t="shared" ref="C40:T40" si="6">SUM(C35:C39)</f>
        <v>0</v>
      </c>
      <c r="D40" s="70">
        <f t="shared" si="6"/>
        <v>0</v>
      </c>
      <c r="E40" s="70">
        <f t="shared" si="6"/>
        <v>0</v>
      </c>
      <c r="F40" s="70">
        <f t="shared" si="6"/>
        <v>0</v>
      </c>
      <c r="G40" s="70">
        <f t="shared" si="6"/>
        <v>0</v>
      </c>
      <c r="H40" s="70">
        <f t="shared" si="6"/>
        <v>0</v>
      </c>
      <c r="I40" s="70">
        <f t="shared" si="6"/>
        <v>0</v>
      </c>
      <c r="J40" s="70">
        <f t="shared" si="6"/>
        <v>0</v>
      </c>
      <c r="K40" s="70">
        <f t="shared" si="6"/>
        <v>0</v>
      </c>
      <c r="L40" s="70">
        <f t="shared" si="6"/>
        <v>0</v>
      </c>
      <c r="M40" s="70">
        <f t="shared" si="6"/>
        <v>-739072</v>
      </c>
      <c r="N40" s="70">
        <f t="shared" si="6"/>
        <v>0</v>
      </c>
      <c r="O40" s="70">
        <f>SUM(O35:O39)</f>
        <v>0</v>
      </c>
      <c r="P40" s="70">
        <f t="shared" si="6"/>
        <v>0</v>
      </c>
      <c r="Q40" s="70">
        <f t="shared" si="6"/>
        <v>0</v>
      </c>
      <c r="R40" s="70">
        <f t="shared" si="6"/>
        <v>0</v>
      </c>
      <c r="S40" s="70">
        <f t="shared" si="6"/>
        <v>0</v>
      </c>
      <c r="T40" s="70">
        <f t="shared" si="6"/>
        <v>0</v>
      </c>
      <c r="U40" s="70">
        <f>SUM(U35:U39)</f>
        <v>0</v>
      </c>
      <c r="V40" s="70">
        <f t="shared" si="1"/>
        <v>-739072</v>
      </c>
      <c r="W40" s="58"/>
      <c r="X40" s="49">
        <f>V40-'Adj List'!F29</f>
        <v>0</v>
      </c>
      <c r="Y40" s="58"/>
      <c r="Z40" s="49"/>
      <c r="AA40" s="49"/>
      <c r="AB40" s="49"/>
      <c r="AC40" s="49"/>
      <c r="AD40" s="49"/>
      <c r="AE40" s="49"/>
      <c r="AF40" s="49"/>
      <c r="AG40" s="49"/>
      <c r="AH40" s="49"/>
      <c r="AI40" s="58"/>
    </row>
    <row r="41" spans="1:35">
      <c r="A41" s="60">
        <f t="shared" si="0"/>
        <v>34</v>
      </c>
      <c r="B41" s="58"/>
      <c r="C41" s="49"/>
      <c r="D41" s="49"/>
      <c r="E41" s="49"/>
      <c r="F41" s="49"/>
      <c r="G41" s="49"/>
      <c r="H41" s="49"/>
      <c r="I41" s="49"/>
      <c r="J41" s="49"/>
      <c r="K41" s="49"/>
      <c r="L41" s="49"/>
      <c r="M41" s="49"/>
      <c r="N41" s="49"/>
      <c r="O41" s="49"/>
      <c r="P41" s="49"/>
      <c r="Q41" s="49"/>
      <c r="R41" s="49"/>
      <c r="S41" s="49"/>
      <c r="T41" s="49"/>
      <c r="U41" s="49"/>
      <c r="V41" s="49"/>
      <c r="W41" s="58"/>
      <c r="X41" s="58"/>
      <c r="Y41" s="58"/>
      <c r="Z41" s="49"/>
      <c r="AA41" s="49"/>
      <c r="AB41" s="49"/>
      <c r="AC41" s="49"/>
      <c r="AD41" s="49"/>
      <c r="AE41" s="49"/>
      <c r="AF41" s="49"/>
      <c r="AG41" s="49"/>
      <c r="AH41" s="49"/>
      <c r="AI41" s="58"/>
    </row>
    <row r="42" spans="1:35" ht="15" thickBot="1">
      <c r="A42" s="60">
        <f t="shared" si="0"/>
        <v>35</v>
      </c>
      <c r="B42" s="72" t="s">
        <v>88</v>
      </c>
      <c r="C42" s="73">
        <f t="shared" ref="C42:T42" si="7">+C33+C40</f>
        <v>-426094.11000000034</v>
      </c>
      <c r="D42" s="73">
        <f t="shared" si="7"/>
        <v>63516.269999999553</v>
      </c>
      <c r="E42" s="73">
        <f t="shared" si="7"/>
        <v>-53333.33</v>
      </c>
      <c r="F42" s="73">
        <f t="shared" si="7"/>
        <v>78760.50999999998</v>
      </c>
      <c r="G42" s="73">
        <f t="shared" si="7"/>
        <v>-148112.03999999998</v>
      </c>
      <c r="H42" s="73">
        <f t="shared" si="7"/>
        <v>234653.01</v>
      </c>
      <c r="I42" s="73">
        <f t="shared" si="7"/>
        <v>1566.24</v>
      </c>
      <c r="J42" s="73">
        <f t="shared" si="7"/>
        <v>6165.1999999999971</v>
      </c>
      <c r="K42" s="73">
        <f t="shared" si="7"/>
        <v>-80568.94895824985</v>
      </c>
      <c r="L42" s="73">
        <f t="shared" si="7"/>
        <v>3428.3333333333285</v>
      </c>
      <c r="M42" s="73">
        <f t="shared" si="7"/>
        <v>-739072</v>
      </c>
      <c r="N42" s="73">
        <f t="shared" si="7"/>
        <v>130541.4700000002</v>
      </c>
      <c r="O42" s="73">
        <f>+O33+O40</f>
        <v>44597.669734681789</v>
      </c>
      <c r="P42" s="73">
        <f t="shared" si="7"/>
        <v>-433661.12000000104</v>
      </c>
      <c r="Q42" s="73">
        <f t="shared" si="7"/>
        <v>0</v>
      </c>
      <c r="R42" s="73">
        <f t="shared" si="7"/>
        <v>0</v>
      </c>
      <c r="S42" s="73">
        <f t="shared" si="7"/>
        <v>0</v>
      </c>
      <c r="T42" s="73">
        <f t="shared" si="7"/>
        <v>0</v>
      </c>
      <c r="U42" s="73">
        <f>+U33+U40</f>
        <v>0</v>
      </c>
      <c r="V42" s="73">
        <f t="shared" si="1"/>
        <v>-1317612.8458902366</v>
      </c>
      <c r="W42" s="58"/>
      <c r="X42" s="49">
        <f>V42-'Adj List'!G29</f>
        <v>0</v>
      </c>
      <c r="Y42" s="58"/>
      <c r="Z42" s="49"/>
      <c r="AA42" s="49"/>
      <c r="AB42" s="49"/>
      <c r="AC42" s="49"/>
      <c r="AD42" s="49"/>
      <c r="AE42" s="49"/>
      <c r="AF42" s="49"/>
      <c r="AG42" s="49"/>
      <c r="AH42" s="49"/>
      <c r="AI42" s="58"/>
    </row>
    <row r="43" spans="1:35" ht="18" customHeight="1" thickTop="1">
      <c r="A43" s="60"/>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row>
    <row r="44" spans="1:35" ht="18" customHeight="1">
      <c r="A44" s="60"/>
      <c r="B44" s="58" t="s">
        <v>110</v>
      </c>
      <c r="C44" s="49">
        <f>C12</f>
        <v>-5899413.1100000003</v>
      </c>
      <c r="D44" s="49">
        <f t="shared" ref="D44:T44" si="8">D12</f>
        <v>-5862953.7300000004</v>
      </c>
      <c r="E44" s="49">
        <f t="shared" si="8"/>
        <v>0</v>
      </c>
      <c r="F44" s="49">
        <f t="shared" si="8"/>
        <v>278043.24</v>
      </c>
      <c r="G44" s="49">
        <f t="shared" si="8"/>
        <v>0</v>
      </c>
      <c r="H44" s="49">
        <f t="shared" si="8"/>
        <v>0</v>
      </c>
      <c r="I44" s="49">
        <f t="shared" si="8"/>
        <v>0</v>
      </c>
      <c r="J44" s="49">
        <f t="shared" si="8"/>
        <v>0</v>
      </c>
      <c r="K44" s="49">
        <f t="shared" si="8"/>
        <v>0</v>
      </c>
      <c r="L44" s="49">
        <f t="shared" si="8"/>
        <v>0</v>
      </c>
      <c r="M44" s="49">
        <f t="shared" si="8"/>
        <v>0</v>
      </c>
      <c r="N44" s="49">
        <f t="shared" si="8"/>
        <v>0</v>
      </c>
      <c r="O44" s="49">
        <f>O12</f>
        <v>0</v>
      </c>
      <c r="P44" s="49">
        <f t="shared" si="8"/>
        <v>-5768954.120000001</v>
      </c>
      <c r="Q44" s="49">
        <f t="shared" si="8"/>
        <v>0</v>
      </c>
      <c r="R44" s="49">
        <f t="shared" si="8"/>
        <v>0</v>
      </c>
      <c r="S44" s="49">
        <f t="shared" si="8"/>
        <v>0</v>
      </c>
      <c r="T44" s="49">
        <f t="shared" si="8"/>
        <v>0</v>
      </c>
      <c r="U44" s="49">
        <f>U12</f>
        <v>0</v>
      </c>
      <c r="V44" s="49">
        <f t="shared" si="1"/>
        <v>-17253277.719999999</v>
      </c>
      <c r="W44" s="58"/>
      <c r="X44" s="49">
        <f>V44-'Adj List'!D29</f>
        <v>0</v>
      </c>
      <c r="Y44" s="58"/>
      <c r="Z44" s="58"/>
      <c r="AA44" s="58"/>
      <c r="AB44" s="58"/>
      <c r="AC44" s="58"/>
      <c r="AD44" s="58"/>
      <c r="AE44" s="58"/>
      <c r="AF44" s="58"/>
      <c r="AG44" s="58"/>
      <c r="AH44" s="58"/>
      <c r="AI44" s="58"/>
    </row>
    <row r="45" spans="1:35" ht="18" customHeight="1">
      <c r="A45" s="60"/>
      <c r="B45" s="58" t="s">
        <v>109</v>
      </c>
      <c r="C45" s="49">
        <f>C31</f>
        <v>-5473319</v>
      </c>
      <c r="D45" s="49">
        <f t="shared" ref="D45:M45" si="9">D31</f>
        <v>-5926470</v>
      </c>
      <c r="E45" s="49">
        <f t="shared" si="9"/>
        <v>53333.33</v>
      </c>
      <c r="F45" s="49">
        <f t="shared" si="9"/>
        <v>199282.73</v>
      </c>
      <c r="G45" s="49">
        <f t="shared" si="9"/>
        <v>148112.03999999998</v>
      </c>
      <c r="H45" s="49">
        <f t="shared" si="9"/>
        <v>-234653.01</v>
      </c>
      <c r="I45" s="49">
        <f t="shared" si="9"/>
        <v>-1566.24</v>
      </c>
      <c r="J45" s="49">
        <f t="shared" si="9"/>
        <v>-6165.1999999999971</v>
      </c>
      <c r="K45" s="49">
        <f t="shared" si="9"/>
        <v>80568.94895824985</v>
      </c>
      <c r="L45" s="49">
        <f t="shared" si="9"/>
        <v>-3428.3333333333285</v>
      </c>
      <c r="M45" s="49">
        <f t="shared" si="9"/>
        <v>0</v>
      </c>
      <c r="N45" s="49">
        <f t="shared" ref="N45:T45" si="10">N31-N40</f>
        <v>-130541.4700000002</v>
      </c>
      <c r="O45" s="49">
        <f>O31-O40</f>
        <v>-44597.669734681789</v>
      </c>
      <c r="P45" s="49">
        <f t="shared" si="10"/>
        <v>-5335293</v>
      </c>
      <c r="Q45" s="49">
        <f t="shared" si="10"/>
        <v>0</v>
      </c>
      <c r="R45" s="49">
        <f t="shared" si="10"/>
        <v>0</v>
      </c>
      <c r="S45" s="49">
        <f t="shared" si="10"/>
        <v>0</v>
      </c>
      <c r="T45" s="49">
        <f t="shared" si="10"/>
        <v>0</v>
      </c>
      <c r="U45" s="49">
        <f>U31-U40</f>
        <v>0</v>
      </c>
      <c r="V45" s="49">
        <f t="shared" si="1"/>
        <v>-16674736.874109766</v>
      </c>
      <c r="W45" s="58"/>
      <c r="X45" s="49">
        <f>V45-'Adj List'!E29</f>
        <v>0</v>
      </c>
      <c r="Y45" s="58"/>
      <c r="Z45" s="58"/>
      <c r="AA45" s="58"/>
      <c r="AB45" s="58"/>
      <c r="AC45" s="58"/>
      <c r="AD45" s="58"/>
      <c r="AE45" s="58"/>
      <c r="AF45" s="58"/>
      <c r="AG45" s="58"/>
      <c r="AH45" s="58"/>
      <c r="AI45" s="58"/>
    </row>
    <row r="46" spans="1:35" ht="18" customHeight="1">
      <c r="A46" s="60"/>
      <c r="B46" s="58" t="s">
        <v>232</v>
      </c>
      <c r="C46" s="49">
        <f>C40</f>
        <v>0</v>
      </c>
      <c r="D46" s="49">
        <f t="shared" ref="D46:P46" si="11">D40</f>
        <v>0</v>
      </c>
      <c r="E46" s="49">
        <f t="shared" si="11"/>
        <v>0</v>
      </c>
      <c r="F46" s="49">
        <f t="shared" si="11"/>
        <v>0</v>
      </c>
      <c r="G46" s="49">
        <f t="shared" si="11"/>
        <v>0</v>
      </c>
      <c r="H46" s="49">
        <f t="shared" si="11"/>
        <v>0</v>
      </c>
      <c r="I46" s="49">
        <f t="shared" si="11"/>
        <v>0</v>
      </c>
      <c r="J46" s="49">
        <f t="shared" si="11"/>
        <v>0</v>
      </c>
      <c r="K46" s="49">
        <f t="shared" si="11"/>
        <v>0</v>
      </c>
      <c r="L46" s="49">
        <f t="shared" si="11"/>
        <v>0</v>
      </c>
      <c r="M46" s="49">
        <f t="shared" si="11"/>
        <v>-739072</v>
      </c>
      <c r="N46" s="49">
        <f t="shared" si="11"/>
        <v>0</v>
      </c>
      <c r="O46" s="49">
        <f t="shared" si="11"/>
        <v>0</v>
      </c>
      <c r="P46" s="49">
        <f t="shared" si="11"/>
        <v>0</v>
      </c>
      <c r="Q46" s="49"/>
      <c r="R46" s="49"/>
      <c r="S46" s="49"/>
      <c r="T46" s="49"/>
      <c r="U46" s="49"/>
      <c r="V46" s="49">
        <f t="shared" si="1"/>
        <v>-739072</v>
      </c>
      <c r="W46" s="58"/>
      <c r="X46" s="49">
        <f>V46-'Adj List'!F29</f>
        <v>0</v>
      </c>
      <c r="Y46" s="58"/>
      <c r="Z46" s="58"/>
      <c r="AA46" s="58"/>
      <c r="AB46" s="58"/>
      <c r="AC46" s="58"/>
      <c r="AD46" s="58"/>
      <c r="AE46" s="58"/>
      <c r="AF46" s="58"/>
      <c r="AG46" s="58"/>
      <c r="AH46" s="58"/>
      <c r="AI46" s="58"/>
    </row>
    <row r="47" spans="1:35" ht="18" customHeight="1">
      <c r="A47" s="60"/>
      <c r="B47" s="58" t="s">
        <v>111</v>
      </c>
      <c r="C47" s="49">
        <f>C44-C45+C46</f>
        <v>-426094.11000000034</v>
      </c>
      <c r="D47" s="49">
        <f t="shared" ref="D47:M47" si="12">D44-D45+D46</f>
        <v>63516.269999999553</v>
      </c>
      <c r="E47" s="49">
        <f t="shared" si="12"/>
        <v>-53333.33</v>
      </c>
      <c r="F47" s="49">
        <f t="shared" si="12"/>
        <v>78760.50999999998</v>
      </c>
      <c r="G47" s="49">
        <f t="shared" si="12"/>
        <v>-148112.03999999998</v>
      </c>
      <c r="H47" s="49">
        <f t="shared" si="12"/>
        <v>234653.01</v>
      </c>
      <c r="I47" s="49">
        <f t="shared" si="12"/>
        <v>1566.24</v>
      </c>
      <c r="J47" s="49">
        <f t="shared" si="12"/>
        <v>6165.1999999999971</v>
      </c>
      <c r="K47" s="49">
        <f t="shared" si="12"/>
        <v>-80568.94895824985</v>
      </c>
      <c r="L47" s="49">
        <f t="shared" si="12"/>
        <v>3428.3333333333285</v>
      </c>
      <c r="M47" s="49">
        <f t="shared" si="12"/>
        <v>-739072</v>
      </c>
      <c r="N47" s="49">
        <f t="shared" ref="N47:U47" si="13">N44-N45</f>
        <v>130541.4700000002</v>
      </c>
      <c r="O47" s="49">
        <f>O44-O45</f>
        <v>44597.669734681789</v>
      </c>
      <c r="P47" s="49">
        <f t="shared" si="13"/>
        <v>-433661.12000000104</v>
      </c>
      <c r="Q47" s="49">
        <f t="shared" si="13"/>
        <v>0</v>
      </c>
      <c r="R47" s="49">
        <f t="shared" si="13"/>
        <v>0</v>
      </c>
      <c r="S47" s="49">
        <f t="shared" si="13"/>
        <v>0</v>
      </c>
      <c r="T47" s="49">
        <f t="shared" si="13"/>
        <v>0</v>
      </c>
      <c r="U47" s="49">
        <f t="shared" si="13"/>
        <v>0</v>
      </c>
      <c r="V47" s="49">
        <f t="shared" si="1"/>
        <v>-1317612.8458902366</v>
      </c>
      <c r="W47" s="58"/>
      <c r="X47" s="49">
        <f>V47-'Adj List'!G29</f>
        <v>0</v>
      </c>
      <c r="Y47" s="58"/>
      <c r="Z47" s="58"/>
      <c r="AA47" s="58"/>
      <c r="AB47" s="58"/>
      <c r="AC47" s="58"/>
      <c r="AD47" s="58"/>
      <c r="AE47" s="58"/>
      <c r="AF47" s="58"/>
      <c r="AG47" s="58"/>
      <c r="AH47" s="58"/>
      <c r="AI47" s="58"/>
    </row>
    <row r="48" spans="1:35" ht="18" customHeight="1">
      <c r="A48" s="60"/>
      <c r="B48" s="58" t="s">
        <v>112</v>
      </c>
      <c r="C48" s="49">
        <f t="shared" ref="C48:V48" si="14">C47-C42</f>
        <v>0</v>
      </c>
      <c r="D48" s="49">
        <f t="shared" si="14"/>
        <v>0</v>
      </c>
      <c r="E48" s="49">
        <f t="shared" si="14"/>
        <v>0</v>
      </c>
      <c r="F48" s="49">
        <f t="shared" si="14"/>
        <v>0</v>
      </c>
      <c r="G48" s="49">
        <f t="shared" si="14"/>
        <v>0</v>
      </c>
      <c r="H48" s="49">
        <f t="shared" si="14"/>
        <v>0</v>
      </c>
      <c r="I48" s="49">
        <f t="shared" si="14"/>
        <v>0</v>
      </c>
      <c r="J48" s="49">
        <f t="shared" si="14"/>
        <v>0</v>
      </c>
      <c r="K48" s="49">
        <f t="shared" si="14"/>
        <v>0</v>
      </c>
      <c r="L48" s="49">
        <f t="shared" si="14"/>
        <v>0</v>
      </c>
      <c r="M48" s="49">
        <f t="shared" si="14"/>
        <v>0</v>
      </c>
      <c r="N48" s="49">
        <f t="shared" si="14"/>
        <v>0</v>
      </c>
      <c r="O48" s="49">
        <f>O47-O42</f>
        <v>0</v>
      </c>
      <c r="P48" s="49">
        <f t="shared" si="14"/>
        <v>0</v>
      </c>
      <c r="Q48" s="49">
        <f t="shared" si="14"/>
        <v>0</v>
      </c>
      <c r="R48" s="49">
        <f t="shared" si="14"/>
        <v>0</v>
      </c>
      <c r="S48" s="49">
        <f t="shared" si="14"/>
        <v>0</v>
      </c>
      <c r="T48" s="49">
        <f t="shared" si="14"/>
        <v>0</v>
      </c>
      <c r="U48" s="49">
        <f t="shared" si="14"/>
        <v>0</v>
      </c>
      <c r="V48" s="49">
        <f t="shared" si="14"/>
        <v>0</v>
      </c>
      <c r="W48" s="58"/>
      <c r="X48" s="58"/>
      <c r="Y48" s="58"/>
      <c r="Z48" s="58"/>
      <c r="AA48" s="58"/>
      <c r="AB48" s="58"/>
      <c r="AC48" s="58"/>
      <c r="AD48" s="58"/>
      <c r="AE48" s="58"/>
      <c r="AF48" s="58"/>
      <c r="AG48" s="58"/>
      <c r="AH48" s="58"/>
      <c r="AI48" s="58"/>
    </row>
    <row r="49" spans="1:35" ht="18" customHeight="1">
      <c r="A49" s="60"/>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row>
    <row r="50" spans="1:35" ht="18" customHeight="1">
      <c r="A50" s="60"/>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row>
    <row r="51" spans="1:35">
      <c r="A51" s="60"/>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row>
    <row r="52" spans="1:35">
      <c r="A52" s="60"/>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row>
    <row r="53" spans="1:35">
      <c r="A53" s="60"/>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row>
    <row r="54" spans="1:35">
      <c r="A54" s="60"/>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row>
    <row r="55" spans="1:35">
      <c r="A55" s="60"/>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5">
      <c r="A56" s="60"/>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5">
      <c r="A57" s="60"/>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5">
      <c r="A58" s="60"/>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row>
    <row r="59" spans="1:35">
      <c r="A59" s="60"/>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row>
    <row r="60" spans="1:35">
      <c r="A60" s="60"/>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row>
    <row r="61" spans="1:35">
      <c r="A61" s="60"/>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row>
    <row r="62" spans="1:35">
      <c r="A62" s="60"/>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row>
    <row r="63" spans="1:35">
      <c r="A63" s="60"/>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row>
    <row r="64" spans="1:35">
      <c r="A64" s="60"/>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row>
    <row r="65" spans="1:35">
      <c r="A65" s="60"/>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c r="A66" s="60"/>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c r="A67" s="60"/>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c r="A68" s="60"/>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row>
    <row r="69" spans="1:35">
      <c r="A69" s="60"/>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row>
    <row r="70" spans="1:35">
      <c r="A70" s="60"/>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row>
    <row r="71" spans="1:35">
      <c r="A71" s="60"/>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c r="A72" s="60"/>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c r="A73" s="60"/>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row>
    <row r="74" spans="1:35">
      <c r="A74" s="60"/>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row>
    <row r="75" spans="1:35">
      <c r="A75" s="60"/>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row>
    <row r="76" spans="1:35">
      <c r="A76" s="60"/>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row>
    <row r="77" spans="1:35">
      <c r="A77" s="60"/>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row>
    <row r="78" spans="1:35">
      <c r="A78" s="60"/>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row>
    <row r="79" spans="1:35">
      <c r="A79" s="60"/>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row>
    <row r="80" spans="1:35">
      <c r="A80" s="60"/>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row>
    <row r="81" spans="1:35">
      <c r="A81" s="60"/>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row>
    <row r="82" spans="1:35">
      <c r="A82" s="60"/>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row>
    <row r="83" spans="1:35">
      <c r="A83" s="60"/>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row>
    <row r="84" spans="1:35">
      <c r="A84" s="60"/>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row>
    <row r="85" spans="1:35">
      <c r="A85" s="60"/>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row>
    <row r="86" spans="1:35">
      <c r="A86" s="60"/>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row>
    <row r="87" spans="1:35">
      <c r="A87" s="60"/>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row>
    <row r="88" spans="1:35">
      <c r="A88" s="60"/>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row>
    <row r="89" spans="1:35">
      <c r="A89" s="60"/>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row>
    <row r="90" spans="1:35">
      <c r="A90" s="60"/>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row>
    <row r="91" spans="1:35">
      <c r="A91" s="60"/>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row>
    <row r="92" spans="1:35">
      <c r="A92" s="60"/>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row>
    <row r="93" spans="1:35">
      <c r="A93" s="60"/>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row>
    <row r="94" spans="1:35">
      <c r="A94" s="60"/>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row>
    <row r="95" spans="1:35">
      <c r="A95" s="60"/>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row>
    <row r="96" spans="1:35">
      <c r="A96" s="60"/>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row>
    <row r="97" spans="1:35">
      <c r="A97" s="60"/>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row>
    <row r="98" spans="1:35">
      <c r="A98" s="60"/>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row>
    <row r="99" spans="1:35">
      <c r="A99" s="60"/>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row>
    <row r="100" spans="1:35">
      <c r="A100" s="60"/>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row>
    <row r="101" spans="1:35">
      <c r="A101" s="60"/>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row>
    <row r="102" spans="1:35">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row>
    <row r="103" spans="1:35">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row>
    <row r="104" spans="1:35">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row>
    <row r="105" spans="1:35">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row>
    <row r="106" spans="1:35">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row>
    <row r="107" spans="1:35">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row>
    <row r="108" spans="1:35">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row>
    <row r="109" spans="1:35">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row>
    <row r="110" spans="1:35">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row>
    <row r="111" spans="1:35">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row>
    <row r="112" spans="1:35">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row>
    <row r="113" spans="2:29">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row>
    <row r="114" spans="2:29">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row>
    <row r="115" spans="2:29">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row>
    <row r="116" spans="2:29">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row>
    <row r="117" spans="2:29">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row>
    <row r="118" spans="2:29">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row>
    <row r="119" spans="2:29">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row>
    <row r="120" spans="2:29">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row>
    <row r="121" spans="2:29">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row>
    <row r="122" spans="2:29">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row>
    <row r="123" spans="2:29">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row>
    <row r="124" spans="2:29">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row>
    <row r="125" spans="2:29">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row>
    <row r="126" spans="2:29">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row>
    <row r="127" spans="2:29">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row>
    <row r="128" spans="2:29">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row>
    <row r="129" spans="2:29">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row>
    <row r="130" spans="2:29">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row>
    <row r="131" spans="2:29">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row>
    <row r="132" spans="2:29">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row>
    <row r="133" spans="2:29">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row>
    <row r="134" spans="2:29">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row>
    <row r="135" spans="2:29">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row>
    <row r="136" spans="2:29">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row>
    <row r="137" spans="2:29">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row>
    <row r="138" spans="2:29">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row>
    <row r="139" spans="2:29">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row>
    <row r="140" spans="2:29">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row>
    <row r="141" spans="2:29">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row>
    <row r="142" spans="2:29">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row>
    <row r="143" spans="2:29">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row>
    <row r="144" spans="2:29">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row>
    <row r="145" spans="2:29">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row>
    <row r="146" spans="2:29">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row>
    <row r="147" spans="2:29">
      <c r="W147" s="58"/>
      <c r="X147" s="58"/>
      <c r="Y147" s="58"/>
      <c r="Z147" s="58"/>
      <c r="AA147" s="58"/>
      <c r="AB147" s="58"/>
      <c r="AC147" s="58"/>
    </row>
    <row r="148" spans="2:29">
      <c r="W148" s="58"/>
      <c r="X148" s="58"/>
      <c r="Y148" s="58"/>
      <c r="Z148" s="58"/>
      <c r="AA148" s="58"/>
      <c r="AB148" s="58"/>
      <c r="AC148" s="58"/>
    </row>
    <row r="149" spans="2:29">
      <c r="W149" s="58"/>
      <c r="X149" s="58"/>
      <c r="Y149" s="58"/>
      <c r="Z149" s="58"/>
      <c r="AA149" s="58"/>
      <c r="AB149" s="58"/>
      <c r="AC149" s="58"/>
    </row>
    <row r="150" spans="2:29">
      <c r="W150" s="58"/>
      <c r="X150" s="58"/>
      <c r="Y150" s="58"/>
      <c r="Z150" s="58"/>
      <c r="AA150" s="58"/>
      <c r="AB150" s="58"/>
      <c r="AC150" s="58"/>
    </row>
    <row r="151" spans="2:29">
      <c r="W151" s="58"/>
      <c r="X151" s="58"/>
      <c r="Y151" s="58"/>
      <c r="Z151" s="58"/>
      <c r="AA151" s="58"/>
      <c r="AB151" s="58"/>
      <c r="AC151" s="58"/>
    </row>
  </sheetData>
  <conditionalFormatting sqref="C48:V48">
    <cfRule type="cellIs" dxfId="11" priority="1" operator="notEqual">
      <formula>0</formula>
    </cfRule>
    <cfRule type="cellIs" dxfId="10" priority="2" operator="equal">
      <formula>0</formula>
    </cfRule>
  </conditionalFormatting>
  <conditionalFormatting sqref="X12">
    <cfRule type="cellIs" dxfId="9" priority="13" operator="notEqual">
      <formula>0</formula>
    </cfRule>
    <cfRule type="cellIs" dxfId="8" priority="14" operator="equal">
      <formula>0</formula>
    </cfRule>
  </conditionalFormatting>
  <conditionalFormatting sqref="X31">
    <cfRule type="cellIs" dxfId="7" priority="11" operator="notEqual">
      <formula>0</formula>
    </cfRule>
    <cfRule type="cellIs" dxfId="6" priority="12" operator="equal">
      <formula>0</formula>
    </cfRule>
  </conditionalFormatting>
  <conditionalFormatting sqref="X40">
    <cfRule type="cellIs" dxfId="5" priority="9" operator="notEqual">
      <formula>0</formula>
    </cfRule>
    <cfRule type="cellIs" dxfId="4" priority="10" operator="equal">
      <formula>0</formula>
    </cfRule>
  </conditionalFormatting>
  <conditionalFormatting sqref="X42">
    <cfRule type="cellIs" dxfId="3" priority="7" operator="notEqual">
      <formula>0</formula>
    </cfRule>
    <cfRule type="cellIs" dxfId="2" priority="8" operator="equal">
      <formula>0</formula>
    </cfRule>
  </conditionalFormatting>
  <conditionalFormatting sqref="X44:X47">
    <cfRule type="cellIs" dxfId="1" priority="5" operator="notEqual">
      <formula>0</formula>
    </cfRule>
    <cfRule type="cellIs" dxfId="0" priority="6" operator="equal">
      <formula>0</formula>
    </cfRule>
  </conditionalFormatting>
  <printOptions horizontalCentered="1"/>
  <pageMargins left="0.25" right="0.25" top="0.75" bottom="0.75" header="0.3" footer="0.3"/>
  <pageSetup scale="55" orientation="landscape" r:id="rId1"/>
  <headerFooter>
    <oddFooter>&amp;RRevised Exhibit  JW-2
Page &amp;P of &amp;N</oddFooter>
  </headerFooter>
  <ignoredErrors>
    <ignoredError sqref="P31:V37 P48:V48 C38:F38 P38:V38 P39:V44 P45:V45 P47:V47 N47 N45 C39:N44 H38:L38 C48:N48 C31:N3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pageSetUpPr fitToPage="1"/>
  </sheetPr>
  <dimension ref="A1:O34"/>
  <sheetViews>
    <sheetView view="pageBreakPreview" zoomScaleNormal="75" zoomScaleSheetLayoutView="100" workbookViewId="0">
      <selection activeCell="F1" sqref="F1:H1048576"/>
    </sheetView>
  </sheetViews>
  <sheetFormatPr defaultColWidth="9.140625" defaultRowHeight="12.75"/>
  <cols>
    <col min="1" max="1" width="5.85546875" style="10" customWidth="1"/>
    <col min="2" max="2" width="2.28515625" style="10" customWidth="1"/>
    <col min="3" max="3" width="11.7109375" style="10" customWidth="1"/>
    <col min="4" max="4" width="10.85546875" style="10" customWidth="1"/>
    <col min="5" max="5" width="5.85546875" style="10" customWidth="1"/>
    <col min="6" max="6" width="15.28515625" style="2" customWidth="1"/>
    <col min="7" max="7" width="3.28515625" style="2" customWidth="1"/>
    <col min="8" max="8" width="15.7109375" style="2" customWidth="1"/>
    <col min="9" max="16384" width="9.140625" style="10"/>
  </cols>
  <sheetData>
    <row r="1" spans="1:15">
      <c r="G1" s="109"/>
      <c r="H1" s="109" t="s">
        <v>27</v>
      </c>
    </row>
    <row r="2" spans="1:15" ht="20.25" customHeight="1">
      <c r="G2" s="109"/>
      <c r="H2" s="109"/>
    </row>
    <row r="3" spans="1:15">
      <c r="G3" s="109"/>
      <c r="H3" s="109"/>
    </row>
    <row r="4" spans="1:15">
      <c r="A4" s="356" t="str">
        <f>RevReq!A1</f>
        <v>CUMBERLAND VALLEY ELECTRIC</v>
      </c>
      <c r="B4" s="356"/>
      <c r="C4" s="356"/>
      <c r="D4" s="356"/>
      <c r="E4" s="356"/>
      <c r="F4" s="356"/>
      <c r="G4" s="356"/>
      <c r="H4" s="356"/>
      <c r="J4" s="7"/>
      <c r="K4" s="7"/>
      <c r="L4" s="7"/>
      <c r="M4" s="7"/>
      <c r="N4" s="7"/>
      <c r="O4" s="7"/>
    </row>
    <row r="5" spans="1:15">
      <c r="A5" s="356" t="str">
        <f>RevReq!A3</f>
        <v>For the 12 Months Ended December 31, 2023</v>
      </c>
      <c r="B5" s="356"/>
      <c r="C5" s="356"/>
      <c r="D5" s="356"/>
      <c r="E5" s="356"/>
      <c r="F5" s="356"/>
      <c r="G5" s="356"/>
      <c r="H5" s="356"/>
    </row>
    <row r="7" spans="1:15" s="6" customFormat="1" ht="15" customHeight="1">
      <c r="A7" s="357" t="s">
        <v>116</v>
      </c>
      <c r="B7" s="357"/>
      <c r="C7" s="357"/>
      <c r="D7" s="357"/>
      <c r="E7" s="357"/>
      <c r="F7" s="357"/>
      <c r="G7" s="357"/>
      <c r="H7" s="357"/>
    </row>
    <row r="9" spans="1:15">
      <c r="A9" s="9" t="s">
        <v>0</v>
      </c>
      <c r="C9" s="9" t="s">
        <v>16</v>
      </c>
      <c r="D9" s="9" t="s">
        <v>17</v>
      </c>
      <c r="E9" s="9"/>
      <c r="F9" s="1" t="s">
        <v>23</v>
      </c>
      <c r="G9" s="1"/>
      <c r="H9" s="1" t="s">
        <v>24</v>
      </c>
    </row>
    <row r="10" spans="1:15">
      <c r="A10" s="11" t="s">
        <v>21</v>
      </c>
      <c r="C10" s="12" t="s">
        <v>18</v>
      </c>
      <c r="D10" s="12" t="s">
        <v>20</v>
      </c>
      <c r="E10" s="9"/>
      <c r="F10" s="238" t="s">
        <v>19</v>
      </c>
      <c r="G10" s="238"/>
      <c r="H10" s="238" t="s">
        <v>25</v>
      </c>
    </row>
    <row r="11" spans="1:15">
      <c r="A11" s="9"/>
    </row>
    <row r="12" spans="1:15">
      <c r="A12" s="9"/>
    </row>
    <row r="13" spans="1:15">
      <c r="A13" s="9">
        <v>1</v>
      </c>
      <c r="C13" s="9">
        <v>2023</v>
      </c>
      <c r="D13" s="1" t="s">
        <v>6</v>
      </c>
      <c r="E13" s="13"/>
      <c r="F13" s="120">
        <v>623991.1</v>
      </c>
      <c r="G13" s="120"/>
      <c r="H13" s="120">
        <v>1121131</v>
      </c>
    </row>
    <row r="14" spans="1:15">
      <c r="A14" s="9">
        <v>2</v>
      </c>
      <c r="C14" s="9">
        <f>C13</f>
        <v>2023</v>
      </c>
      <c r="D14" s="1" t="s">
        <v>7</v>
      </c>
      <c r="E14" s="13"/>
      <c r="F14" s="120">
        <v>1165414.1499999999</v>
      </c>
      <c r="G14" s="120"/>
      <c r="H14" s="120">
        <v>475793</v>
      </c>
    </row>
    <row r="15" spans="1:15">
      <c r="A15" s="9">
        <v>3</v>
      </c>
      <c r="C15" s="9">
        <f t="shared" ref="C15:C24" si="0">C14</f>
        <v>2023</v>
      </c>
      <c r="D15" s="1" t="s">
        <v>8</v>
      </c>
      <c r="E15" s="13"/>
      <c r="F15" s="120">
        <v>580964</v>
      </c>
      <c r="G15" s="120"/>
      <c r="H15" s="120">
        <v>393097</v>
      </c>
    </row>
    <row r="16" spans="1:15">
      <c r="A16" s="9">
        <v>4</v>
      </c>
      <c r="C16" s="9">
        <f t="shared" si="0"/>
        <v>2023</v>
      </c>
      <c r="D16" s="1" t="s">
        <v>9</v>
      </c>
      <c r="E16" s="13"/>
      <c r="F16" s="120">
        <v>308372.21000000002</v>
      </c>
      <c r="G16" s="120"/>
      <c r="H16" s="120">
        <v>338919</v>
      </c>
    </row>
    <row r="17" spans="1:8">
      <c r="A17" s="9">
        <v>5</v>
      </c>
      <c r="C17" s="9">
        <f t="shared" si="0"/>
        <v>2023</v>
      </c>
      <c r="D17" s="1" t="s">
        <v>10</v>
      </c>
      <c r="E17" s="13"/>
      <c r="F17" s="120">
        <v>443798.4</v>
      </c>
      <c r="G17" s="120"/>
      <c r="H17" s="120">
        <v>410070</v>
      </c>
    </row>
    <row r="18" spans="1:8">
      <c r="A18" s="9">
        <v>6</v>
      </c>
      <c r="C18" s="9">
        <f t="shared" si="0"/>
        <v>2023</v>
      </c>
      <c r="D18" s="1" t="s">
        <v>11</v>
      </c>
      <c r="E18" s="13"/>
      <c r="F18" s="120">
        <v>331502.96000000008</v>
      </c>
      <c r="G18" s="120"/>
      <c r="H18" s="120">
        <v>162641</v>
      </c>
    </row>
    <row r="19" spans="1:8">
      <c r="A19" s="9">
        <v>7</v>
      </c>
      <c r="C19" s="9">
        <f t="shared" si="0"/>
        <v>2023</v>
      </c>
      <c r="D19" s="1" t="s">
        <v>12</v>
      </c>
      <c r="E19" s="13"/>
      <c r="F19" s="120">
        <v>282603.46000000002</v>
      </c>
      <c r="G19" s="120"/>
      <c r="H19" s="120">
        <v>338506</v>
      </c>
    </row>
    <row r="20" spans="1:8">
      <c r="A20" s="9">
        <v>8</v>
      </c>
      <c r="C20" s="9">
        <f t="shared" si="0"/>
        <v>2023</v>
      </c>
      <c r="D20" s="1" t="s">
        <v>13</v>
      </c>
      <c r="E20" s="13"/>
      <c r="F20" s="120">
        <v>279293.73000000004</v>
      </c>
      <c r="G20" s="120"/>
      <c r="H20" s="120">
        <v>555752</v>
      </c>
    </row>
    <row r="21" spans="1:8">
      <c r="A21" s="9">
        <v>9</v>
      </c>
      <c r="C21" s="9">
        <f t="shared" si="0"/>
        <v>2023</v>
      </c>
      <c r="D21" s="1" t="s">
        <v>2</v>
      </c>
      <c r="E21" s="13"/>
      <c r="F21" s="120">
        <v>464032.73000000004</v>
      </c>
      <c r="G21" s="120"/>
      <c r="H21" s="120">
        <v>439063</v>
      </c>
    </row>
    <row r="22" spans="1:8">
      <c r="A22" s="9">
        <v>10</v>
      </c>
      <c r="C22" s="9">
        <f t="shared" si="0"/>
        <v>2023</v>
      </c>
      <c r="D22" s="1" t="s">
        <v>3</v>
      </c>
      <c r="E22" s="13"/>
      <c r="F22" s="120">
        <v>510353.08000000013</v>
      </c>
      <c r="G22" s="120"/>
      <c r="H22" s="120">
        <v>475113</v>
      </c>
    </row>
    <row r="23" spans="1:8">
      <c r="A23" s="9">
        <v>11</v>
      </c>
      <c r="C23" s="9">
        <f t="shared" si="0"/>
        <v>2023</v>
      </c>
      <c r="D23" s="1" t="s">
        <v>4</v>
      </c>
      <c r="E23" s="13"/>
      <c r="F23" s="120">
        <v>568823.1</v>
      </c>
      <c r="G23" s="120"/>
      <c r="H23" s="120">
        <v>402225</v>
      </c>
    </row>
    <row r="24" spans="1:8">
      <c r="A24" s="9">
        <v>12</v>
      </c>
      <c r="C24" s="9">
        <f t="shared" si="0"/>
        <v>2023</v>
      </c>
      <c r="D24" s="1" t="s">
        <v>5</v>
      </c>
      <c r="E24" s="13"/>
      <c r="F24" s="120">
        <v>340264.19000000006</v>
      </c>
      <c r="G24" s="120"/>
      <c r="H24" s="120">
        <v>361009</v>
      </c>
    </row>
    <row r="25" spans="1:8">
      <c r="A25" s="9">
        <v>13</v>
      </c>
      <c r="C25" s="15"/>
      <c r="D25" s="4" t="s">
        <v>14</v>
      </c>
      <c r="E25" s="16"/>
      <c r="F25" s="125">
        <f>SUM(F13:F24)</f>
        <v>5899413.1100000003</v>
      </c>
      <c r="G25" s="125"/>
      <c r="H25" s="125">
        <f>SUM(H13:H24)</f>
        <v>5473319</v>
      </c>
    </row>
    <row r="26" spans="1:8">
      <c r="A26" s="9">
        <v>14</v>
      </c>
      <c r="D26" s="2"/>
      <c r="E26" s="17"/>
      <c r="F26" s="239"/>
      <c r="G26" s="239"/>
    </row>
    <row r="27" spans="1:8">
      <c r="A27" s="9">
        <v>15</v>
      </c>
      <c r="C27" s="2" t="s">
        <v>36</v>
      </c>
      <c r="D27" s="2"/>
      <c r="E27" s="17"/>
      <c r="F27" s="103">
        <f>F25</f>
        <v>5899413.1100000003</v>
      </c>
      <c r="G27" s="103"/>
      <c r="H27" s="103">
        <f>H25</f>
        <v>5473319</v>
      </c>
    </row>
    <row r="28" spans="1:8">
      <c r="A28" s="9">
        <v>16</v>
      </c>
      <c r="C28" s="2"/>
      <c r="D28" s="2"/>
      <c r="E28" s="17"/>
      <c r="F28" s="239"/>
      <c r="G28" s="239"/>
    </row>
    <row r="29" spans="1:8">
      <c r="A29" s="9">
        <v>17</v>
      </c>
      <c r="C29" s="2" t="s">
        <v>37</v>
      </c>
      <c r="E29" s="13"/>
      <c r="F29" s="120">
        <v>0</v>
      </c>
      <c r="G29" s="120"/>
      <c r="H29" s="120">
        <v>0</v>
      </c>
    </row>
    <row r="30" spans="1:8">
      <c r="A30" s="9">
        <v>18</v>
      </c>
      <c r="C30" s="2"/>
    </row>
    <row r="31" spans="1:8" ht="13.5" thickBot="1">
      <c r="A31" s="9">
        <v>19</v>
      </c>
      <c r="C31" s="3" t="s">
        <v>15</v>
      </c>
      <c r="D31" s="19"/>
      <c r="E31" s="20"/>
      <c r="F31" s="249">
        <f>ROUND(F29-F27,2)</f>
        <v>-5899413.1100000003</v>
      </c>
      <c r="G31" s="312"/>
      <c r="H31" s="249">
        <f>ROUND(H29-H27,2)</f>
        <v>-5473319</v>
      </c>
    </row>
    <row r="32" spans="1:8" ht="13.5" thickTop="1"/>
    <row r="34" spans="3:8" ht="30" customHeight="1">
      <c r="C34" s="358" t="s">
        <v>38</v>
      </c>
      <c r="D34" s="358"/>
      <c r="E34" s="358"/>
      <c r="F34" s="358"/>
      <c r="G34" s="358"/>
      <c r="H34" s="358"/>
    </row>
  </sheetData>
  <mergeCells count="4">
    <mergeCell ref="A4:H4"/>
    <mergeCell ref="A5:H5"/>
    <mergeCell ref="A7:H7"/>
    <mergeCell ref="C34:H34"/>
  </mergeCells>
  <printOptions horizontalCentered="1"/>
  <pageMargins left="1" right="0.75" top="0.75" bottom="0.5" header="0.5" footer="0.5"/>
  <pageSetup orientation="portrait" r:id="rId1"/>
  <headerFooter alignWithMargins="0">
    <oddFooter>&amp;RRevised Exhibit JW-2
Page &amp;P of &amp;N</oddFooter>
  </headerFooter>
  <ignoredErrors>
    <ignoredError sqref="D10:H11 C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pageSetUpPr fitToPage="1"/>
  </sheetPr>
  <dimension ref="A1:H34"/>
  <sheetViews>
    <sheetView view="pageBreakPreview" zoomScaleNormal="75" zoomScaleSheetLayoutView="100" workbookViewId="0">
      <selection activeCell="J28" sqref="J28"/>
    </sheetView>
  </sheetViews>
  <sheetFormatPr defaultColWidth="9.140625" defaultRowHeight="12.75"/>
  <cols>
    <col min="1" max="1" width="5.85546875" style="10" customWidth="1"/>
    <col min="2" max="2" width="2.28515625" style="10" customWidth="1"/>
    <col min="3" max="3" width="11.7109375" style="10" customWidth="1"/>
    <col min="4" max="4" width="10.85546875" style="10" customWidth="1"/>
    <col min="5" max="5" width="5.85546875" style="10" customWidth="1"/>
    <col min="6" max="6" width="15.28515625" style="2" customWidth="1"/>
    <col min="7" max="7" width="3.28515625" style="2" customWidth="1"/>
    <col min="8" max="8" width="14.42578125" style="2" customWidth="1"/>
    <col min="9" max="16384" width="9.140625" style="10"/>
  </cols>
  <sheetData>
    <row r="1" spans="1:8">
      <c r="G1" s="109"/>
      <c r="H1" s="109" t="s">
        <v>26</v>
      </c>
    </row>
    <row r="2" spans="1:8" ht="20.25" customHeight="1">
      <c r="G2" s="109"/>
      <c r="H2" s="109"/>
    </row>
    <row r="3" spans="1:8">
      <c r="G3" s="109"/>
      <c r="H3" s="109"/>
    </row>
    <row r="4" spans="1:8">
      <c r="A4" s="356" t="str">
        <f>RevReq!A1</f>
        <v>CUMBERLAND VALLEY ELECTRIC</v>
      </c>
      <c r="B4" s="356"/>
      <c r="C4" s="356"/>
      <c r="D4" s="356"/>
      <c r="E4" s="356"/>
      <c r="F4" s="356"/>
      <c r="G4" s="356"/>
      <c r="H4" s="356"/>
    </row>
    <row r="5" spans="1:8">
      <c r="A5" s="356" t="str">
        <f>RevReq!A3</f>
        <v>For the 12 Months Ended December 31, 2023</v>
      </c>
      <c r="B5" s="356"/>
      <c r="C5" s="356"/>
      <c r="D5" s="356"/>
      <c r="E5" s="356"/>
      <c r="F5" s="356"/>
      <c r="G5" s="356"/>
      <c r="H5" s="356"/>
    </row>
    <row r="7" spans="1:8" s="6" customFormat="1" ht="15" customHeight="1">
      <c r="A7" s="357" t="s">
        <v>115</v>
      </c>
      <c r="B7" s="357"/>
      <c r="C7" s="357"/>
      <c r="D7" s="357"/>
      <c r="E7" s="357"/>
      <c r="F7" s="357"/>
      <c r="G7" s="357"/>
      <c r="H7" s="357"/>
    </row>
    <row r="9" spans="1:8">
      <c r="A9" s="9" t="s">
        <v>0</v>
      </c>
      <c r="C9" s="9" t="s">
        <v>16</v>
      </c>
      <c r="D9" s="9" t="s">
        <v>17</v>
      </c>
      <c r="E9" s="9"/>
      <c r="F9" s="1" t="s">
        <v>23</v>
      </c>
      <c r="G9" s="1"/>
      <c r="H9" s="1" t="s">
        <v>24</v>
      </c>
    </row>
    <row r="10" spans="1:8">
      <c r="A10" s="11" t="s">
        <v>21</v>
      </c>
      <c r="C10" s="12" t="s">
        <v>18</v>
      </c>
      <c r="D10" s="12" t="s">
        <v>20</v>
      </c>
      <c r="E10" s="9"/>
      <c r="F10" s="238" t="s">
        <v>19</v>
      </c>
      <c r="G10" s="238"/>
      <c r="H10" s="238" t="s">
        <v>25</v>
      </c>
    </row>
    <row r="11" spans="1:8">
      <c r="A11" s="9"/>
    </row>
    <row r="12" spans="1:8">
      <c r="A12" s="9"/>
    </row>
    <row r="13" spans="1:8">
      <c r="A13" s="9">
        <v>1</v>
      </c>
      <c r="C13" s="9">
        <v>2023</v>
      </c>
      <c r="D13" s="1" t="s">
        <v>6</v>
      </c>
      <c r="E13" s="13"/>
      <c r="F13" s="120">
        <v>508825.36999999994</v>
      </c>
      <c r="G13" s="120"/>
      <c r="H13" s="120">
        <v>578852</v>
      </c>
    </row>
    <row r="14" spans="1:8">
      <c r="A14" s="9">
        <v>2</v>
      </c>
      <c r="C14" s="9">
        <f>C13</f>
        <v>2023</v>
      </c>
      <c r="D14" s="1" t="s">
        <v>7</v>
      </c>
      <c r="E14" s="13"/>
      <c r="F14" s="120">
        <v>515611.9599999999</v>
      </c>
      <c r="G14" s="120"/>
      <c r="H14" s="120">
        <v>296495</v>
      </c>
    </row>
    <row r="15" spans="1:8">
      <c r="A15" s="9">
        <v>3</v>
      </c>
      <c r="C15" s="9">
        <f t="shared" ref="C15:C24" si="0">C14</f>
        <v>2023</v>
      </c>
      <c r="D15" s="1" t="s">
        <v>8</v>
      </c>
      <c r="E15" s="13"/>
      <c r="F15" s="120">
        <v>267403.36</v>
      </c>
      <c r="G15" s="120"/>
      <c r="H15" s="120">
        <v>387263</v>
      </c>
    </row>
    <row r="16" spans="1:8">
      <c r="A16" s="9">
        <v>4</v>
      </c>
      <c r="C16" s="9">
        <f t="shared" si="0"/>
        <v>2023</v>
      </c>
      <c r="D16" s="1" t="s">
        <v>9</v>
      </c>
      <c r="E16" s="13"/>
      <c r="F16" s="120">
        <v>335923.04999999993</v>
      </c>
      <c r="G16" s="120"/>
      <c r="H16" s="120">
        <v>407703</v>
      </c>
    </row>
    <row r="17" spans="1:8">
      <c r="A17" s="9">
        <v>5</v>
      </c>
      <c r="C17" s="9">
        <f t="shared" si="0"/>
        <v>2023</v>
      </c>
      <c r="D17" s="1" t="s">
        <v>10</v>
      </c>
      <c r="E17" s="13"/>
      <c r="F17" s="120">
        <v>494802.54</v>
      </c>
      <c r="G17" s="120"/>
      <c r="H17" s="120">
        <v>416570</v>
      </c>
    </row>
    <row r="18" spans="1:8">
      <c r="A18" s="9">
        <v>6</v>
      </c>
      <c r="C18" s="9">
        <f t="shared" si="0"/>
        <v>2023</v>
      </c>
      <c r="D18" s="1" t="s">
        <v>11</v>
      </c>
      <c r="E18" s="13"/>
      <c r="F18" s="120">
        <v>420557.12000000005</v>
      </c>
      <c r="G18" s="120"/>
      <c r="H18" s="120">
        <v>432030</v>
      </c>
    </row>
    <row r="19" spans="1:8">
      <c r="A19" s="9">
        <v>7</v>
      </c>
      <c r="C19" s="9">
        <f t="shared" si="0"/>
        <v>2023</v>
      </c>
      <c r="D19" s="1" t="s">
        <v>12</v>
      </c>
      <c r="E19" s="13"/>
      <c r="F19" s="120">
        <v>614947.73</v>
      </c>
      <c r="G19" s="120"/>
      <c r="H19" s="120">
        <v>624887</v>
      </c>
    </row>
    <row r="20" spans="1:8">
      <c r="A20" s="9">
        <v>8</v>
      </c>
      <c r="C20" s="9">
        <f t="shared" si="0"/>
        <v>2023</v>
      </c>
      <c r="D20" s="1" t="s">
        <v>13</v>
      </c>
      <c r="E20" s="13"/>
      <c r="F20" s="120">
        <v>707813.69</v>
      </c>
      <c r="G20" s="120"/>
      <c r="H20" s="120">
        <v>674358</v>
      </c>
    </row>
    <row r="21" spans="1:8">
      <c r="A21" s="9">
        <v>9</v>
      </c>
      <c r="C21" s="9">
        <f t="shared" si="0"/>
        <v>2023</v>
      </c>
      <c r="D21" s="1" t="s">
        <v>2</v>
      </c>
      <c r="E21" s="13"/>
      <c r="F21" s="120">
        <v>557171.92000000016</v>
      </c>
      <c r="G21" s="120"/>
      <c r="H21" s="120">
        <v>444532</v>
      </c>
    </row>
    <row r="22" spans="1:8">
      <c r="A22" s="9">
        <v>10</v>
      </c>
      <c r="C22" s="9">
        <f t="shared" si="0"/>
        <v>2023</v>
      </c>
      <c r="D22" s="1" t="s">
        <v>3</v>
      </c>
      <c r="E22" s="13"/>
      <c r="F22" s="120">
        <v>376698.4</v>
      </c>
      <c r="G22" s="120"/>
      <c r="H22" s="120">
        <v>418236</v>
      </c>
    </row>
    <row r="23" spans="1:8">
      <c r="A23" s="9">
        <v>11</v>
      </c>
      <c r="C23" s="9">
        <f t="shared" si="0"/>
        <v>2023</v>
      </c>
      <c r="D23" s="1" t="s">
        <v>4</v>
      </c>
      <c r="E23" s="13"/>
      <c r="F23" s="120">
        <v>481724.18999999994</v>
      </c>
      <c r="G23" s="120"/>
      <c r="H23" s="120">
        <v>595597</v>
      </c>
    </row>
    <row r="24" spans="1:8">
      <c r="A24" s="9">
        <v>12</v>
      </c>
      <c r="C24" s="9">
        <f t="shared" si="0"/>
        <v>2023</v>
      </c>
      <c r="D24" s="1" t="s">
        <v>5</v>
      </c>
      <c r="E24" s="13"/>
      <c r="F24" s="120">
        <v>581474.4</v>
      </c>
      <c r="G24" s="120"/>
      <c r="H24" s="120">
        <v>649947</v>
      </c>
    </row>
    <row r="25" spans="1:8">
      <c r="A25" s="9">
        <v>13</v>
      </c>
      <c r="C25" s="15"/>
      <c r="D25" s="4" t="s">
        <v>14</v>
      </c>
      <c r="E25" s="16"/>
      <c r="F25" s="125">
        <f>SUM(F13:F24)</f>
        <v>5862953.7300000004</v>
      </c>
      <c r="G25" s="125"/>
      <c r="H25" s="125">
        <f>SUM(H13:H24)</f>
        <v>5926470</v>
      </c>
    </row>
    <row r="26" spans="1:8">
      <c r="A26" s="9">
        <v>14</v>
      </c>
      <c r="D26" s="2"/>
      <c r="E26" s="17"/>
      <c r="F26" s="239"/>
      <c r="G26" s="239"/>
    </row>
    <row r="27" spans="1:8">
      <c r="A27" s="9">
        <v>15</v>
      </c>
      <c r="C27" s="2" t="s">
        <v>36</v>
      </c>
      <c r="D27" s="2"/>
      <c r="E27" s="17"/>
      <c r="F27" s="103">
        <f>F25</f>
        <v>5862953.7300000004</v>
      </c>
      <c r="G27" s="103"/>
      <c r="H27" s="103">
        <f>H25</f>
        <v>5926470</v>
      </c>
    </row>
    <row r="28" spans="1:8">
      <c r="A28" s="9">
        <v>16</v>
      </c>
      <c r="C28" s="2"/>
      <c r="D28" s="2"/>
      <c r="E28" s="17"/>
      <c r="F28" s="103"/>
      <c r="G28" s="103"/>
    </row>
    <row r="29" spans="1:8">
      <c r="A29" s="9">
        <v>17</v>
      </c>
      <c r="C29" s="2" t="s">
        <v>37</v>
      </c>
      <c r="E29" s="13"/>
      <c r="F29" s="120">
        <v>0</v>
      </c>
      <c r="G29" s="120"/>
      <c r="H29" s="120">
        <v>0</v>
      </c>
    </row>
    <row r="30" spans="1:8">
      <c r="A30" s="9">
        <v>18</v>
      </c>
      <c r="C30" s="2"/>
    </row>
    <row r="31" spans="1:8" ht="13.5" thickBot="1">
      <c r="A31" s="9">
        <v>19</v>
      </c>
      <c r="C31" s="3" t="s">
        <v>15</v>
      </c>
      <c r="D31" s="19"/>
      <c r="E31" s="20"/>
      <c r="F31" s="249">
        <f>ROUND(F29-F27,2)</f>
        <v>-5862953.7300000004</v>
      </c>
      <c r="G31" s="312"/>
      <c r="H31" s="249">
        <f>ROUND(H29-H27,2)</f>
        <v>-5926470</v>
      </c>
    </row>
    <row r="32" spans="1:8" ht="13.5" thickTop="1"/>
    <row r="34" spans="3:8" ht="29.25" customHeight="1">
      <c r="C34" s="358" t="s">
        <v>39</v>
      </c>
      <c r="D34" s="358"/>
      <c r="E34" s="358"/>
      <c r="F34" s="358"/>
      <c r="G34" s="358"/>
      <c r="H34" s="358"/>
    </row>
  </sheetData>
  <mergeCells count="4">
    <mergeCell ref="A4:H4"/>
    <mergeCell ref="A5:H5"/>
    <mergeCell ref="A7:H7"/>
    <mergeCell ref="C34:H34"/>
  </mergeCells>
  <printOptions horizontalCentered="1"/>
  <pageMargins left="1" right="0.75" top="0.75" bottom="0.5" header="0.5" footer="0.5"/>
  <pageSetup orientation="portrait" r:id="rId1"/>
  <headerFooter alignWithMargins="0">
    <oddFooter>&amp;RRevised Exhibit JW-2
Page &amp;P of &amp;N</oddFooter>
  </headerFooter>
  <ignoredErrors>
    <ignoredError sqref="C10:H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A1:P27"/>
  <sheetViews>
    <sheetView view="pageBreakPreview" zoomScaleNormal="75" zoomScaleSheetLayoutView="100" workbookViewId="0">
      <selection activeCell="E17" sqref="E17"/>
    </sheetView>
  </sheetViews>
  <sheetFormatPr defaultColWidth="9.140625" defaultRowHeight="12.75"/>
  <cols>
    <col min="1" max="1" width="5.85546875" style="10" customWidth="1"/>
    <col min="2" max="2" width="2.28515625" style="10" customWidth="1"/>
    <col min="3" max="3" width="37.7109375" style="10" bestFit="1" customWidth="1"/>
    <col min="4" max="4" width="2.42578125" style="10" customWidth="1"/>
    <col min="5" max="6" width="15.7109375" style="10" customWidth="1"/>
    <col min="7" max="9" width="9.140625" style="10"/>
    <col min="10" max="11" width="10.42578125" style="10" bestFit="1" customWidth="1"/>
    <col min="12" max="12" width="9.42578125" style="10" bestFit="1" customWidth="1"/>
    <col min="13" max="13" width="10.42578125" style="10" bestFit="1" customWidth="1"/>
    <col min="14" max="14" width="9.140625" style="10"/>
    <col min="15" max="15" width="10.42578125" style="10" bestFit="1" customWidth="1"/>
    <col min="16" max="16384" width="9.140625" style="10"/>
  </cols>
  <sheetData>
    <row r="1" spans="1:16">
      <c r="E1" s="5"/>
      <c r="F1" s="5" t="s">
        <v>466</v>
      </c>
    </row>
    <row r="2" spans="1:16" ht="20.25" customHeight="1">
      <c r="E2" s="5"/>
      <c r="F2" s="5"/>
    </row>
    <row r="3" spans="1:16">
      <c r="A3" s="356" t="str">
        <f>RevReq!A1</f>
        <v>CUMBERLAND VALLEY ELECTRIC</v>
      </c>
      <c r="B3" s="356"/>
      <c r="C3" s="356"/>
      <c r="D3" s="356"/>
      <c r="E3" s="356"/>
      <c r="F3" s="356"/>
    </row>
    <row r="4" spans="1:16">
      <c r="A4" s="356" t="str">
        <f>RevReq!A3</f>
        <v>For the 12 Months Ended December 31, 2023</v>
      </c>
      <c r="B4" s="356"/>
      <c r="C4" s="356"/>
      <c r="D4" s="356"/>
      <c r="E4" s="356"/>
      <c r="F4" s="356"/>
    </row>
    <row r="6" spans="1:16" s="6" customFormat="1" ht="15" customHeight="1">
      <c r="A6" s="357" t="s">
        <v>30</v>
      </c>
      <c r="B6" s="357"/>
      <c r="C6" s="357"/>
      <c r="D6" s="357"/>
      <c r="E6" s="357"/>
      <c r="F6" s="357"/>
      <c r="J6" s="10"/>
      <c r="K6" s="10"/>
      <c r="L6" s="10"/>
      <c r="M6" s="10"/>
      <c r="N6" s="10"/>
      <c r="O6" s="10"/>
      <c r="P6" s="10"/>
    </row>
    <row r="8" spans="1:16">
      <c r="A8" s="9" t="s">
        <v>0</v>
      </c>
      <c r="C8" s="9" t="s">
        <v>40</v>
      </c>
      <c r="D8" s="9"/>
      <c r="E8" s="9" t="s">
        <v>477</v>
      </c>
    </row>
    <row r="9" spans="1:16">
      <c r="A9" s="11" t="s">
        <v>21</v>
      </c>
      <c r="C9" s="12" t="s">
        <v>18</v>
      </c>
      <c r="D9" s="12"/>
      <c r="E9" s="12" t="s">
        <v>20</v>
      </c>
    </row>
    <row r="10" spans="1:16">
      <c r="A10" s="9"/>
      <c r="E10" s="2"/>
    </row>
    <row r="11" spans="1:16">
      <c r="A11" s="9">
        <v>1</v>
      </c>
      <c r="C11" s="14" t="s">
        <v>479</v>
      </c>
      <c r="E11" s="186">
        <v>115000</v>
      </c>
    </row>
    <row r="12" spans="1:16">
      <c r="A12" s="9">
        <f>A11+1</f>
        <v>2</v>
      </c>
      <c r="C12" s="14" t="s">
        <v>106</v>
      </c>
      <c r="E12" s="186">
        <v>45000</v>
      </c>
    </row>
    <row r="13" spans="1:16">
      <c r="A13" s="9">
        <f>A12+1</f>
        <v>3</v>
      </c>
      <c r="C13" s="15" t="s">
        <v>22</v>
      </c>
      <c r="D13" s="4"/>
      <c r="E13" s="237">
        <f>SUM(E11:E12)</f>
        <v>160000</v>
      </c>
    </row>
    <row r="14" spans="1:16">
      <c r="A14" s="9">
        <f t="shared" ref="A14:A23" si="0">A13+1</f>
        <v>4</v>
      </c>
      <c r="D14" s="2"/>
      <c r="E14" s="2"/>
    </row>
    <row r="15" spans="1:16">
      <c r="A15" s="9">
        <f t="shared" si="0"/>
        <v>5</v>
      </c>
      <c r="C15" s="2" t="s">
        <v>41</v>
      </c>
      <c r="D15" s="2"/>
      <c r="E15" s="103">
        <f>E13</f>
        <v>160000</v>
      </c>
    </row>
    <row r="16" spans="1:16">
      <c r="A16" s="9">
        <f t="shared" si="0"/>
        <v>6</v>
      </c>
      <c r="C16" s="2" t="s">
        <v>42</v>
      </c>
      <c r="D16" s="2"/>
      <c r="E16" s="103">
        <v>3</v>
      </c>
    </row>
    <row r="17" spans="1:6">
      <c r="A17" s="9">
        <f t="shared" si="0"/>
        <v>7</v>
      </c>
      <c r="C17" s="2" t="s">
        <v>44</v>
      </c>
      <c r="D17" s="2"/>
      <c r="E17" s="103">
        <f>E15/E16</f>
        <v>53333.333333333336</v>
      </c>
    </row>
    <row r="18" spans="1:6">
      <c r="A18" s="9">
        <f t="shared" si="0"/>
        <v>8</v>
      </c>
      <c r="C18" s="2"/>
      <c r="D18" s="2"/>
      <c r="E18" s="103"/>
    </row>
    <row r="19" spans="1:6">
      <c r="A19" s="9">
        <f t="shared" si="0"/>
        <v>9</v>
      </c>
      <c r="C19" s="2" t="s">
        <v>36</v>
      </c>
      <c r="D19" s="2"/>
      <c r="E19" s="103">
        <v>0</v>
      </c>
    </row>
    <row r="20" spans="1:6">
      <c r="A20" s="9">
        <f t="shared" si="0"/>
        <v>10</v>
      </c>
      <c r="C20" s="2"/>
      <c r="D20" s="2"/>
      <c r="E20" s="2"/>
    </row>
    <row r="21" spans="1:6">
      <c r="A21" s="9">
        <f t="shared" si="0"/>
        <v>11</v>
      </c>
      <c r="C21" s="2" t="s">
        <v>37</v>
      </c>
      <c r="E21" s="13">
        <f>E17</f>
        <v>53333.333333333336</v>
      </c>
    </row>
    <row r="22" spans="1:6">
      <c r="A22" s="9">
        <f t="shared" si="0"/>
        <v>12</v>
      </c>
      <c r="C22" s="247"/>
    </row>
    <row r="23" spans="1:6" ht="13.5" thickBot="1">
      <c r="A23" s="9">
        <f t="shared" si="0"/>
        <v>13</v>
      </c>
      <c r="C23" s="3" t="s">
        <v>15</v>
      </c>
      <c r="D23" s="19"/>
      <c r="E23" s="278">
        <f>ROUND(E21-E19,2)</f>
        <v>53333.33</v>
      </c>
    </row>
    <row r="24" spans="1:6" ht="13.5" thickTop="1"/>
    <row r="26" spans="1:6" ht="30" customHeight="1">
      <c r="C26" s="358" t="s">
        <v>45</v>
      </c>
      <c r="D26" s="358"/>
      <c r="E26" s="358"/>
      <c r="F26" s="358"/>
    </row>
    <row r="27" spans="1:6">
      <c r="B27" s="246"/>
      <c r="C27" s="247"/>
    </row>
  </sheetData>
  <mergeCells count="4">
    <mergeCell ref="C26:F26"/>
    <mergeCell ref="A3:F3"/>
    <mergeCell ref="A4:F4"/>
    <mergeCell ref="A6:F6"/>
  </mergeCells>
  <printOptions horizontalCentered="1"/>
  <pageMargins left="1" right="0.75" top="0.75" bottom="0.5" header="0.5" footer="0.5"/>
  <pageSetup orientation="portrait" r:id="rId1"/>
  <headerFooter alignWithMargins="0">
    <oddFooter>&amp;RRevised Exhibit JW-2
Page &amp;P of &amp;N</oddFooter>
  </headerFooter>
  <ignoredErrors>
    <ignoredError sqref="C9:D9 E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pageSetUpPr fitToPage="1"/>
  </sheetPr>
  <dimension ref="A1:N59"/>
  <sheetViews>
    <sheetView view="pageBreakPreview" topLeftCell="A23" zoomScaleNormal="75" zoomScaleSheetLayoutView="100" workbookViewId="0">
      <selection activeCell="N39" sqref="N39"/>
    </sheetView>
  </sheetViews>
  <sheetFormatPr defaultColWidth="9.140625" defaultRowHeight="12.75"/>
  <cols>
    <col min="1" max="1" width="5.85546875" style="10" customWidth="1"/>
    <col min="2" max="2" width="2.28515625" style="10" customWidth="1"/>
    <col min="3" max="3" width="13.28515625" style="10" customWidth="1"/>
    <col min="4" max="4" width="10.85546875" style="10" customWidth="1"/>
    <col min="5" max="5" width="4.140625" style="10" customWidth="1"/>
    <col min="6" max="6" width="13.5703125" style="2" customWidth="1"/>
    <col min="7" max="7" width="15.28515625" style="2" customWidth="1"/>
    <col min="8" max="8" width="12.5703125" style="2" customWidth="1"/>
    <col min="9" max="9" width="11.5703125" style="2" bestFit="1" customWidth="1"/>
    <col min="10" max="10" width="12.7109375" style="2" customWidth="1"/>
    <col min="11" max="11" width="11.7109375" style="2" customWidth="1"/>
    <col min="12" max="12" width="14" style="2" bestFit="1" customWidth="1"/>
    <col min="13" max="13" width="14" style="10" bestFit="1" customWidth="1"/>
    <col min="14" max="16384" width="9.140625" style="10"/>
  </cols>
  <sheetData>
    <row r="1" spans="1:14">
      <c r="A1" s="2"/>
      <c r="B1" s="2"/>
      <c r="C1" s="2"/>
      <c r="D1" s="2"/>
      <c r="E1" s="2"/>
      <c r="K1" s="109" t="s">
        <v>467</v>
      </c>
    </row>
    <row r="2" spans="1:14" ht="20.25" customHeight="1">
      <c r="A2" s="2"/>
      <c r="B2" s="2"/>
      <c r="C2" s="2"/>
      <c r="D2" s="2"/>
      <c r="E2" s="2"/>
      <c r="K2" s="109"/>
    </row>
    <row r="3" spans="1:14">
      <c r="A3" s="2"/>
      <c r="B3" s="2"/>
      <c r="C3" s="2"/>
      <c r="D3" s="2"/>
      <c r="E3" s="2"/>
      <c r="G3" s="109"/>
    </row>
    <row r="4" spans="1:14">
      <c r="A4" s="359" t="str">
        <f>RevReq!A1</f>
        <v>CUMBERLAND VALLEY ELECTRIC</v>
      </c>
      <c r="B4" s="359"/>
      <c r="C4" s="359"/>
      <c r="D4" s="359"/>
      <c r="E4" s="359"/>
      <c r="F4" s="359"/>
      <c r="G4" s="359"/>
      <c r="H4" s="359"/>
      <c r="I4" s="359"/>
      <c r="J4" s="359"/>
      <c r="K4" s="359"/>
    </row>
    <row r="5" spans="1:14">
      <c r="A5" s="359" t="str">
        <f>RevReq!A3</f>
        <v>For the 12 Months Ended December 31, 2023</v>
      </c>
      <c r="B5" s="359"/>
      <c r="C5" s="359"/>
      <c r="D5" s="359"/>
      <c r="E5" s="359"/>
      <c r="F5" s="359"/>
      <c r="G5" s="359"/>
      <c r="H5" s="359"/>
      <c r="I5" s="359"/>
      <c r="J5" s="359"/>
      <c r="K5" s="359"/>
    </row>
    <row r="6" spans="1:14">
      <c r="A6" s="2"/>
      <c r="B6" s="2"/>
      <c r="C6" s="2"/>
      <c r="D6" s="2"/>
      <c r="E6" s="2"/>
    </row>
    <row r="7" spans="1:14" s="6" customFormat="1" ht="15" customHeight="1">
      <c r="A7" s="357" t="s">
        <v>46</v>
      </c>
      <c r="B7" s="357"/>
      <c r="C7" s="357"/>
      <c r="D7" s="357"/>
      <c r="E7" s="357"/>
      <c r="F7" s="357"/>
      <c r="G7" s="357"/>
      <c r="H7" s="357"/>
      <c r="I7" s="357"/>
      <c r="J7" s="357"/>
      <c r="K7" s="357"/>
      <c r="L7" s="110"/>
    </row>
    <row r="8" spans="1:14">
      <c r="A8" s="2"/>
      <c r="B8" s="2"/>
      <c r="C8" s="2"/>
      <c r="D8" s="2"/>
      <c r="E8" s="2"/>
      <c r="L8" s="110"/>
      <c r="M8" s="6"/>
    </row>
    <row r="9" spans="1:14" ht="64.5" customHeight="1">
      <c r="A9" s="360" t="s">
        <v>0</v>
      </c>
      <c r="B9" s="2"/>
      <c r="C9" s="360" t="s">
        <v>16</v>
      </c>
      <c r="D9" s="2"/>
      <c r="E9" s="1"/>
      <c r="F9" s="38" t="s">
        <v>449</v>
      </c>
      <c r="G9" s="38" t="s">
        <v>450</v>
      </c>
      <c r="H9" s="38" t="s">
        <v>450</v>
      </c>
      <c r="I9" s="38" t="s">
        <v>451</v>
      </c>
      <c r="J9" s="38" t="s">
        <v>452</v>
      </c>
      <c r="K9" s="360" t="s">
        <v>43</v>
      </c>
      <c r="L9" s="110"/>
      <c r="M9" s="6"/>
      <c r="N9" s="38"/>
    </row>
    <row r="10" spans="1:14">
      <c r="A10" s="360"/>
      <c r="B10" s="2"/>
      <c r="C10" s="360"/>
      <c r="D10" s="1" t="s">
        <v>17</v>
      </c>
      <c r="E10" s="1"/>
      <c r="F10" s="38" t="s">
        <v>453</v>
      </c>
      <c r="G10" s="38" t="s">
        <v>454</v>
      </c>
      <c r="H10" s="38" t="s">
        <v>455</v>
      </c>
      <c r="I10" s="38" t="s">
        <v>456</v>
      </c>
      <c r="J10" s="38" t="s">
        <v>457</v>
      </c>
      <c r="K10" s="360"/>
      <c r="L10" s="110"/>
      <c r="M10" s="6"/>
      <c r="N10" s="38"/>
    </row>
    <row r="11" spans="1:14">
      <c r="A11" s="39" t="s">
        <v>21</v>
      </c>
      <c r="B11" s="2"/>
      <c r="C11" s="238" t="s">
        <v>18</v>
      </c>
      <c r="D11" s="238" t="s">
        <v>20</v>
      </c>
      <c r="E11" s="1"/>
      <c r="F11" s="238" t="s">
        <v>19</v>
      </c>
      <c r="G11" s="238" t="s">
        <v>25</v>
      </c>
      <c r="H11" s="238" t="s">
        <v>47</v>
      </c>
      <c r="I11" s="238" t="s">
        <v>48</v>
      </c>
      <c r="J11" s="238" t="s">
        <v>49</v>
      </c>
      <c r="K11" s="238" t="s">
        <v>50</v>
      </c>
      <c r="L11" s="110"/>
      <c r="M11" s="6"/>
    </row>
    <row r="12" spans="1:14">
      <c r="A12" s="1"/>
      <c r="B12" s="2"/>
      <c r="C12" s="2"/>
      <c r="D12" s="2"/>
      <c r="E12" s="2"/>
      <c r="L12" s="110"/>
      <c r="M12" s="6"/>
    </row>
    <row r="13" spans="1:14">
      <c r="A13" s="1">
        <v>1</v>
      </c>
      <c r="B13" s="2"/>
      <c r="C13" s="1">
        <v>2023</v>
      </c>
      <c r="D13" s="1" t="s">
        <v>6</v>
      </c>
      <c r="E13" s="120"/>
      <c r="F13" s="34">
        <v>22474</v>
      </c>
      <c r="G13" s="34">
        <v>1280</v>
      </c>
      <c r="H13" s="34">
        <v>168</v>
      </c>
      <c r="I13" s="34">
        <v>192</v>
      </c>
      <c r="J13" s="2">
        <v>59</v>
      </c>
      <c r="K13" s="313"/>
      <c r="L13" s="110"/>
      <c r="M13" s="6"/>
      <c r="N13" s="220"/>
    </row>
    <row r="14" spans="1:14">
      <c r="A14" s="1">
        <v>2</v>
      </c>
      <c r="B14" s="2"/>
      <c r="C14" s="1">
        <v>2023</v>
      </c>
      <c r="D14" s="1" t="s">
        <v>7</v>
      </c>
      <c r="E14" s="120"/>
      <c r="F14" s="34">
        <v>22394</v>
      </c>
      <c r="G14" s="34">
        <v>1277</v>
      </c>
      <c r="H14" s="34">
        <v>166</v>
      </c>
      <c r="I14" s="34">
        <v>192</v>
      </c>
      <c r="J14" s="2">
        <v>61</v>
      </c>
      <c r="L14" s="110"/>
      <c r="M14" s="6"/>
      <c r="N14" s="220"/>
    </row>
    <row r="15" spans="1:14">
      <c r="A15" s="1">
        <v>3</v>
      </c>
      <c r="B15" s="2"/>
      <c r="C15" s="1">
        <v>2023</v>
      </c>
      <c r="D15" s="1" t="s">
        <v>8</v>
      </c>
      <c r="E15" s="120"/>
      <c r="F15" s="34">
        <v>22418</v>
      </c>
      <c r="G15" s="34">
        <v>1264</v>
      </c>
      <c r="H15" s="34">
        <v>168</v>
      </c>
      <c r="I15" s="34">
        <v>192</v>
      </c>
      <c r="J15" s="2">
        <v>61</v>
      </c>
      <c r="L15" s="110"/>
      <c r="M15" s="6"/>
      <c r="N15" s="220"/>
    </row>
    <row r="16" spans="1:14">
      <c r="A16" s="1">
        <v>4</v>
      </c>
      <c r="B16" s="2"/>
      <c r="C16" s="1">
        <v>2023</v>
      </c>
      <c r="D16" s="1" t="s">
        <v>9</v>
      </c>
      <c r="E16" s="120"/>
      <c r="F16" s="34">
        <v>22419</v>
      </c>
      <c r="G16" s="34">
        <v>1266</v>
      </c>
      <c r="H16" s="34">
        <v>170</v>
      </c>
      <c r="I16" s="34">
        <v>192</v>
      </c>
      <c r="J16" s="2">
        <v>62</v>
      </c>
      <c r="L16" s="110"/>
      <c r="M16" s="6"/>
      <c r="N16" s="220"/>
    </row>
    <row r="17" spans="1:14">
      <c r="A17" s="1">
        <v>5</v>
      </c>
      <c r="B17" s="2"/>
      <c r="C17" s="1">
        <v>2023</v>
      </c>
      <c r="D17" s="1" t="s">
        <v>10</v>
      </c>
      <c r="E17" s="120"/>
      <c r="F17" s="34">
        <v>22467</v>
      </c>
      <c r="G17" s="34">
        <v>1273</v>
      </c>
      <c r="H17" s="34">
        <v>170</v>
      </c>
      <c r="I17" s="34">
        <v>192</v>
      </c>
      <c r="J17" s="2">
        <v>62</v>
      </c>
      <c r="L17" s="110"/>
      <c r="M17" s="6"/>
      <c r="N17" s="220"/>
    </row>
    <row r="18" spans="1:14">
      <c r="A18" s="1">
        <v>6</v>
      </c>
      <c r="B18" s="2"/>
      <c r="C18" s="1">
        <v>2023</v>
      </c>
      <c r="D18" s="1" t="s">
        <v>11</v>
      </c>
      <c r="E18" s="120"/>
      <c r="F18" s="34">
        <v>22447</v>
      </c>
      <c r="G18" s="34">
        <v>1282</v>
      </c>
      <c r="H18" s="34">
        <v>170</v>
      </c>
      <c r="I18" s="34">
        <v>192</v>
      </c>
      <c r="J18" s="2">
        <v>62</v>
      </c>
      <c r="L18" s="110"/>
      <c r="M18" s="6"/>
      <c r="N18" s="220"/>
    </row>
    <row r="19" spans="1:14">
      <c r="A19" s="1">
        <v>7</v>
      </c>
      <c r="B19" s="2"/>
      <c r="C19" s="1">
        <v>2023</v>
      </c>
      <c r="D19" s="1" t="s">
        <v>12</v>
      </c>
      <c r="E19" s="120"/>
      <c r="F19" s="34">
        <v>22476</v>
      </c>
      <c r="G19" s="34">
        <v>1286</v>
      </c>
      <c r="H19" s="34">
        <v>170</v>
      </c>
      <c r="I19" s="34">
        <v>193</v>
      </c>
      <c r="J19" s="2">
        <v>62</v>
      </c>
      <c r="L19" s="110"/>
      <c r="M19" s="6"/>
      <c r="N19" s="220"/>
    </row>
    <row r="20" spans="1:14">
      <c r="A20" s="1">
        <v>8</v>
      </c>
      <c r="B20" s="2"/>
      <c r="C20" s="1">
        <v>2023</v>
      </c>
      <c r="D20" s="1" t="s">
        <v>13</v>
      </c>
      <c r="E20" s="120"/>
      <c r="F20" s="34">
        <v>22505</v>
      </c>
      <c r="G20" s="34">
        <v>1294</v>
      </c>
      <c r="H20" s="34">
        <v>175</v>
      </c>
      <c r="I20" s="34">
        <v>192</v>
      </c>
      <c r="J20" s="2">
        <v>60</v>
      </c>
      <c r="L20" s="110"/>
      <c r="M20" s="6"/>
      <c r="N20" s="220"/>
    </row>
    <row r="21" spans="1:14">
      <c r="A21" s="1">
        <v>9</v>
      </c>
      <c r="B21" s="2"/>
      <c r="C21" s="1">
        <v>2023</v>
      </c>
      <c r="D21" s="1" t="s">
        <v>2</v>
      </c>
      <c r="E21" s="120"/>
      <c r="F21" s="34">
        <v>22512</v>
      </c>
      <c r="G21" s="34">
        <v>1286</v>
      </c>
      <c r="H21" s="34">
        <v>172</v>
      </c>
      <c r="I21" s="34">
        <v>192</v>
      </c>
      <c r="J21" s="2">
        <v>62</v>
      </c>
      <c r="L21" s="110"/>
      <c r="M21" s="6"/>
      <c r="N21" s="220"/>
    </row>
    <row r="22" spans="1:14">
      <c r="A22" s="1">
        <v>10</v>
      </c>
      <c r="B22" s="2"/>
      <c r="C22" s="1">
        <v>2023</v>
      </c>
      <c r="D22" s="1" t="s">
        <v>3</v>
      </c>
      <c r="E22" s="120"/>
      <c r="F22" s="34">
        <v>22517</v>
      </c>
      <c r="G22" s="34">
        <v>1284</v>
      </c>
      <c r="H22" s="34">
        <v>174</v>
      </c>
      <c r="I22" s="34">
        <v>193</v>
      </c>
      <c r="J22" s="2">
        <v>61</v>
      </c>
      <c r="L22" s="110"/>
      <c r="M22" s="6"/>
      <c r="N22" s="220"/>
    </row>
    <row r="23" spans="1:14">
      <c r="A23" s="1">
        <v>11</v>
      </c>
      <c r="B23" s="2"/>
      <c r="C23" s="1">
        <v>2023</v>
      </c>
      <c r="D23" s="1" t="s">
        <v>4</v>
      </c>
      <c r="E23" s="120"/>
      <c r="F23" s="34">
        <v>22564</v>
      </c>
      <c r="G23" s="34">
        <v>1280</v>
      </c>
      <c r="H23" s="34">
        <v>174</v>
      </c>
      <c r="I23" s="34">
        <v>193</v>
      </c>
      <c r="J23" s="2">
        <v>61</v>
      </c>
      <c r="L23" s="110"/>
      <c r="M23" s="6"/>
      <c r="N23" s="220"/>
    </row>
    <row r="24" spans="1:14">
      <c r="A24" s="1">
        <v>12</v>
      </c>
      <c r="B24" s="2"/>
      <c r="C24" s="1">
        <v>2023</v>
      </c>
      <c r="D24" s="1" t="s">
        <v>5</v>
      </c>
      <c r="E24" s="120"/>
      <c r="F24" s="34">
        <v>22543</v>
      </c>
      <c r="G24" s="34">
        <v>1271</v>
      </c>
      <c r="H24" s="34">
        <v>174</v>
      </c>
      <c r="I24" s="34">
        <v>194</v>
      </c>
      <c r="J24" s="2">
        <v>63</v>
      </c>
      <c r="L24" s="110"/>
      <c r="M24" s="6"/>
      <c r="N24" s="220"/>
    </row>
    <row r="25" spans="1:14">
      <c r="A25" s="1">
        <v>13</v>
      </c>
      <c r="B25" s="2"/>
      <c r="C25" s="4" t="s">
        <v>51</v>
      </c>
      <c r="D25" s="44"/>
      <c r="E25" s="239"/>
      <c r="F25" s="54">
        <f>ROUND(AVERAGE(F13:F24),0)</f>
        <v>22478</v>
      </c>
      <c r="G25" s="54">
        <f>ROUND(AVERAGE(G13:G24),0)</f>
        <v>1279</v>
      </c>
      <c r="H25" s="54">
        <f>ROUND(AVERAGE(H13:H24),0)</f>
        <v>171</v>
      </c>
      <c r="I25" s="54">
        <f>ROUND(AVERAGE(I13:I24),0)</f>
        <v>192</v>
      </c>
      <c r="J25" s="54">
        <f>ROUND(AVERAGE(J13:J24),0)</f>
        <v>61</v>
      </c>
      <c r="L25" s="110"/>
      <c r="M25" s="6"/>
    </row>
    <row r="26" spans="1:14">
      <c r="A26" s="1">
        <v>14</v>
      </c>
      <c r="B26" s="2"/>
      <c r="C26" s="2"/>
      <c r="D26" s="2"/>
      <c r="E26" s="2"/>
      <c r="L26" s="110"/>
      <c r="M26" s="6"/>
    </row>
    <row r="27" spans="1:14">
      <c r="A27" s="1">
        <v>15</v>
      </c>
      <c r="B27" s="2"/>
      <c r="C27" s="30" t="s">
        <v>66</v>
      </c>
      <c r="D27" s="2"/>
      <c r="E27" s="239"/>
      <c r="F27" s="95">
        <f>F24-F25</f>
        <v>65</v>
      </c>
      <c r="G27" s="95">
        <f>G24-G25</f>
        <v>-8</v>
      </c>
      <c r="H27" s="95">
        <f>H24-H25</f>
        <v>3</v>
      </c>
      <c r="I27" s="95">
        <f>I24-I25</f>
        <v>2</v>
      </c>
      <c r="J27" s="95">
        <f>J24-J25</f>
        <v>2</v>
      </c>
      <c r="L27" s="110"/>
      <c r="M27" s="6"/>
    </row>
    <row r="28" spans="1:14">
      <c r="A28" s="1">
        <v>16</v>
      </c>
      <c r="B28" s="2"/>
      <c r="C28" s="2"/>
      <c r="D28" s="1"/>
      <c r="E28" s="239"/>
      <c r="F28" s="103"/>
      <c r="G28" s="103"/>
      <c r="L28" s="110"/>
      <c r="M28" s="6"/>
    </row>
    <row r="29" spans="1:14">
      <c r="A29" s="1">
        <v>17</v>
      </c>
      <c r="B29" s="2"/>
      <c r="C29" s="2" t="s">
        <v>52</v>
      </c>
      <c r="D29" s="1"/>
      <c r="E29" s="239"/>
      <c r="F29" s="95">
        <v>268297725</v>
      </c>
      <c r="G29" s="95">
        <v>15091330</v>
      </c>
      <c r="H29" s="95">
        <v>9902607</v>
      </c>
      <c r="I29" s="95">
        <v>686837</v>
      </c>
      <c r="J29" s="95">
        <v>77726344</v>
      </c>
      <c r="L29" s="110"/>
      <c r="M29" s="6"/>
    </row>
    <row r="30" spans="1:14">
      <c r="A30" s="1">
        <v>18</v>
      </c>
      <c r="B30" s="2"/>
      <c r="C30" s="2" t="s">
        <v>53</v>
      </c>
      <c r="D30" s="1"/>
      <c r="E30" s="239"/>
      <c r="F30" s="95">
        <f>F29/F25</f>
        <v>11936.014102678175</v>
      </c>
      <c r="G30" s="95">
        <f>G29/G25</f>
        <v>11799.319781078968</v>
      </c>
      <c r="H30" s="95">
        <f>H29/H25</f>
        <v>57909.982456140351</v>
      </c>
      <c r="I30" s="95">
        <f>I29/I25</f>
        <v>3577.2760416666665</v>
      </c>
      <c r="J30" s="95">
        <f>J29/J25</f>
        <v>1274202.3606557378</v>
      </c>
      <c r="L30" s="110"/>
      <c r="M30" s="6"/>
    </row>
    <row r="31" spans="1:14">
      <c r="A31" s="1">
        <v>19</v>
      </c>
      <c r="B31" s="2"/>
      <c r="C31" s="2" t="s">
        <v>54</v>
      </c>
      <c r="D31" s="1"/>
      <c r="E31" s="239"/>
      <c r="F31" s="95">
        <f>F30*F27</f>
        <v>775840.91667408135</v>
      </c>
      <c r="G31" s="95">
        <f>G30*G27</f>
        <v>-94394.558248631743</v>
      </c>
      <c r="H31" s="95">
        <f>H30*H27</f>
        <v>173729.94736842107</v>
      </c>
      <c r="I31" s="95">
        <f>I30*I27</f>
        <v>7154.552083333333</v>
      </c>
      <c r="J31" s="95">
        <f>J30*J27</f>
        <v>2548404.7213114756</v>
      </c>
      <c r="K31" s="313">
        <f>SUM(F31:J31)</f>
        <v>3410735.5791886798</v>
      </c>
      <c r="L31" s="110"/>
      <c r="M31" s="6"/>
    </row>
    <row r="32" spans="1:14">
      <c r="A32" s="1">
        <v>20</v>
      </c>
      <c r="B32" s="2"/>
      <c r="C32" s="2"/>
      <c r="D32" s="1"/>
      <c r="E32" s="239"/>
      <c r="F32" s="103"/>
      <c r="G32" s="103"/>
      <c r="L32" s="110"/>
      <c r="M32" s="6"/>
    </row>
    <row r="33" spans="1:13">
      <c r="A33" s="1">
        <v>21</v>
      </c>
      <c r="B33" s="2"/>
      <c r="C33" s="92" t="s">
        <v>58</v>
      </c>
      <c r="D33" s="1"/>
      <c r="E33" s="239"/>
      <c r="F33" s="103"/>
      <c r="G33" s="103"/>
      <c r="L33" s="110"/>
      <c r="M33" s="6"/>
    </row>
    <row r="34" spans="1:13">
      <c r="A34" s="1">
        <v>22</v>
      </c>
      <c r="B34" s="2"/>
      <c r="C34" s="2" t="s">
        <v>55</v>
      </c>
      <c r="D34" s="1"/>
      <c r="E34" s="239"/>
      <c r="F34" s="103">
        <v>27638127.603750002</v>
      </c>
      <c r="G34" s="103">
        <v>1527856.9393500001</v>
      </c>
      <c r="H34" s="186">
        <v>1083549.5637099999</v>
      </c>
      <c r="I34" s="186">
        <v>82151.63758000001</v>
      </c>
      <c r="J34" s="186">
        <v>5728290.4111700011</v>
      </c>
      <c r="L34" s="110"/>
      <c r="M34" s="6"/>
    </row>
    <row r="35" spans="1:13">
      <c r="A35" s="1">
        <v>23</v>
      </c>
      <c r="B35" s="2"/>
      <c r="C35" s="2" t="s">
        <v>56</v>
      </c>
      <c r="D35" s="1"/>
      <c r="E35" s="239"/>
      <c r="F35" s="314">
        <f>F34/F29</f>
        <v>0.10301290331011939</v>
      </c>
      <c r="G35" s="314">
        <f>G34/G29</f>
        <v>0.10124070836367637</v>
      </c>
      <c r="H35" s="314">
        <f>H34/H29</f>
        <v>0.10942063677877956</v>
      </c>
      <c r="I35" s="314">
        <f>I34/I29</f>
        <v>0.11960863724580943</v>
      </c>
      <c r="J35" s="314">
        <f>J34/J29</f>
        <v>7.3698184121074845E-2</v>
      </c>
      <c r="L35" s="110"/>
      <c r="M35" s="6"/>
    </row>
    <row r="36" spans="1:13">
      <c r="A36" s="1">
        <v>24</v>
      </c>
      <c r="B36" s="2"/>
      <c r="C36" s="2" t="s">
        <v>57</v>
      </c>
      <c r="D36" s="1"/>
      <c r="E36" s="239"/>
      <c r="F36" s="103">
        <f>F35*F31</f>
        <v>79921.62533338154</v>
      </c>
      <c r="G36" s="103">
        <f>G35*G31</f>
        <v>-9556.5719427677868</v>
      </c>
      <c r="H36" s="103">
        <f>H35*H31</f>
        <v>19009.641468596492</v>
      </c>
      <c r="I36" s="103">
        <f>I35*I31</f>
        <v>855.7462247916668</v>
      </c>
      <c r="J36" s="103">
        <f>J35*J31</f>
        <v>187812.80036622955</v>
      </c>
      <c r="K36" s="313">
        <f>SUM(F36:J36)</f>
        <v>278043.24145023146</v>
      </c>
      <c r="L36" s="110"/>
      <c r="M36" s="6"/>
    </row>
    <row r="37" spans="1:13">
      <c r="A37" s="1">
        <v>25</v>
      </c>
      <c r="B37" s="2"/>
      <c r="C37" s="2"/>
      <c r="D37" s="1"/>
      <c r="E37" s="239"/>
      <c r="F37" s="103"/>
      <c r="G37" s="103"/>
      <c r="H37" s="103"/>
      <c r="I37" s="103"/>
      <c r="J37" s="103"/>
      <c r="L37" s="110"/>
      <c r="M37" s="6"/>
    </row>
    <row r="38" spans="1:13">
      <c r="A38" s="1">
        <v>26</v>
      </c>
      <c r="B38" s="2"/>
      <c r="C38" s="92" t="s">
        <v>59</v>
      </c>
      <c r="D38" s="1"/>
      <c r="E38" s="239"/>
      <c r="F38" s="103"/>
      <c r="G38" s="103"/>
      <c r="H38" s="103"/>
      <c r="I38" s="103"/>
      <c r="J38" s="103"/>
    </row>
    <row r="39" spans="1:13">
      <c r="A39" s="1">
        <v>27</v>
      </c>
      <c r="B39" s="2"/>
      <c r="C39" s="2" t="s">
        <v>68</v>
      </c>
      <c r="D39" s="1"/>
      <c r="E39" s="239"/>
      <c r="F39" s="315">
        <f>G56/G57</f>
        <v>5.842808093035002E-2</v>
      </c>
      <c r="G39" s="315">
        <f>F39</f>
        <v>5.842808093035002E-2</v>
      </c>
      <c r="H39" s="315">
        <f>G39</f>
        <v>5.842808093035002E-2</v>
      </c>
      <c r="I39" s="315">
        <f>F39</f>
        <v>5.842808093035002E-2</v>
      </c>
      <c r="J39" s="315">
        <f>H39</f>
        <v>5.842808093035002E-2</v>
      </c>
    </row>
    <row r="40" spans="1:13">
      <c r="A40" s="1">
        <v>28</v>
      </c>
      <c r="B40" s="2"/>
      <c r="C40" s="2" t="s">
        <v>60</v>
      </c>
      <c r="D40" s="1"/>
      <c r="E40" s="239"/>
      <c r="F40" s="103">
        <f>F39*F31</f>
        <v>45330.895868510168</v>
      </c>
      <c r="G40" s="103">
        <f>G39*G31</f>
        <v>-5515.2928887356948</v>
      </c>
      <c r="H40" s="103">
        <f>H39*H31</f>
        <v>10150.707424867556</v>
      </c>
      <c r="I40" s="103">
        <f>I39*I31</f>
        <v>418.02674814540433</v>
      </c>
      <c r="J40" s="103">
        <f>J39*J31</f>
        <v>148898.39730007297</v>
      </c>
      <c r="K40" s="313">
        <f>SUM(F40:J40)</f>
        <v>199282.7344528604</v>
      </c>
      <c r="L40" s="103"/>
      <c r="M40" s="239"/>
    </row>
    <row r="41" spans="1:13" ht="13.5" thickBot="1">
      <c r="A41" s="1">
        <v>29</v>
      </c>
      <c r="B41" s="2"/>
      <c r="C41" s="240"/>
      <c r="D41" s="31"/>
      <c r="E41" s="241"/>
      <c r="F41" s="316"/>
      <c r="G41" s="316"/>
      <c r="H41" s="316"/>
      <c r="I41" s="316"/>
      <c r="J41" s="316"/>
      <c r="K41" s="240"/>
    </row>
    <row r="42" spans="1:13" ht="13.5" thickTop="1">
      <c r="A42" s="1">
        <v>30</v>
      </c>
      <c r="B42" s="2"/>
      <c r="C42" s="2"/>
      <c r="D42" s="1"/>
      <c r="E42" s="239"/>
    </row>
    <row r="43" spans="1:13">
      <c r="A43" s="1">
        <v>31</v>
      </c>
      <c r="B43" s="2"/>
      <c r="C43" s="2"/>
      <c r="D43" s="2"/>
      <c r="E43" s="239"/>
      <c r="F43" s="317" t="s">
        <v>32</v>
      </c>
      <c r="G43" s="317" t="s">
        <v>24</v>
      </c>
      <c r="K43" s="317" t="s">
        <v>69</v>
      </c>
    </row>
    <row r="44" spans="1:13">
      <c r="A44" s="1">
        <v>32</v>
      </c>
      <c r="B44" s="2"/>
      <c r="C44" s="2" t="s">
        <v>36</v>
      </c>
      <c r="D44" s="2"/>
      <c r="E44" s="239"/>
      <c r="F44" s="103">
        <v>0</v>
      </c>
      <c r="G44" s="103">
        <v>0</v>
      </c>
      <c r="K44" s="178">
        <f>F44-G44</f>
        <v>0</v>
      </c>
      <c r="L44" s="178"/>
      <c r="M44" s="24"/>
    </row>
    <row r="45" spans="1:13">
      <c r="A45" s="1">
        <v>33</v>
      </c>
      <c r="B45" s="2"/>
      <c r="C45" s="2"/>
      <c r="D45" s="2"/>
      <c r="E45" s="239"/>
      <c r="F45" s="103"/>
    </row>
    <row r="46" spans="1:13">
      <c r="A46" s="1">
        <v>34</v>
      </c>
      <c r="B46" s="2"/>
      <c r="C46" s="2" t="s">
        <v>37</v>
      </c>
      <c r="D46" s="2"/>
      <c r="E46" s="120"/>
      <c r="F46" s="186">
        <f>K36</f>
        <v>278043.24145023146</v>
      </c>
      <c r="G46" s="186">
        <f>K40</f>
        <v>199282.7344528604</v>
      </c>
      <c r="K46" s="178">
        <f>F46-G46</f>
        <v>78760.506997371063</v>
      </c>
    </row>
    <row r="47" spans="1:13">
      <c r="A47" s="1">
        <v>35</v>
      </c>
      <c r="B47" s="2"/>
      <c r="C47" s="2"/>
      <c r="D47" s="2"/>
      <c r="E47" s="2"/>
    </row>
    <row r="48" spans="1:13" ht="13.5" thickBot="1">
      <c r="A48" s="1">
        <v>36</v>
      </c>
      <c r="B48" s="2"/>
      <c r="C48" s="3" t="s">
        <v>15</v>
      </c>
      <c r="D48" s="3"/>
      <c r="E48" s="242"/>
      <c r="F48" s="318">
        <f>ROUND(F46-F44,2)</f>
        <v>278043.24</v>
      </c>
      <c r="G48" s="318">
        <f>ROUND(G46-G44,2)</f>
        <v>199282.73</v>
      </c>
      <c r="K48" s="319">
        <f>ROUND(K46-K44,2)</f>
        <v>78760.509999999995</v>
      </c>
    </row>
    <row r="49" spans="1:11" ht="13.5" thickTop="1">
      <c r="A49" s="1">
        <v>37</v>
      </c>
      <c r="B49" s="2"/>
      <c r="C49" s="2"/>
      <c r="D49" s="2"/>
      <c r="E49" s="2"/>
    </row>
    <row r="50" spans="1:11">
      <c r="A50" s="1">
        <v>38</v>
      </c>
      <c r="B50" s="2"/>
      <c r="C50" s="2"/>
      <c r="D50" s="2"/>
      <c r="E50" s="2"/>
    </row>
    <row r="51" spans="1:11">
      <c r="A51" s="1">
        <v>39</v>
      </c>
      <c r="B51" s="2"/>
      <c r="C51" s="130" t="s">
        <v>67</v>
      </c>
      <c r="D51" s="2"/>
      <c r="E51" s="2"/>
      <c r="G51" s="320" t="s">
        <v>217</v>
      </c>
      <c r="K51" s="313"/>
    </row>
    <row r="52" spans="1:11">
      <c r="A52" s="1">
        <v>40</v>
      </c>
      <c r="B52" s="2"/>
      <c r="C52" s="2" t="s">
        <v>61</v>
      </c>
      <c r="D52" s="1"/>
      <c r="E52" s="239"/>
      <c r="G52" s="103">
        <v>43384255</v>
      </c>
    </row>
    <row r="53" spans="1:11">
      <c r="A53" s="1">
        <v>41</v>
      </c>
      <c r="B53" s="2"/>
      <c r="C53" s="2" t="s">
        <v>63</v>
      </c>
      <c r="D53" s="1"/>
      <c r="E53" s="239"/>
      <c r="G53" s="103">
        <v>-5473319</v>
      </c>
    </row>
    <row r="54" spans="1:11">
      <c r="A54" s="1">
        <v>42</v>
      </c>
      <c r="B54" s="2"/>
      <c r="C54" s="2" t="s">
        <v>62</v>
      </c>
      <c r="D54" s="1"/>
      <c r="E54" s="239"/>
      <c r="G54" s="103">
        <v>-5926470</v>
      </c>
    </row>
    <row r="55" spans="1:11">
      <c r="A55" s="1">
        <v>43</v>
      </c>
      <c r="B55" s="2"/>
      <c r="C55" s="2" t="s">
        <v>458</v>
      </c>
      <c r="D55" s="1"/>
      <c r="E55" s="239"/>
      <c r="G55" s="103">
        <v>0</v>
      </c>
    </row>
    <row r="56" spans="1:11">
      <c r="A56" s="1">
        <v>44</v>
      </c>
      <c r="B56" s="2"/>
      <c r="C56" s="2" t="s">
        <v>64</v>
      </c>
      <c r="D56" s="1"/>
      <c r="E56" s="239"/>
      <c r="G56" s="103">
        <f>SUM(G52:G55)</f>
        <v>31984466</v>
      </c>
    </row>
    <row r="57" spans="1:11">
      <c r="A57" s="1">
        <v>45</v>
      </c>
      <c r="B57" s="2"/>
      <c r="C57" s="2" t="s">
        <v>65</v>
      </c>
      <c r="D57" s="1"/>
      <c r="E57" s="239"/>
      <c r="G57" s="95">
        <v>547415994</v>
      </c>
    </row>
    <row r="59" spans="1:11" ht="27" customHeight="1">
      <c r="C59" s="358" t="s">
        <v>157</v>
      </c>
      <c r="D59" s="358"/>
      <c r="E59" s="358"/>
      <c r="F59" s="358"/>
      <c r="G59" s="358"/>
      <c r="H59" s="358"/>
      <c r="I59" s="358"/>
      <c r="J59" s="358"/>
      <c r="K59" s="41"/>
    </row>
  </sheetData>
  <mergeCells count="7">
    <mergeCell ref="A4:K4"/>
    <mergeCell ref="A5:K5"/>
    <mergeCell ref="A7:K7"/>
    <mergeCell ref="C59:J59"/>
    <mergeCell ref="A9:A10"/>
    <mergeCell ref="C9:C10"/>
    <mergeCell ref="K9:K10"/>
  </mergeCells>
  <printOptions horizontalCentered="1"/>
  <pageMargins left="0.25" right="0.25" top="0.75" bottom="0.75" header="0.5" footer="0.25"/>
  <pageSetup scale="68" orientation="portrait" r:id="rId1"/>
  <headerFooter alignWithMargins="0">
    <oddFooter>&amp;RRevised Exhibit JW-2
Page &amp;P of &amp;N</oddFooter>
  </headerFooter>
  <ignoredErrors>
    <ignoredError sqref="C11:H11 I11 J11:K1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V62"/>
  <sheetViews>
    <sheetView view="pageBreakPreview" topLeftCell="A28" zoomScaleNormal="100" zoomScaleSheetLayoutView="100" workbookViewId="0">
      <selection activeCell="L16" sqref="L16"/>
    </sheetView>
  </sheetViews>
  <sheetFormatPr defaultColWidth="9.140625" defaultRowHeight="12.75"/>
  <cols>
    <col min="1" max="1" width="5.85546875" style="10" customWidth="1"/>
    <col min="2" max="2" width="11.140625" style="10" customWidth="1"/>
    <col min="3" max="3" width="30.5703125" style="10" bestFit="1" customWidth="1"/>
    <col min="4" max="4" width="13.42578125" style="2" customWidth="1"/>
    <col min="5" max="5" width="11.5703125" style="2" customWidth="1"/>
    <col min="6" max="6" width="7.28515625" style="2" bestFit="1" customWidth="1"/>
    <col min="7" max="7" width="12.140625" style="2" customWidth="1"/>
    <col min="8" max="8" width="13" style="2" customWidth="1"/>
    <col min="9" max="9" width="11.5703125" style="2" customWidth="1"/>
    <col min="10" max="11" width="9.140625" style="10"/>
    <col min="12" max="12" width="11.5703125" style="10" customWidth="1"/>
    <col min="13" max="13" width="11.28515625" style="10" bestFit="1" customWidth="1"/>
    <col min="14" max="16384" width="9.140625" style="10"/>
  </cols>
  <sheetData>
    <row r="1" spans="1:9">
      <c r="F1" s="109"/>
      <c r="I1" s="109" t="s">
        <v>113</v>
      </c>
    </row>
    <row r="2" spans="1:9" ht="20.25" customHeight="1">
      <c r="F2" s="109"/>
      <c r="I2" s="338"/>
    </row>
    <row r="3" spans="1:9">
      <c r="A3" s="356" t="str">
        <f>RevReq!A1</f>
        <v>CUMBERLAND VALLEY ELECTRIC</v>
      </c>
      <c r="B3" s="356"/>
      <c r="C3" s="356"/>
      <c r="D3" s="356"/>
      <c r="E3" s="356"/>
      <c r="F3" s="356"/>
      <c r="G3" s="356"/>
      <c r="H3" s="356"/>
      <c r="I3" s="356"/>
    </row>
    <row r="4" spans="1:9">
      <c r="A4" s="356" t="str">
        <f>RevReq!A3</f>
        <v>For the 12 Months Ended December 31, 2023</v>
      </c>
      <c r="B4" s="356"/>
      <c r="C4" s="356"/>
      <c r="D4" s="356"/>
      <c r="E4" s="356"/>
      <c r="F4" s="356"/>
      <c r="G4" s="356"/>
      <c r="H4" s="356"/>
      <c r="I4" s="356"/>
    </row>
    <row r="6" spans="1:9" s="6" customFormat="1" ht="15" customHeight="1">
      <c r="A6" s="357" t="s">
        <v>29</v>
      </c>
      <c r="B6" s="357"/>
      <c r="C6" s="357"/>
      <c r="D6" s="357"/>
      <c r="E6" s="357"/>
      <c r="F6" s="357"/>
      <c r="G6" s="357"/>
      <c r="H6" s="357"/>
      <c r="I6" s="357"/>
    </row>
    <row r="8" spans="1:9" s="27" customFormat="1" ht="38.25" customHeight="1">
      <c r="A8" s="27" t="s">
        <v>0</v>
      </c>
      <c r="B8" s="27" t="s">
        <v>134</v>
      </c>
      <c r="C8" s="27" t="s">
        <v>1</v>
      </c>
      <c r="D8" s="38" t="s">
        <v>131</v>
      </c>
      <c r="E8" s="38" t="s">
        <v>135</v>
      </c>
      <c r="F8" s="38" t="s">
        <v>90</v>
      </c>
      <c r="G8" s="38" t="s">
        <v>132</v>
      </c>
      <c r="H8" s="38" t="s">
        <v>133</v>
      </c>
      <c r="I8" s="38" t="s">
        <v>126</v>
      </c>
    </row>
    <row r="9" spans="1:9">
      <c r="A9" s="11" t="s">
        <v>21</v>
      </c>
      <c r="B9" s="12" t="s">
        <v>18</v>
      </c>
      <c r="C9" s="12" t="s">
        <v>20</v>
      </c>
      <c r="D9" s="238" t="s">
        <v>19</v>
      </c>
      <c r="E9" s="238" t="s">
        <v>25</v>
      </c>
      <c r="F9" s="238" t="s">
        <v>47</v>
      </c>
      <c r="G9" s="238" t="s">
        <v>48</v>
      </c>
      <c r="H9" s="238" t="s">
        <v>49</v>
      </c>
      <c r="I9" s="238" t="s">
        <v>50</v>
      </c>
    </row>
    <row r="10" spans="1:9">
      <c r="A10" s="9"/>
    </row>
    <row r="11" spans="1:9">
      <c r="A11" s="9">
        <v>1</v>
      </c>
      <c r="B11" s="35" t="s">
        <v>136</v>
      </c>
    </row>
    <row r="12" spans="1:9">
      <c r="A12" s="9">
        <f>A11+1</f>
        <v>2</v>
      </c>
      <c r="B12" s="98"/>
      <c r="C12" s="2"/>
      <c r="D12" s="321"/>
    </row>
    <row r="13" spans="1:9">
      <c r="A13" s="9">
        <f t="shared" ref="A13:A25" si="0">A12+1</f>
        <v>3</v>
      </c>
      <c r="B13" s="139">
        <v>360</v>
      </c>
      <c r="C13" s="2" t="s">
        <v>142</v>
      </c>
      <c r="D13" s="339">
        <v>5485.38</v>
      </c>
      <c r="E13" s="321"/>
      <c r="F13" s="243"/>
      <c r="G13" s="321"/>
      <c r="H13" s="321"/>
      <c r="I13" s="321"/>
    </row>
    <row r="14" spans="1:9">
      <c r="A14" s="9">
        <f t="shared" si="0"/>
        <v>4</v>
      </c>
      <c r="B14" s="139">
        <v>362</v>
      </c>
      <c r="C14" s="2" t="s">
        <v>137</v>
      </c>
      <c r="D14" s="321">
        <v>696733.38</v>
      </c>
      <c r="E14" s="321">
        <v>0</v>
      </c>
      <c r="F14" s="243">
        <v>6.7000000000000004E-2</v>
      </c>
      <c r="G14" s="321">
        <f>ROUND(((+D14-E14)*F14),2)</f>
        <v>46681.14</v>
      </c>
      <c r="H14" s="321">
        <v>46672.49</v>
      </c>
      <c r="I14" s="321">
        <f>G14-H14</f>
        <v>8.6500000000014552</v>
      </c>
    </row>
    <row r="15" spans="1:9">
      <c r="A15" s="9">
        <f t="shared" si="0"/>
        <v>5</v>
      </c>
      <c r="B15" s="139">
        <v>364</v>
      </c>
      <c r="C15" s="2" t="s">
        <v>138</v>
      </c>
      <c r="D15" s="321">
        <v>32800740.91</v>
      </c>
      <c r="E15" s="321">
        <v>0</v>
      </c>
      <c r="F15" s="243">
        <v>3.9E-2</v>
      </c>
      <c r="G15" s="321">
        <f>ROUND(((+D15-E15)*F15),2)</f>
        <v>1279228.8999999999</v>
      </c>
      <c r="H15" s="321">
        <v>1263055.69</v>
      </c>
      <c r="I15" s="321">
        <f>G15-H15</f>
        <v>16173.209999999963</v>
      </c>
    </row>
    <row r="16" spans="1:9">
      <c r="A16" s="9">
        <f t="shared" si="0"/>
        <v>6</v>
      </c>
      <c r="B16" s="139">
        <v>365</v>
      </c>
      <c r="C16" s="2" t="s">
        <v>139</v>
      </c>
      <c r="D16" s="321">
        <v>30548819.960000001</v>
      </c>
      <c r="E16" s="321">
        <v>0</v>
      </c>
      <c r="F16" s="243">
        <v>3.27E-2</v>
      </c>
      <c r="G16" s="321">
        <f>ROUND(((+D16-E16)*F16),2)</f>
        <v>998946.41</v>
      </c>
      <c r="H16" s="321">
        <v>988244.99</v>
      </c>
      <c r="I16" s="321">
        <f>G16-H16</f>
        <v>10701.420000000042</v>
      </c>
    </row>
    <row r="17" spans="1:9">
      <c r="A17" s="9">
        <f t="shared" si="0"/>
        <v>7</v>
      </c>
      <c r="B17" s="139">
        <v>367</v>
      </c>
      <c r="C17" s="2" t="s">
        <v>140</v>
      </c>
      <c r="D17" s="321">
        <v>4554892.37</v>
      </c>
      <c r="E17" s="321">
        <v>0</v>
      </c>
      <c r="F17" s="322">
        <v>4.02E-2</v>
      </c>
      <c r="G17" s="321">
        <f t="shared" ref="G17:G22" si="1">ROUND(((+D17-E17)*F17),2)</f>
        <v>183106.67</v>
      </c>
      <c r="H17" s="321">
        <v>179774.09</v>
      </c>
      <c r="I17" s="103">
        <f t="shared" ref="I17:I22" si="2">G17-H17</f>
        <v>3332.5800000000163</v>
      </c>
    </row>
    <row r="18" spans="1:9">
      <c r="A18" s="9">
        <f t="shared" si="0"/>
        <v>8</v>
      </c>
      <c r="B18" s="139">
        <v>368</v>
      </c>
      <c r="C18" s="2" t="s">
        <v>141</v>
      </c>
      <c r="D18" s="321">
        <v>10965699.699999999</v>
      </c>
      <c r="E18" s="321">
        <v>0</v>
      </c>
      <c r="F18" s="322">
        <v>2.3900000000000001E-2</v>
      </c>
      <c r="G18" s="321">
        <f>ROUND(((+D18-E18)*F18),2)</f>
        <v>262080.22</v>
      </c>
      <c r="H18" s="321">
        <v>260987.48</v>
      </c>
      <c r="I18" s="103">
        <f t="shared" si="2"/>
        <v>1092.7399999999907</v>
      </c>
    </row>
    <row r="19" spans="1:9">
      <c r="A19" s="9">
        <f t="shared" si="0"/>
        <v>9</v>
      </c>
      <c r="B19" s="139">
        <v>369</v>
      </c>
      <c r="C19" s="2" t="s">
        <v>92</v>
      </c>
      <c r="D19" s="321">
        <v>8837379.0999999996</v>
      </c>
      <c r="E19" s="321">
        <v>0</v>
      </c>
      <c r="F19" s="322">
        <v>4.1399999999999999E-2</v>
      </c>
      <c r="G19" s="321">
        <f t="shared" si="1"/>
        <v>365867.49</v>
      </c>
      <c r="H19" s="321">
        <v>362138.28</v>
      </c>
      <c r="I19" s="103">
        <f>G19-H19</f>
        <v>3729.2099999999627</v>
      </c>
    </row>
    <row r="20" spans="1:9">
      <c r="A20" s="9">
        <f t="shared" si="0"/>
        <v>10</v>
      </c>
      <c r="B20" s="139">
        <v>370</v>
      </c>
      <c r="C20" s="2" t="s">
        <v>292</v>
      </c>
      <c r="D20" s="321">
        <v>873020.86</v>
      </c>
      <c r="E20" s="321">
        <v>0</v>
      </c>
      <c r="F20" s="322">
        <v>3.4000000000000002E-2</v>
      </c>
      <c r="G20" s="321">
        <f t="shared" si="1"/>
        <v>29682.71</v>
      </c>
      <c r="H20" s="321">
        <v>32101.3</v>
      </c>
      <c r="I20" s="103">
        <f t="shared" si="2"/>
        <v>-2418.59</v>
      </c>
    </row>
    <row r="21" spans="1:9">
      <c r="A21" s="9">
        <f t="shared" si="0"/>
        <v>11</v>
      </c>
      <c r="B21" s="139">
        <v>370</v>
      </c>
      <c r="C21" s="2" t="s">
        <v>293</v>
      </c>
      <c r="D21" s="321">
        <v>7847632.9400000004</v>
      </c>
      <c r="E21" s="321">
        <v>0</v>
      </c>
      <c r="F21" s="322">
        <v>6.7000000000000004E-2</v>
      </c>
      <c r="G21" s="321">
        <f t="shared" si="1"/>
        <v>525791.41</v>
      </c>
      <c r="H21" s="321">
        <v>418464.51</v>
      </c>
      <c r="I21" s="103">
        <f t="shared" si="2"/>
        <v>107326.90000000002</v>
      </c>
    </row>
    <row r="22" spans="1:9">
      <c r="A22" s="9">
        <f t="shared" si="0"/>
        <v>12</v>
      </c>
      <c r="B22" s="139">
        <v>371</v>
      </c>
      <c r="C22" s="2" t="s">
        <v>294</v>
      </c>
      <c r="D22" s="321">
        <v>6363722.5899999999</v>
      </c>
      <c r="E22" s="321">
        <v>0</v>
      </c>
      <c r="F22" s="322">
        <v>4.8899999999999999E-2</v>
      </c>
      <c r="G22" s="321">
        <f t="shared" si="1"/>
        <v>311186.03000000003</v>
      </c>
      <c r="H22" s="321">
        <v>301540.65000000002</v>
      </c>
      <c r="I22" s="103">
        <f t="shared" si="2"/>
        <v>9645.3800000000047</v>
      </c>
    </row>
    <row r="23" spans="1:9">
      <c r="A23" s="9">
        <f t="shared" si="0"/>
        <v>13</v>
      </c>
      <c r="B23" s="2"/>
      <c r="C23" s="227" t="s">
        <v>22</v>
      </c>
      <c r="D23" s="323">
        <f>SUM(D14:D22)</f>
        <v>103488641.81</v>
      </c>
      <c r="E23" s="323">
        <f>SUM(E14:E22)</f>
        <v>0</v>
      </c>
      <c r="F23" s="323"/>
      <c r="G23" s="323">
        <f>SUM(G14:G22)</f>
        <v>4002570.9800000004</v>
      </c>
      <c r="H23" s="323">
        <f>SUM(H14:H22)</f>
        <v>3852979.4799999991</v>
      </c>
      <c r="I23" s="323">
        <f>SUM(I14:I22)</f>
        <v>149591.5</v>
      </c>
    </row>
    <row r="24" spans="1:9">
      <c r="A24" s="9">
        <f t="shared" si="0"/>
        <v>14</v>
      </c>
      <c r="B24" s="2"/>
      <c r="C24" s="2"/>
    </row>
    <row r="25" spans="1:9">
      <c r="A25" s="9">
        <f t="shared" si="0"/>
        <v>15</v>
      </c>
      <c r="B25" s="42" t="s">
        <v>143</v>
      </c>
      <c r="C25" s="2"/>
    </row>
    <row r="26" spans="1:9">
      <c r="A26" s="9">
        <f>A25+1</f>
        <v>16</v>
      </c>
      <c r="B26" s="117">
        <v>389</v>
      </c>
      <c r="C26" s="2" t="s">
        <v>142</v>
      </c>
      <c r="D26" s="339">
        <v>98651.83</v>
      </c>
      <c r="E26" s="321"/>
      <c r="F26" s="324"/>
      <c r="G26" s="321"/>
      <c r="H26" s="321"/>
      <c r="I26" s="103"/>
    </row>
    <row r="27" spans="1:9">
      <c r="A27" s="9">
        <f t="shared" ref="A27:A59" si="3">A26+1</f>
        <v>17</v>
      </c>
      <c r="B27" s="117">
        <v>390</v>
      </c>
      <c r="C27" s="2" t="s">
        <v>295</v>
      </c>
      <c r="D27" s="321">
        <v>5381.58</v>
      </c>
      <c r="F27" s="322">
        <v>0.04</v>
      </c>
      <c r="G27" s="321">
        <f t="shared" ref="G27:G34" si="4">ROUND(((+D27-E27)*F27),2)</f>
        <v>215.26</v>
      </c>
      <c r="H27" s="321">
        <v>215.04</v>
      </c>
      <c r="I27" s="186">
        <f t="shared" ref="I27:I34" si="5">G27-H27</f>
        <v>0.21999999999999886</v>
      </c>
    </row>
    <row r="28" spans="1:9">
      <c r="A28" s="9">
        <f t="shared" si="3"/>
        <v>18</v>
      </c>
      <c r="B28" s="117">
        <v>390</v>
      </c>
      <c r="C28" s="2" t="s">
        <v>269</v>
      </c>
      <c r="D28" s="321">
        <v>2250794.9300000002</v>
      </c>
      <c r="E28" s="321"/>
      <c r="F28" s="322">
        <v>2.86E-2</v>
      </c>
      <c r="G28" s="321">
        <f t="shared" si="4"/>
        <v>64372.73</v>
      </c>
      <c r="H28" s="321">
        <v>63884.08</v>
      </c>
      <c r="I28" s="103">
        <f t="shared" si="5"/>
        <v>488.65000000000146</v>
      </c>
    </row>
    <row r="29" spans="1:9">
      <c r="A29" s="9">
        <f t="shared" si="3"/>
        <v>19</v>
      </c>
      <c r="B29" s="117">
        <v>391</v>
      </c>
      <c r="C29" s="2" t="s">
        <v>296</v>
      </c>
      <c r="D29" s="321">
        <v>894674.21</v>
      </c>
      <c r="E29" s="321">
        <v>40037.18</v>
      </c>
      <c r="F29" s="322">
        <v>4.99E-2</v>
      </c>
      <c r="G29" s="321">
        <f t="shared" si="4"/>
        <v>42646.39</v>
      </c>
      <c r="H29" s="321">
        <v>44389.94</v>
      </c>
      <c r="I29" s="103">
        <f t="shared" si="5"/>
        <v>-1743.5500000000029</v>
      </c>
    </row>
    <row r="30" spans="1:9">
      <c r="A30" s="9">
        <f t="shared" si="3"/>
        <v>20</v>
      </c>
      <c r="B30" s="117">
        <v>394</v>
      </c>
      <c r="C30" s="2" t="s">
        <v>270</v>
      </c>
      <c r="D30" s="321">
        <v>98942.97</v>
      </c>
      <c r="E30" s="321">
        <v>39371.01</v>
      </c>
      <c r="F30" s="322">
        <v>6.6600000000000006E-2</v>
      </c>
      <c r="G30" s="321">
        <f t="shared" si="4"/>
        <v>3967.49</v>
      </c>
      <c r="H30" s="321">
        <v>4007.9</v>
      </c>
      <c r="I30" s="103">
        <f t="shared" si="5"/>
        <v>-40.410000000000309</v>
      </c>
    </row>
    <row r="31" spans="1:9">
      <c r="A31" s="9">
        <f t="shared" si="3"/>
        <v>21</v>
      </c>
      <c r="B31" s="117">
        <v>395</v>
      </c>
      <c r="C31" s="2" t="s">
        <v>297</v>
      </c>
      <c r="D31" s="321">
        <v>87712.1</v>
      </c>
      <c r="E31" s="321"/>
      <c r="F31" s="322">
        <v>0.04</v>
      </c>
      <c r="G31" s="321">
        <f t="shared" si="4"/>
        <v>3508.48</v>
      </c>
      <c r="H31" s="321">
        <v>3505.08</v>
      </c>
      <c r="I31" s="103">
        <f t="shared" si="5"/>
        <v>3.4000000000000909</v>
      </c>
    </row>
    <row r="32" spans="1:9">
      <c r="A32" s="9">
        <f t="shared" si="3"/>
        <v>22</v>
      </c>
      <c r="B32" s="117">
        <v>396</v>
      </c>
      <c r="C32" s="2" t="s">
        <v>298</v>
      </c>
      <c r="D32" s="321">
        <v>303903.89</v>
      </c>
      <c r="E32" s="321">
        <v>136625.54999999999</v>
      </c>
      <c r="F32" s="322">
        <v>0.06</v>
      </c>
      <c r="G32" s="321">
        <f t="shared" si="4"/>
        <v>10036.700000000001</v>
      </c>
      <c r="H32" s="321">
        <v>10036.68</v>
      </c>
      <c r="I32" s="103">
        <f t="shared" si="5"/>
        <v>2.0000000000436557E-2</v>
      </c>
    </row>
    <row r="33" spans="1:22">
      <c r="A33" s="9">
        <f t="shared" si="3"/>
        <v>23</v>
      </c>
      <c r="B33" s="117">
        <v>397</v>
      </c>
      <c r="C33" s="2" t="s">
        <v>271</v>
      </c>
      <c r="D33" s="321">
        <v>835033.56</v>
      </c>
      <c r="E33" s="321">
        <v>3042.98</v>
      </c>
      <c r="F33" s="322">
        <v>4.99E-2</v>
      </c>
      <c r="G33" s="321">
        <f t="shared" si="4"/>
        <v>41516.33</v>
      </c>
      <c r="H33" s="321">
        <v>40696.44</v>
      </c>
      <c r="I33" s="103">
        <f t="shared" si="5"/>
        <v>819.88999999999942</v>
      </c>
    </row>
    <row r="34" spans="1:22">
      <c r="A34" s="9">
        <f t="shared" si="3"/>
        <v>24</v>
      </c>
      <c r="B34" s="117">
        <v>398</v>
      </c>
      <c r="C34" s="2" t="s">
        <v>272</v>
      </c>
      <c r="D34" s="321">
        <v>461005.92</v>
      </c>
      <c r="E34" s="321">
        <v>93534.16</v>
      </c>
      <c r="F34" s="322">
        <v>5.5599999999999997E-2</v>
      </c>
      <c r="G34" s="321">
        <f t="shared" si="4"/>
        <v>20431.43</v>
      </c>
      <c r="H34" s="321">
        <v>20371.32</v>
      </c>
      <c r="I34" s="103">
        <f t="shared" si="5"/>
        <v>60.110000000000582</v>
      </c>
    </row>
    <row r="35" spans="1:22">
      <c r="A35" s="9">
        <f t="shared" si="3"/>
        <v>25</v>
      </c>
      <c r="C35" s="245"/>
      <c r="D35" s="323"/>
      <c r="E35" s="323"/>
      <c r="F35" s="323"/>
      <c r="G35" s="323"/>
      <c r="H35" s="340"/>
      <c r="I35" s="323"/>
    </row>
    <row r="36" spans="1:22">
      <c r="A36" s="9">
        <f t="shared" si="3"/>
        <v>26</v>
      </c>
      <c r="B36" s="2"/>
      <c r="C36" s="4" t="s">
        <v>22</v>
      </c>
      <c r="D36" s="323">
        <f>SUM(D27:D34)</f>
        <v>4937449.16</v>
      </c>
      <c r="E36" s="323">
        <f>SUM(E27:E34)</f>
        <v>312610.88</v>
      </c>
      <c r="F36" s="323"/>
      <c r="G36" s="323">
        <f>SUM(G27:G34)</f>
        <v>186694.81</v>
      </c>
      <c r="H36" s="325">
        <f>SUM(H27:H35)</f>
        <v>187106.48</v>
      </c>
      <c r="I36" s="326">
        <f>G36-H36</f>
        <v>-411.67000000001281</v>
      </c>
    </row>
    <row r="37" spans="1:22">
      <c r="A37" s="9">
        <f t="shared" si="3"/>
        <v>27</v>
      </c>
      <c r="B37" s="100" t="s">
        <v>127</v>
      </c>
      <c r="C37" s="244" t="s">
        <v>147</v>
      </c>
      <c r="D37" s="326">
        <f>D23+D36</f>
        <v>108426090.97</v>
      </c>
      <c r="E37" s="326">
        <f>E23+E36</f>
        <v>312610.88</v>
      </c>
      <c r="F37" s="326"/>
      <c r="G37" s="326">
        <f>G23+G36</f>
        <v>4189265.7900000005</v>
      </c>
      <c r="H37" s="326">
        <f>H23+H36</f>
        <v>4040085.959999999</v>
      </c>
      <c r="I37" s="326">
        <f>I23+I36</f>
        <v>149179.82999999999</v>
      </c>
      <c r="L37" s="140"/>
    </row>
    <row r="38" spans="1:22">
      <c r="A38" s="9">
        <f t="shared" si="3"/>
        <v>28</v>
      </c>
      <c r="B38" s="2"/>
      <c r="C38" s="131"/>
      <c r="D38" s="321"/>
      <c r="E38" s="321"/>
      <c r="F38" s="321"/>
      <c r="G38" s="321"/>
      <c r="H38" s="321"/>
      <c r="I38" s="321"/>
    </row>
    <row r="39" spans="1:22">
      <c r="A39" s="9">
        <f t="shared" si="3"/>
        <v>29</v>
      </c>
      <c r="B39" s="42" t="s">
        <v>144</v>
      </c>
      <c r="C39" s="2"/>
      <c r="D39" s="321"/>
      <c r="E39" s="321"/>
      <c r="F39" s="321"/>
      <c r="G39" s="321"/>
      <c r="H39" s="321"/>
      <c r="I39" s="321"/>
    </row>
    <row r="40" spans="1:22">
      <c r="A40" s="9">
        <f t="shared" si="3"/>
        <v>30</v>
      </c>
      <c r="B40" s="142">
        <v>392</v>
      </c>
      <c r="C40" s="2" t="s">
        <v>117</v>
      </c>
      <c r="D40" s="321">
        <v>3053663</v>
      </c>
      <c r="E40" s="321">
        <v>1652432.39</v>
      </c>
      <c r="F40" s="322">
        <v>0.1124</v>
      </c>
      <c r="G40" s="321">
        <f>ROUND(((+D40-E40)*F40),2)</f>
        <v>157498.32</v>
      </c>
      <c r="H40" s="321">
        <v>160557</v>
      </c>
      <c r="I40" s="103">
        <f>G40-H40</f>
        <v>-3058.679999999993</v>
      </c>
    </row>
    <row r="41" spans="1:22">
      <c r="A41" s="9">
        <f t="shared" si="3"/>
        <v>31</v>
      </c>
      <c r="B41" s="99" t="s">
        <v>128</v>
      </c>
      <c r="C41" s="100" t="s">
        <v>145</v>
      </c>
      <c r="D41" s="326"/>
      <c r="E41" s="326"/>
      <c r="F41" s="327"/>
      <c r="G41" s="326"/>
      <c r="H41" s="326"/>
      <c r="I41" s="328">
        <f>E54</f>
        <v>-1067.79</v>
      </c>
    </row>
    <row r="42" spans="1:22" ht="17.25" customHeight="1">
      <c r="A42" s="9">
        <f t="shared" si="3"/>
        <v>32</v>
      </c>
      <c r="B42" s="2"/>
      <c r="C42" s="2"/>
    </row>
    <row r="43" spans="1:22" ht="13.5" thickBot="1">
      <c r="A43" s="9">
        <f t="shared" si="3"/>
        <v>33</v>
      </c>
      <c r="B43" s="3" t="s">
        <v>222</v>
      </c>
      <c r="C43" s="3" t="s">
        <v>14</v>
      </c>
      <c r="D43" s="329">
        <f>D37+D40</f>
        <v>111479753.97</v>
      </c>
      <c r="E43" s="329">
        <f>E37+E40</f>
        <v>1965043.27</v>
      </c>
      <c r="F43" s="3"/>
      <c r="G43" s="329">
        <f>G37+G40</f>
        <v>4346764.1100000003</v>
      </c>
      <c r="H43" s="329">
        <f>H37+H40</f>
        <v>4200642.959999999</v>
      </c>
      <c r="I43" s="330">
        <f>I41+I37</f>
        <v>148112.03999999998</v>
      </c>
    </row>
    <row r="44" spans="1:22" ht="26.25" customHeight="1" thickTop="1">
      <c r="A44" s="9">
        <f t="shared" si="3"/>
        <v>34</v>
      </c>
      <c r="B44" s="2"/>
      <c r="C44" s="2"/>
    </row>
    <row r="45" spans="1:22" s="2" customFormat="1" ht="41.25" customHeight="1">
      <c r="A45" s="9">
        <f t="shared" si="3"/>
        <v>35</v>
      </c>
      <c r="B45" s="362" t="s">
        <v>224</v>
      </c>
      <c r="C45" s="362"/>
      <c r="D45" s="362"/>
      <c r="E45" s="362"/>
      <c r="F45" s="362"/>
      <c r="G45" s="362"/>
      <c r="H45" s="362"/>
      <c r="I45" s="362"/>
      <c r="J45" s="41"/>
      <c r="K45" s="41"/>
      <c r="L45" s="41"/>
      <c r="M45" s="41"/>
      <c r="N45" s="41"/>
      <c r="O45" s="41"/>
      <c r="P45" s="41"/>
      <c r="Q45" s="41"/>
      <c r="R45" s="41"/>
      <c r="S45" s="41"/>
      <c r="T45" s="41"/>
      <c r="U45" s="41"/>
      <c r="V45" s="41"/>
    </row>
    <row r="46" spans="1:22">
      <c r="A46" s="9">
        <f t="shared" si="3"/>
        <v>36</v>
      </c>
      <c r="B46" s="2"/>
      <c r="C46" s="2"/>
    </row>
    <row r="47" spans="1:22">
      <c r="A47" s="9">
        <f t="shared" si="3"/>
        <v>37</v>
      </c>
      <c r="B47" s="42" t="s">
        <v>145</v>
      </c>
      <c r="C47" s="1"/>
      <c r="D47" s="47" t="s">
        <v>129</v>
      </c>
      <c r="E47" s="47" t="s">
        <v>146</v>
      </c>
      <c r="L47" s="2"/>
      <c r="M47" s="47"/>
      <c r="N47" s="47"/>
    </row>
    <row r="48" spans="1:22">
      <c r="A48" s="9">
        <f t="shared" si="3"/>
        <v>38</v>
      </c>
      <c r="B48" s="2"/>
      <c r="C48" s="1"/>
      <c r="L48" s="2"/>
      <c r="M48" s="2"/>
      <c r="N48" s="2"/>
    </row>
    <row r="49" spans="1:14">
      <c r="A49" s="9">
        <f t="shared" si="3"/>
        <v>39</v>
      </c>
      <c r="B49" s="1" t="s">
        <v>120</v>
      </c>
      <c r="C49" s="2" t="s">
        <v>121</v>
      </c>
      <c r="D49" s="78">
        <v>9.6754000000000007E-2</v>
      </c>
      <c r="E49" s="331">
        <f>ROUND(D49*$I$40,2)</f>
        <v>-295.94</v>
      </c>
      <c r="H49" s="103"/>
      <c r="I49" s="248"/>
      <c r="L49" s="2"/>
      <c r="M49" s="36"/>
      <c r="N49" s="96"/>
    </row>
    <row r="50" spans="1:14">
      <c r="A50" s="9">
        <f t="shared" si="3"/>
        <v>40</v>
      </c>
      <c r="B50" s="1" t="s">
        <v>122</v>
      </c>
      <c r="C50" s="2" t="s">
        <v>123</v>
      </c>
      <c r="D50" s="78">
        <v>0.179373</v>
      </c>
      <c r="E50" s="331">
        <f>ROUND(D50*$I$40,2)</f>
        <v>-548.64</v>
      </c>
      <c r="H50" s="186"/>
      <c r="I50" s="248"/>
      <c r="L50" s="2"/>
      <c r="M50" s="36"/>
      <c r="N50" s="96"/>
    </row>
    <row r="51" spans="1:14">
      <c r="A51" s="9">
        <f t="shared" si="3"/>
        <v>41</v>
      </c>
      <c r="B51" s="1" t="s">
        <v>124</v>
      </c>
      <c r="C51" s="2" t="s">
        <v>103</v>
      </c>
      <c r="D51" s="78">
        <v>3.1327000000000001E-2</v>
      </c>
      <c r="E51" s="331">
        <f>ROUND(D51*$I$40,2)</f>
        <v>-95.82</v>
      </c>
      <c r="H51" s="186"/>
      <c r="I51" s="248"/>
      <c r="L51" s="2"/>
      <c r="M51" s="36"/>
      <c r="N51" s="96"/>
    </row>
    <row r="52" spans="1:14">
      <c r="A52" s="9">
        <f t="shared" si="3"/>
        <v>42</v>
      </c>
      <c r="B52" s="1" t="s">
        <v>225</v>
      </c>
      <c r="C52" s="2" t="s">
        <v>78</v>
      </c>
      <c r="D52" s="78">
        <v>1.8964999999999999E-2</v>
      </c>
      <c r="E52" s="331">
        <f>ROUND(D52*$I$40,2)</f>
        <v>-58.01</v>
      </c>
      <c r="H52" s="186"/>
      <c r="I52" s="248"/>
      <c r="L52" s="2"/>
      <c r="M52" s="36"/>
      <c r="N52" s="96"/>
    </row>
    <row r="53" spans="1:14">
      <c r="A53" s="9">
        <f t="shared" si="3"/>
        <v>43</v>
      </c>
      <c r="B53" s="1" t="s">
        <v>125</v>
      </c>
      <c r="C53" s="2" t="s">
        <v>119</v>
      </c>
      <c r="D53" s="78">
        <v>2.2682999999999998E-2</v>
      </c>
      <c r="E53" s="331">
        <f>ROUND(D53*$I$40,2)</f>
        <v>-69.38</v>
      </c>
      <c r="H53" s="186"/>
      <c r="I53" s="248"/>
      <c r="L53" s="2"/>
      <c r="M53" s="36"/>
      <c r="N53" s="96"/>
    </row>
    <row r="54" spans="1:14">
      <c r="A54" s="9">
        <f t="shared" si="3"/>
        <v>44</v>
      </c>
      <c r="B54" s="4"/>
      <c r="C54" s="44" t="s">
        <v>22</v>
      </c>
      <c r="D54" s="138">
        <f>SUM(D49:D53)</f>
        <v>0.34910200000000002</v>
      </c>
      <c r="E54" s="332">
        <f>SUM(E49:E53)</f>
        <v>-1067.79</v>
      </c>
      <c r="H54" s="178"/>
      <c r="L54" s="43"/>
      <c r="M54" s="43"/>
      <c r="N54" s="96"/>
    </row>
    <row r="55" spans="1:14">
      <c r="A55" s="9">
        <f t="shared" si="3"/>
        <v>45</v>
      </c>
      <c r="B55" s="1"/>
      <c r="C55" s="2"/>
      <c r="D55" s="78"/>
      <c r="E55" s="333"/>
      <c r="L55" s="43"/>
      <c r="M55" s="43"/>
      <c r="N55" s="96"/>
    </row>
    <row r="56" spans="1:14">
      <c r="A56" s="9">
        <f t="shared" si="3"/>
        <v>46</v>
      </c>
      <c r="B56" s="1" t="s">
        <v>226</v>
      </c>
      <c r="C56" s="2" t="s">
        <v>223</v>
      </c>
      <c r="D56" s="78">
        <v>0.65089600000000003</v>
      </c>
      <c r="E56" s="331">
        <f>ROUND(D56*$I$40,2)</f>
        <v>-1990.88</v>
      </c>
      <c r="H56" s="334"/>
      <c r="L56" s="2"/>
      <c r="M56" s="36"/>
      <c r="N56" s="96"/>
    </row>
    <row r="57" spans="1:14">
      <c r="A57" s="9">
        <f t="shared" si="3"/>
        <v>47</v>
      </c>
      <c r="B57" s="4"/>
      <c r="C57" s="44" t="s">
        <v>22</v>
      </c>
      <c r="D57" s="79">
        <f>SUM(D56:D56)</f>
        <v>0.65089600000000003</v>
      </c>
      <c r="E57" s="335">
        <f>SUM(E56:E56)</f>
        <v>-1990.88</v>
      </c>
      <c r="L57" s="2"/>
      <c r="M57" s="36"/>
      <c r="N57" s="96"/>
    </row>
    <row r="58" spans="1:14">
      <c r="A58" s="9">
        <f t="shared" si="3"/>
        <v>48</v>
      </c>
      <c r="B58" s="1"/>
      <c r="C58" s="2"/>
      <c r="D58" s="78"/>
      <c r="E58" s="333"/>
      <c r="L58" s="2"/>
      <c r="M58" s="36"/>
      <c r="N58" s="96"/>
    </row>
    <row r="59" spans="1:14" ht="13.5" thickBot="1">
      <c r="A59" s="9">
        <f t="shared" si="3"/>
        <v>49</v>
      </c>
      <c r="B59" s="45"/>
      <c r="C59" s="3" t="s">
        <v>43</v>
      </c>
      <c r="D59" s="336">
        <f>D54+D57</f>
        <v>0.99999800000000005</v>
      </c>
      <c r="E59" s="337">
        <f>E57+E54</f>
        <v>-3058.67</v>
      </c>
      <c r="H59" s="341"/>
      <c r="L59" s="2"/>
      <c r="M59" s="36"/>
      <c r="N59" s="96"/>
    </row>
    <row r="60" spans="1:14" ht="13.5" thickTop="1">
      <c r="L60" s="43"/>
      <c r="M60" s="43"/>
      <c r="N60" s="96"/>
    </row>
    <row r="61" spans="1:14">
      <c r="L61" s="43"/>
      <c r="M61" s="43"/>
      <c r="N61" s="37"/>
    </row>
    <row r="62" spans="1:14">
      <c r="L62" s="361"/>
      <c r="M62" s="361"/>
      <c r="N62" s="37"/>
    </row>
  </sheetData>
  <mergeCells count="5">
    <mergeCell ref="L62:M62"/>
    <mergeCell ref="B45:I45"/>
    <mergeCell ref="A3:I3"/>
    <mergeCell ref="A4:I4"/>
    <mergeCell ref="A6:I6"/>
  </mergeCells>
  <printOptions horizontalCentered="1"/>
  <pageMargins left="1" right="0.75" top="0.75" bottom="0.5" header="0.5" footer="0.5"/>
  <pageSetup scale="71" fitToHeight="2" orientation="portrait" r:id="rId1"/>
  <headerFooter alignWithMargins="0">
    <oddFooter>&amp;RRevised Exhibit JW-2
Page &amp;P of &amp;N</oddFooter>
  </headerFooter>
  <ignoredErrors>
    <ignoredError sqref="B9:I9" numberStoredAsText="1"/>
    <ignoredError sqref="D23 D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24</vt:i4>
      </vt:variant>
    </vt:vector>
  </HeadingPairs>
  <TitlesOfParts>
    <vt:vector size="43" baseType="lpstr">
      <vt:lpstr>RevReq</vt:lpstr>
      <vt:lpstr>Adj List</vt:lpstr>
      <vt:lpstr>Adj BS</vt:lpstr>
      <vt:lpstr>Adj IS</vt:lpstr>
      <vt:lpstr>1.01 FAC</vt:lpstr>
      <vt:lpstr>1.02 ES</vt:lpstr>
      <vt:lpstr>1.03 RC</vt:lpstr>
      <vt:lpstr>1.04 CUST</vt:lpstr>
      <vt:lpstr>1.05 Depr</vt:lpstr>
      <vt:lpstr>1.06 Donat&amp;Promo</vt:lpstr>
      <vt:lpstr>1.07 Misc</vt:lpstr>
      <vt:lpstr>1.08 Dir</vt:lpstr>
      <vt:lpstr>1.09 Wages</vt:lpstr>
      <vt:lpstr>1.10 Prof</vt:lpstr>
      <vt:lpstr>1.11 GTCC</vt:lpstr>
      <vt:lpstr>1.12 Int</vt:lpstr>
      <vt:lpstr>1.13 Life Ins</vt:lpstr>
      <vt:lpstr>1.14 ROW</vt:lpstr>
      <vt:lpstr>1.14 LPs</vt:lpstr>
      <vt:lpstr>'1.01 FAC'!Print_Area</vt:lpstr>
      <vt:lpstr>'1.02 ES'!Print_Area</vt:lpstr>
      <vt:lpstr>'1.03 RC'!Print_Area</vt:lpstr>
      <vt:lpstr>'1.04 CUST'!Print_Area</vt:lpstr>
      <vt:lpstr>'1.05 Depr'!Print_Area</vt:lpstr>
      <vt:lpstr>'1.07 Misc'!Print_Area</vt:lpstr>
      <vt:lpstr>'1.08 Dir'!Print_Area</vt:lpstr>
      <vt:lpstr>'1.09 Wages'!Print_Area</vt:lpstr>
      <vt:lpstr>'1.10 Prof'!Print_Area</vt:lpstr>
      <vt:lpstr>'1.11 GTCC'!Print_Area</vt:lpstr>
      <vt:lpstr>'1.12 Int'!Print_Area</vt:lpstr>
      <vt:lpstr>'1.13 Life Ins'!Print_Area</vt:lpstr>
      <vt:lpstr>'1.14 LPs'!Print_Area</vt:lpstr>
      <vt:lpstr>'1.14 ROW'!Print_Area</vt:lpstr>
      <vt:lpstr>'Adj BS'!Print_Area</vt:lpstr>
      <vt:lpstr>'Adj IS'!Print_Area</vt:lpstr>
      <vt:lpstr>'Adj List'!Print_Area</vt:lpstr>
      <vt:lpstr>RevReq!Print_Area</vt:lpstr>
      <vt:lpstr>'1.04 CUST'!Print_Titles</vt:lpstr>
      <vt:lpstr>'1.05 Depr'!Print_Titles</vt:lpstr>
      <vt:lpstr>'1.06 Donat&amp;Promo'!Print_Titles</vt:lpstr>
      <vt:lpstr>'1.09 Wages'!Print_Titles</vt:lpstr>
      <vt:lpstr>'1.13 Life Ins'!Print_Titles</vt:lpstr>
      <vt:lpstr>'1.14 LPs'!Print_Titles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Wolfram</dc:creator>
  <cp:lastModifiedBy>John Wolfram</cp:lastModifiedBy>
  <cp:lastPrinted>2025-03-24T17:06:07Z</cp:lastPrinted>
  <dcterms:created xsi:type="dcterms:W3CDTF">2012-11-02T18:45:21Z</dcterms:created>
  <dcterms:modified xsi:type="dcterms:W3CDTF">2025-03-24T17:06:08Z</dcterms:modified>
</cp:coreProperties>
</file>